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libertyutil-my.sharepoint.com/personal/jkirby2_libertyutilities_com/Documents/Desktop/Working Junk/MEEIA Cycle II/Final filing/Absolute Final/"/>
    </mc:Choice>
  </mc:AlternateContent>
  <xr:revisionPtr revIDLastSave="0" documentId="8_{9FCE7E6F-1A87-4906-A95C-1E5676347831}" xr6:coauthVersionLast="47" xr6:coauthVersionMax="47" xr10:uidLastSave="{00000000-0000-0000-0000-000000000000}"/>
  <bookViews>
    <workbookView xWindow="25017" yWindow="-118" windowWidth="25370" windowHeight="13759" xr2:uid="{1A181FD7-CF09-4428-AF94-86FDAD5AC168}"/>
  </bookViews>
  <sheets>
    <sheet name="DSIM Charge" sheetId="8" r:id="rId1"/>
    <sheet name="1. 2025 Costs &amp; kWh Savings" sheetId="14" r:id="rId2"/>
    <sheet name="1A. 2022-2024 Reconciliation" sheetId="3" r:id="rId3"/>
    <sheet name="1A. Updated" sheetId="61" r:id="rId4"/>
    <sheet name="2. Summary of TD" sheetId="45" r:id="rId5"/>
    <sheet name="2. Summary of TD (kWh)" sheetId="52" r:id="rId6"/>
    <sheet name="2. TD Res Lighting install 2022" sheetId="43" r:id="rId7"/>
    <sheet name="2. TD Res HVAC install 2022" sheetId="16" r:id="rId8"/>
    <sheet name="2. TD Sm C&amp;I HVAC install 2022" sheetId="17" r:id="rId9"/>
    <sheet name="2. TD Lg C&amp;I Light install 2022" sheetId="23" r:id="rId10"/>
    <sheet name="2. TD Res Lighting install 2023" sheetId="44" r:id="rId11"/>
    <sheet name="2. TD Res HVAC install 2023" sheetId="39" r:id="rId12"/>
    <sheet name="2. TD Sm C&amp;I HVAC install 2023" sheetId="40" r:id="rId13"/>
    <sheet name="2. TD Lg C&amp;I Light install 2023" sheetId="41" r:id="rId14"/>
    <sheet name="2. TD Res Lighting install 2024" sheetId="47" r:id="rId15"/>
    <sheet name="2. TD Res HVAC install 2024" sheetId="48" r:id="rId16"/>
    <sheet name="2. TD Sm C&amp;I HVAC install 2024" sheetId="49" r:id="rId17"/>
    <sheet name="2. TD Lg C&amp;I Light install 2024" sheetId="50" r:id="rId18"/>
    <sheet name="2. (Open) 2025" sheetId="56" r:id="rId19"/>
    <sheet name="2. TD Res THM install 2025" sheetId="57" r:id="rId20"/>
    <sheet name="2. TD C&amp;I Rebate GS install2025" sheetId="60" r:id="rId21"/>
    <sheet name="2. TD C&amp;I RebateLGS install2025" sheetId="58" r:id="rId22"/>
    <sheet name="3. EO Incentive" sheetId="26" r:id="rId23"/>
    <sheet name="Source Data &gt;&gt;" sheetId="21" r:id="rId24"/>
    <sheet name="4. 2024 Program Costs" sheetId="55" r:id="rId25"/>
    <sheet name="5. 2024 Program Collections" sheetId="54" r:id="rId26"/>
    <sheet name="6. 2022 Installed kWh Savings" sheetId="51" r:id="rId27"/>
    <sheet name="6. 2023 Installed kWh Savings" sheetId="38" r:id="rId28"/>
    <sheet name="6. 2024 Installed kWh Savings" sheetId="53" r:id="rId29"/>
    <sheet name="7. Short Term Rates" sheetId="42" r:id="rId30"/>
    <sheet name="8. Load Shapes" sheetId="31" r:id="rId31"/>
    <sheet name="9. Sales Summary" sheetId="34" r:id="rId32"/>
    <sheet name="Step Adjustments" sheetId="46" r:id="rId33"/>
  </sheets>
  <definedNames>
    <definedName name="\A" localSheetId="26">#REF!</definedName>
    <definedName name="\A">#REF!</definedName>
    <definedName name="\P" localSheetId="26">#REF!</definedName>
    <definedName name="\P">#REF!</definedName>
    <definedName name="\t" localSheetId="26">#REF!</definedName>
    <definedName name="\t">#REF!</definedName>
    <definedName name="__123Graph_A" hidden="1">#REF!</definedName>
    <definedName name="__123Graph_X" hidden="1">#REF!</definedName>
    <definedName name="_a1">#REF!</definedName>
    <definedName name="_a2">#REF!</definedName>
    <definedName name="_a3">#REF!</definedName>
    <definedName name="_Div02">#REF!</definedName>
    <definedName name="_div10">#REF!</definedName>
    <definedName name="_DIV12">#REF!</definedName>
    <definedName name="_div21">#REF!</definedName>
    <definedName name="_EXH1">#REF!</definedName>
    <definedName name="_EXH6">#REF!</definedName>
    <definedName name="_Key1" hidden="1">#REF!</definedName>
    <definedName name="_Order1" hidden="1">255</definedName>
    <definedName name="_Order2" hidden="1">255</definedName>
    <definedName name="_Sort" hidden="1">#REF!</definedName>
    <definedName name="_swe80">#REF!</definedName>
    <definedName name="_ucg80">#REF!</definedName>
    <definedName name="adjustment1">#REF!</definedName>
    <definedName name="adjustment10">#REF!</definedName>
    <definedName name="Adjustment11">#REF!</definedName>
    <definedName name="adjustment12">#REF!</definedName>
    <definedName name="adjustment13">#REF!</definedName>
    <definedName name="adjustment3">#REF!</definedName>
    <definedName name="adjustment4">#REF!</definedName>
    <definedName name="adjustment5">#REF!</definedName>
    <definedName name="adjustment6">#REF!</definedName>
    <definedName name="adjustment7">#REF!</definedName>
    <definedName name="adjustment8">#REF!</definedName>
    <definedName name="adjustment9">#REF!</definedName>
    <definedName name="ALLOCATORS">#REF!</definedName>
    <definedName name="ALLOCATORS_NAMES">#REF!</definedName>
    <definedName name="AVG_RESIDUAL_PROFORMA">#REF!</definedName>
    <definedName name="b2adjustment4a">#REF!</definedName>
    <definedName name="b2adjustment4b">#REF!</definedName>
    <definedName name="BUSUNIT">#REF!</definedName>
    <definedName name="BUTLER">#REF!</definedName>
    <definedName name="C_">#REF!</definedName>
    <definedName name="Central_Only">#REF!</definedName>
    <definedName name="Clarity.Template.ExpandCollapse.Rows.Range_0.Expanded">TRUE</definedName>
    <definedName name="Clarity.Template.ExpandCollapse.Rows.Range_1.Expanded">TRUE</definedName>
    <definedName name="Clarity.Template.ExpandCollapse.Rows.Range_10.Expanded">TRUE</definedName>
    <definedName name="Clarity.Template.ExpandCollapse.Rows.Range_11.Expanded">TRUE</definedName>
    <definedName name="Clarity.Template.ExpandCollapse.Rows.Range_12.Expanded">TRUE</definedName>
    <definedName name="Clarity.Template.ExpandCollapse.Rows.Range_13.Expanded">TRUE</definedName>
    <definedName name="Clarity.Template.ExpandCollapse.Rows.Range_14.Expanded">TRUE</definedName>
    <definedName name="Clarity.Template.ExpandCollapse.Rows.Range_15.Expanded">TRUE</definedName>
    <definedName name="Clarity.Template.ExpandCollapse.Rows.Range_16.Expanded">TRUE</definedName>
    <definedName name="Clarity.Template.ExpandCollapse.Rows.Range_17.Expanded">TRUE</definedName>
    <definedName name="Clarity.Template.ExpandCollapse.Rows.Range_18.Expanded">TRUE</definedName>
    <definedName name="Clarity.Template.ExpandCollapse.Rows.Range_19.Expanded">TRUE</definedName>
    <definedName name="Clarity.Template.ExpandCollapse.Rows.Range_2.Expanded">TRUE</definedName>
    <definedName name="Clarity.Template.ExpandCollapse.Rows.Range_20.Expanded">TRUE</definedName>
    <definedName name="Clarity.Template.ExpandCollapse.Rows.Range_21.Expanded">TRUE</definedName>
    <definedName name="Clarity.Template.ExpandCollapse.Rows.Range_22.Expanded">TRUE</definedName>
    <definedName name="Clarity.Template.ExpandCollapse.Rows.Range_23.Expanded">TRUE</definedName>
    <definedName name="Clarity.Template.ExpandCollapse.Rows.Range_24.Expanded">TRUE</definedName>
    <definedName name="Clarity.Template.ExpandCollapse.Rows.Range_25.Expanded">TRUE</definedName>
    <definedName name="Clarity.Template.ExpandCollapse.Rows.Range_26.Expanded">TRUE</definedName>
    <definedName name="Clarity.Template.ExpandCollapse.Rows.Range_27.Expanded">TRUE</definedName>
    <definedName name="Clarity.Template.ExpandCollapse.Rows.Range_28.Expanded">TRUE</definedName>
    <definedName name="Clarity.Template.ExpandCollapse.Rows.Range_29.Expanded">TRUE</definedName>
    <definedName name="Clarity.Template.ExpandCollapse.Rows.Range_3.Expanded">TRUE</definedName>
    <definedName name="Clarity.Template.ExpandCollapse.Rows.Range_30.Expanded">TRUE</definedName>
    <definedName name="Clarity.Template.ExpandCollapse.Rows.Range_31.Expanded">TRUE</definedName>
    <definedName name="Clarity.Template.ExpandCollapse.Rows.Range_32.Expanded">TRUE</definedName>
    <definedName name="Clarity.Template.ExpandCollapse.Rows.Range_33.Expanded">TRUE</definedName>
    <definedName name="Clarity.Template.ExpandCollapse.Rows.Range_34.Expanded">TRUE</definedName>
    <definedName name="Clarity.Template.ExpandCollapse.Rows.Range_4.Expanded">TRUE</definedName>
    <definedName name="Clarity.Template.ExpandCollapse.Rows.Range_5.Expanded">TRUE</definedName>
    <definedName name="Clarity.Template.ExpandCollapse.Rows.Range_6.Expanded">TRUE</definedName>
    <definedName name="Clarity.Template.ExpandCollapse.Rows.Range_7.Expanded">TRUE</definedName>
    <definedName name="Clarity.Template.ExpandCollapse.Rows.Range_8.Expanded">TRUE</definedName>
    <definedName name="Clarity.Template.ExpandCollapse.Rows.Range_9.Expanded">TRUE</definedName>
    <definedName name="CLASSIFIER_NAMES">#REF!</definedName>
    <definedName name="CLASSIFIERS">#REF!</definedName>
    <definedName name="COMPANY">#REF!</definedName>
    <definedName name="Company_Filing">'DSIM Charge'!$A$1</definedName>
    <definedName name="Cortez" localSheetId="26">#REF!</definedName>
    <definedName name="Cortez">#REF!</definedName>
    <definedName name="CostOfDebt" localSheetId="26">#REF!</definedName>
    <definedName name="CostOfDebt">#REF!</definedName>
    <definedName name="csDesignMode">1</definedName>
    <definedName name="customerinput" localSheetId="26">#REF!</definedName>
    <definedName name="customerinput">#REF!</definedName>
    <definedName name="DEPRECIATION">#REF!</definedName>
    <definedName name="Discount_Rate" localSheetId="5">#REF!</definedName>
    <definedName name="Discount_Rate" localSheetId="24">#REF!</definedName>
    <definedName name="Discount_Rate" localSheetId="26">#REF!</definedName>
    <definedName name="Discount_Rate" localSheetId="27">#REF!</definedName>
    <definedName name="Discount_Rate" localSheetId="28">#REF!</definedName>
    <definedName name="Discount_Rate">#REF!</definedName>
    <definedName name="Div02_Butler_Exp">#REF!</definedName>
    <definedName name="Div02_Kirk_Exp">#REF!</definedName>
    <definedName name="Div02_MO_Exp">#REF!</definedName>
    <definedName name="Div02_MS_Exp">#REF!</definedName>
    <definedName name="Div02_SEMO_Exp">#REF!</definedName>
    <definedName name="Div88_Butler_Exp">#REF!</definedName>
    <definedName name="Div88_Butler_Plant">#REF!</definedName>
    <definedName name="Div88_Kirk_Exp">#REF!</definedName>
    <definedName name="Div88_Kirk_Plant">#REF!</definedName>
    <definedName name="Div88_MS_Exp">#REF!</definedName>
    <definedName name="Div88_MS_Plant">#REF!</definedName>
    <definedName name="Div88_SEMO_Exp">#REF!</definedName>
    <definedName name="Div88_SEMO_Plant">#REF!</definedName>
    <definedName name="Div91_Butler_Exp">#REF!</definedName>
    <definedName name="Div91_Butler_Plant">#REF!</definedName>
    <definedName name="Durango">#REF!</definedName>
    <definedName name="EXH1A">#REF!</definedName>
    <definedName name="Fremont">#REF!</definedName>
    <definedName name="FunctionalFactors">#REF!</definedName>
    <definedName name="GOEXP">#REF!</definedName>
    <definedName name="GOEXP_PROFORMA">#REF!</definedName>
    <definedName name="GOPLANT">#REF!</definedName>
    <definedName name="GOPLANT_PROFORM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k">#REF!</definedName>
    <definedName name="KIRK">#REF!</definedName>
    <definedName name="Kirk_Plant">#REF!</definedName>
    <definedName name="LTDcostrate">#REF!</definedName>
    <definedName name="Maps.OlapDataMap.OlapDataMap1.Columns.0.Dimension">"Scenario"</definedName>
    <definedName name="Maps.OlapDataMap.OlapDataMap1.Columns.1.Dimension">"Year"</definedName>
    <definedName name="Maps.OlapDataMap.OlapDataMap1.Columns.2.Dimension">"Period"</definedName>
    <definedName name="Maps.OlapDataMap.OlapDataMap1.Pages.0.Dimension">"Company"</definedName>
    <definedName name="Maps.OlapDataMap.OlapDataMap1.Pages.1.Dimension">"Currency"</definedName>
    <definedName name="Maps.OlapDataMap.OlapDataMap1.Pages.2.Dimension">"FutureUseDim"</definedName>
    <definedName name="Maps.OlapDataMap.OlapDataMap1.Pages.3.Dimension">"Value"</definedName>
    <definedName name="Maps.OlapDataMap.OlapDataMap1.Pages.4.Dimension">"Reporting Currency"</definedName>
    <definedName name="Maps.OlapDataMap.OlapDataMap1.Pages.5.Dimension">"UtilityType"</definedName>
    <definedName name="Maps.OlapDataMap.OlapDataMap1.Pages.6.Dimension">"Measures"</definedName>
    <definedName name="Maps.OlapDataMap.OlapDataMap1.Rows.0.Dimension">"RevenueType"</definedName>
    <definedName name="Maps.OlapDataMap.OlapDataMap1.Rows.1.Dimension">"Account"</definedName>
    <definedName name="MenuItem.Caption">"PL Trend Month by Region (GL Details)"</definedName>
    <definedName name="MS">#REF!</definedName>
    <definedName name="MS_Plant">#REF!</definedName>
    <definedName name="NEadit">#REF!</definedName>
    <definedName name="NEadv">#REF!</definedName>
    <definedName name="NEcash">#REF!</definedName>
    <definedName name="NEcwip">#REF!</definedName>
    <definedName name="NEdep">#REF!</definedName>
    <definedName name="NEmatsup">#REF!</definedName>
    <definedName name="NEplant">#REF!</definedName>
    <definedName name="NEpp">#REF!</definedName>
    <definedName name="NEstorg">#REF!</definedName>
    <definedName name="NW_Only">#REF!</definedName>
    <definedName name="NWadit">#REF!</definedName>
    <definedName name="NWadv">#REF!</definedName>
    <definedName name="NWcash">#REF!</definedName>
    <definedName name="NWcwip">#REF!</definedName>
    <definedName name="NWdep">#REF!</definedName>
    <definedName name="NWmatsup">#REF!</definedName>
    <definedName name="NWplant">#REF!</definedName>
    <definedName name="NWpp">#REF!</definedName>
    <definedName name="NWstorg">#REF!</definedName>
    <definedName name="PageOptions.PageCompany.Caption">"LU Mid-States (Gas)"</definedName>
    <definedName name="PageOptions.PageCompany.Caption.1">"LU Mid-States (Gas)"</definedName>
    <definedName name="PageOptions.PageCompany.Caption.Count">1</definedName>
    <definedName name="PageOptions.PageCompany.Caption.Display">"LU Mid-States (Gas)"</definedName>
    <definedName name="PageOptions.PageCompany.Key">"[Company].[LU Central]"</definedName>
    <definedName name="PageOptions.PageCompany.Key.1">"[Company].[LU Central]"</definedName>
    <definedName name="PageOptions.PageCompany.Key.Count">1</definedName>
    <definedName name="PageOptions.PageCompany.Key.Display">"[Company].[LU Central]"</definedName>
    <definedName name="PageOptions.PageCompany.Name">"LU Central"</definedName>
    <definedName name="PageOptions.PageCompany.Name.1">"LU Central"</definedName>
    <definedName name="PageOptions.PageCompany.Name.Count">1</definedName>
    <definedName name="PageOptions.PageCompany.Name.Display">"LU Central"</definedName>
    <definedName name="PageOptions.PageEndPeriod.Caption">"Jun"</definedName>
    <definedName name="PageOptions.PageEndPeriod.Caption.1">"Jun"</definedName>
    <definedName name="PageOptions.PageEndPeriod.Caption.Count">1</definedName>
    <definedName name="PageOptions.PageEndPeriod.Caption.Display">"Jun"</definedName>
    <definedName name="PageOptions.PageEndPeriod.Key">"[Period].[6]"</definedName>
    <definedName name="PageOptions.PageEndPeriod.Key.1">"[Period].[6]"</definedName>
    <definedName name="PageOptions.PageEndPeriod.Key.Count">1</definedName>
    <definedName name="PageOptions.PageEndPeriod.Key.Display">"[Period].[6]"</definedName>
    <definedName name="PageOptions.PageEndPeriod.Name">"6"</definedName>
    <definedName name="PageOptions.PageEndPeriod.Name.1">"6"</definedName>
    <definedName name="PageOptions.PageEndPeriod.Name.Count">1</definedName>
    <definedName name="PageOptions.PageEndPeriod.Name.Display">"6"</definedName>
    <definedName name="PageOptions.PageEndYear.Caption">"2017"</definedName>
    <definedName name="PageOptions.PageEndYear.Caption.1">"2017"</definedName>
    <definedName name="PageOptions.PageEndYear.Caption.Count">1</definedName>
    <definedName name="PageOptions.PageEndYear.Caption.Display">"2017"</definedName>
    <definedName name="PageOptions.PageEndYear.Key">"[Year].[2017]"</definedName>
    <definedName name="PageOptions.PageEndYear.Key.1">"[Year].[2017]"</definedName>
    <definedName name="PageOptions.PageEndYear.Key.Count">1</definedName>
    <definedName name="PageOptions.PageEndYear.Key.Display">"[Year].[2017]"</definedName>
    <definedName name="PageOptions.PageEndYear.Name">"2017"</definedName>
    <definedName name="PageOptions.PageEndYear.Name.1">"2017"</definedName>
    <definedName name="PageOptions.PageEndYear.Name.Count">1</definedName>
    <definedName name="PageOptions.PageEndYear.Name.Display">"2017"</definedName>
    <definedName name="PageOptions.PageRepCurr.Caption">"Local"</definedName>
    <definedName name="PageOptions.PageRepCurr.Caption.1">"Local"</definedName>
    <definedName name="PageOptions.PageRepCurr.Caption.Count">1</definedName>
    <definedName name="PageOptions.PageRepCurr.Caption.Display">"Local"</definedName>
    <definedName name="PageOptions.PageRepCurr.Key">"[Reporting Currency].[Local]"</definedName>
    <definedName name="PageOptions.PageRepCurr.Key.1">"[Reporting Currency].[Local]"</definedName>
    <definedName name="PageOptions.PageRepCurr.Key.Count">1</definedName>
    <definedName name="PageOptions.PageRepCurr.Key.Display">"[Reporting Currency].[Local]"</definedName>
    <definedName name="PageOptions.PageRepCurr.Name">"Local"</definedName>
    <definedName name="PageOptions.PageRepCurr.Name.1">"Local"</definedName>
    <definedName name="PageOptions.PageRepCurr.Name.Count">1</definedName>
    <definedName name="PageOptions.PageRepCurr.Name.Display">"Local"</definedName>
    <definedName name="PageOptions.PageScenario.Caption">"Actual"</definedName>
    <definedName name="PageOptions.PageScenario.Caption.1">"Actual"</definedName>
    <definedName name="PageOptions.PageScenario.Caption.Count">1</definedName>
    <definedName name="PageOptions.PageScenario.Caption.Display">"Actual"</definedName>
    <definedName name="PageOptions.PageScenario.Key">"[Scenario].[Actual]"</definedName>
    <definedName name="PageOptions.PageScenario.Key.1">"[Scenario].[Actual]"</definedName>
    <definedName name="PageOptions.PageScenario.Key.Count">1</definedName>
    <definedName name="PageOptions.PageScenario.Key.Display">"[Scenario].[Actual]"</definedName>
    <definedName name="PageOptions.PageScenario.Name">"Actual"</definedName>
    <definedName name="PageOptions.PageScenario.Name.1">"Actual"</definedName>
    <definedName name="PageOptions.PageScenario.Name.Count">1</definedName>
    <definedName name="PageOptions.PageScenario.Name.Display">"Actual"</definedName>
    <definedName name="PageOptions.PageStartPeriod.Caption">"Jul"</definedName>
    <definedName name="PageOptions.PageStartPeriod.Caption.1">"Jul"</definedName>
    <definedName name="PageOptions.PageStartPeriod.Caption.Count">1</definedName>
    <definedName name="PageOptions.PageStartPeriod.Caption.Display">"Jul"</definedName>
    <definedName name="PageOptions.PageStartPeriod.Key">"[Period].[7]"</definedName>
    <definedName name="PageOptions.PageStartPeriod.Key.1">"[Period].[7]"</definedName>
    <definedName name="PageOptions.PageStartPeriod.Key.Count">1</definedName>
    <definedName name="PageOptions.PageStartPeriod.Key.Display">"[Period].[7]"</definedName>
    <definedName name="PageOptions.PageStartPeriod.Name">"7"</definedName>
    <definedName name="PageOptions.PageStartPeriod.Name.1">"7"</definedName>
    <definedName name="PageOptions.PageStartPeriod.Name.Count">1</definedName>
    <definedName name="PageOptions.PageStartPeriod.Name.Display">"7"</definedName>
    <definedName name="PageOptions.PageStartYear.Caption">"2016"</definedName>
    <definedName name="PageOptions.PageStartYear.Caption.1">"2016"</definedName>
    <definedName name="PageOptions.PageStartYear.Caption.Count">1</definedName>
    <definedName name="PageOptions.PageStartYear.Caption.Display">"2016"</definedName>
    <definedName name="PageOptions.PageStartYear.Key">"[Year].[2016]"</definedName>
    <definedName name="PageOptions.PageStartYear.Key.1">"[Year].[2016]"</definedName>
    <definedName name="PageOptions.PageStartYear.Key.Count">1</definedName>
    <definedName name="PageOptions.PageStartYear.Key.Display">"[Year].[2016]"</definedName>
    <definedName name="PageOptions.PageStartYear.Name">"2016"</definedName>
    <definedName name="PageOptions.PageStartYear.Name.1">"2016"</definedName>
    <definedName name="PageOptions.PageStartYear.Name.Count">1</definedName>
    <definedName name="PageOptions.PageStartYear.Name.Display">"2016"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PreTaxROR">#REF!</definedName>
    <definedName name="Print_Area_MI">#REF!</definedName>
    <definedName name="Proj_STDrate">#REF!</definedName>
    <definedName name="PROPERTY">#REF!</definedName>
    <definedName name="RATE_CLASSES">#REF!</definedName>
    <definedName name="ROEXP">#REF!</definedName>
    <definedName name="ROPLANT">#REF!</definedName>
    <definedName name="ROR">#REF!</definedName>
    <definedName name="RowRanges.RowRangeDivIncomeTotal">#REF!</definedName>
    <definedName name="SE_Only">#REF!</definedName>
    <definedName name="SEadit">#REF!</definedName>
    <definedName name="SEadv">#REF!</definedName>
    <definedName name="SEcash">#REF!</definedName>
    <definedName name="SEcwip">#REF!</definedName>
    <definedName name="SEdep">#REF!</definedName>
    <definedName name="SEmatsup">#REF!</definedName>
    <definedName name="SEMO">#REF!</definedName>
    <definedName name="SEMO_Plant">#REF!</definedName>
    <definedName name="SEplant">#REF!</definedName>
    <definedName name="SEpp">#REF!</definedName>
    <definedName name="SEstorg">#REF!</definedName>
    <definedName name="SSExp">#REF!</definedName>
    <definedName name="SSPlant">#REF!</definedName>
    <definedName name="STD_Rate">#REF!</definedName>
    <definedName name="Sttax">#REF!</definedName>
    <definedName name="SWadit">#REF!</definedName>
    <definedName name="SWadv">#REF!</definedName>
    <definedName name="SWcash">#REF!</definedName>
    <definedName name="SWcwip">#REF!</definedName>
    <definedName name="SWdep">#REF!</definedName>
    <definedName name="SWmatsup">#REF!</definedName>
    <definedName name="SWplant">#REF!</definedName>
    <definedName name="SWpp">#REF!</definedName>
    <definedName name="SWstorg">#REF!</definedName>
    <definedName name="TaxRate">#REF!</definedName>
    <definedName name="Template.Build.End">42939.8151232523</definedName>
    <definedName name="Template.Build.Start">42939.8149982639</definedName>
    <definedName name="Template.LastSaveTime">""</definedName>
    <definedName name="Template.LastSaveUser">""</definedName>
    <definedName name="Template.Name">"PL_Trend_Month_byState"</definedName>
    <definedName name="Template.SaveAll">"false"</definedName>
    <definedName name="TestPeriodDate">#REF!</definedName>
    <definedName name="TESTYEAR">#REF!</definedName>
    <definedName name="testyeardate">#REF!</definedName>
    <definedName name="TOTadit">#REF!</definedName>
    <definedName name="TOTadv">#REF!</definedName>
    <definedName name="TOTcash">#REF!</definedName>
    <definedName name="TOTcwip">#REF!</definedName>
    <definedName name="TOTdep">#REF!</definedName>
    <definedName name="TOTmatsup">#REF!</definedName>
    <definedName name="TOTplant">#REF!</definedName>
    <definedName name="TOTpp">#REF!</definedName>
    <definedName name="TOTstorg">#REF!</definedName>
    <definedName name="UAFCom" localSheetId="5">#REF!</definedName>
    <definedName name="UAFCom">#REF!</definedName>
    <definedName name="UAFInd" localSheetId="5">#REF!</definedName>
    <definedName name="UAFInd">#REF!</definedName>
    <definedName name="UAFInt" localSheetId="5">#REF!</definedName>
    <definedName name="UAFInt">#REF!</definedName>
    <definedName name="UAFOPA" localSheetId="5">#REF!</definedName>
    <definedName name="UAFOPA">#REF!</definedName>
    <definedName name="UAFOPP" localSheetId="5">#REF!</definedName>
    <definedName name="UAFOPP">#REF!</definedName>
    <definedName name="UAFPrax" localSheetId="5">#REF!</definedName>
    <definedName name="UAFPrax">#REF!</definedName>
    <definedName name="UAFRes" localSheetId="5">#REF!</definedName>
    <definedName name="UAFRes">#REF!</definedName>
    <definedName name="UAFSHL" localSheetId="5">#REF!</definedName>
    <definedName name="UAFSHL">#REF!</definedName>
    <definedName name="User.Language">"en-US"</definedName>
    <definedName name="User.Name">"adewrock"</definedName>
    <definedName name="User.Session">"mb1huwyvotvoxf45bua0jset"</definedName>
    <definedName name="Uxrwoff_with_Pban_Query">#REF!</definedName>
    <definedName name="witness1">#REF!</definedName>
    <definedName name="WP_2_3">#REF!</definedName>
    <definedName name="WP_3_1">#REF!</definedName>
    <definedName name="WP_6_1">#REF!</definedName>
    <definedName name="WP_6_1_1">#REF!</definedName>
    <definedName name="WP_6_2">#REF!</definedName>
    <definedName name="WP_6_2_1">#REF!</definedName>
    <definedName name="WP_6_3">#REF!</definedName>
    <definedName name="WP_6_3_1">#REF!</definedName>
    <definedName name="WP_7_3">#REF!</definedName>
    <definedName name="WP_7_4">#REF!</definedName>
    <definedName name="WP_7_6">#REF!</definedName>
    <definedName name="WP_7_7">#REF!</definedName>
    <definedName name="yeardateplus1">#REF!</definedName>
    <definedName name="yeardateprior1">#REF!</definedName>
    <definedName name="yeardateprior2">#REF!</definedName>
    <definedName name="yeardateprior3">#REF!</definedName>
    <definedName name="yeardateprior4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99" i="61" l="1"/>
  <c r="R99" i="61"/>
  <c r="L99" i="61"/>
  <c r="F99" i="61"/>
  <c r="E5" i="42" l="1"/>
  <c r="E6" i="42" s="1"/>
  <c r="E8" i="42"/>
  <c r="E9" i="42"/>
  <c r="E11" i="42"/>
  <c r="E12" i="42"/>
  <c r="E14" i="42"/>
  <c r="E15" i="42" s="1"/>
  <c r="C32" i="34"/>
  <c r="F18" i="52"/>
  <c r="F17" i="52"/>
  <c r="F16" i="52"/>
  <c r="F15" i="52"/>
  <c r="F14" i="52"/>
  <c r="B20" i="60"/>
  <c r="B20" i="58"/>
  <c r="B20" i="50"/>
  <c r="B20" i="49"/>
  <c r="B20" i="41"/>
  <c r="B20" i="40"/>
  <c r="B20" i="23"/>
  <c r="B20" i="17"/>
  <c r="T46" i="61"/>
  <c r="T93" i="61"/>
  <c r="I40" i="14" l="1"/>
  <c r="S76" i="3"/>
  <c r="S77" i="3"/>
  <c r="S78" i="3"/>
  <c r="S79" i="3"/>
  <c r="S80" i="3"/>
  <c r="S81" i="3"/>
  <c r="S82" i="3"/>
  <c r="S83" i="3"/>
  <c r="S84" i="3"/>
  <c r="S85" i="3"/>
  <c r="S86" i="3"/>
  <c r="S75" i="3"/>
  <c r="S30" i="3"/>
  <c r="S31" i="3"/>
  <c r="S32" i="3"/>
  <c r="S33" i="3"/>
  <c r="S34" i="3"/>
  <c r="S35" i="3"/>
  <c r="S36" i="3"/>
  <c r="S37" i="3"/>
  <c r="S38" i="3"/>
  <c r="S39" i="3"/>
  <c r="S40" i="3"/>
  <c r="S29" i="3"/>
  <c r="I38" i="14"/>
  <c r="X89" i="3"/>
  <c r="X94" i="3" s="1"/>
  <c r="X43" i="3"/>
  <c r="H94" i="3"/>
  <c r="H89" i="3"/>
  <c r="H43" i="3"/>
  <c r="O75" i="61" l="1"/>
  <c r="C75" i="61"/>
  <c r="O74" i="61"/>
  <c r="C74" i="61"/>
  <c r="O73" i="61"/>
  <c r="C73" i="61"/>
  <c r="O72" i="61"/>
  <c r="C72" i="61"/>
  <c r="O71" i="61"/>
  <c r="C71" i="61"/>
  <c r="O70" i="61"/>
  <c r="C70" i="61"/>
  <c r="O69" i="61"/>
  <c r="C69" i="61"/>
  <c r="O68" i="61"/>
  <c r="C68" i="61"/>
  <c r="O67" i="61"/>
  <c r="C67" i="61"/>
  <c r="O66" i="61"/>
  <c r="C66" i="61"/>
  <c r="O65" i="61"/>
  <c r="C65" i="61"/>
  <c r="O64" i="61"/>
  <c r="C64" i="61"/>
  <c r="O63" i="61"/>
  <c r="D63" i="61"/>
  <c r="J63" i="61" s="1"/>
  <c r="P63" i="61" s="1"/>
  <c r="C63" i="61"/>
  <c r="O62" i="61"/>
  <c r="D62" i="61"/>
  <c r="J62" i="61" s="1"/>
  <c r="P62" i="61" s="1"/>
  <c r="C62" i="61"/>
  <c r="O61" i="61"/>
  <c r="D61" i="61"/>
  <c r="J61" i="61" s="1"/>
  <c r="P61" i="61" s="1"/>
  <c r="C61" i="61"/>
  <c r="O60" i="61"/>
  <c r="D60" i="61"/>
  <c r="J60" i="61" s="1"/>
  <c r="P60" i="61" s="1"/>
  <c r="C60" i="61"/>
  <c r="O59" i="61"/>
  <c r="D59" i="61"/>
  <c r="J59" i="61" s="1"/>
  <c r="P59" i="61" s="1"/>
  <c r="C59" i="61"/>
  <c r="O58" i="61"/>
  <c r="D58" i="61"/>
  <c r="J58" i="61" s="1"/>
  <c r="P58" i="61" s="1"/>
  <c r="C58" i="61"/>
  <c r="O57" i="61"/>
  <c r="D57" i="61"/>
  <c r="J57" i="61" s="1"/>
  <c r="P57" i="61" s="1"/>
  <c r="C57" i="61"/>
  <c r="O56" i="61"/>
  <c r="D56" i="61"/>
  <c r="J56" i="61" s="1"/>
  <c r="P56" i="61" s="1"/>
  <c r="C56" i="61"/>
  <c r="O55" i="61"/>
  <c r="D55" i="61"/>
  <c r="J55" i="61" s="1"/>
  <c r="P55" i="61" s="1"/>
  <c r="C55" i="61"/>
  <c r="O54" i="61"/>
  <c r="D54" i="61"/>
  <c r="J54" i="61" s="1"/>
  <c r="P54" i="61" s="1"/>
  <c r="C54" i="61"/>
  <c r="O53" i="61"/>
  <c r="D53" i="61"/>
  <c r="J53" i="61" s="1"/>
  <c r="P53" i="61" s="1"/>
  <c r="C53" i="61"/>
  <c r="O52" i="61"/>
  <c r="D52" i="61"/>
  <c r="J52" i="61" s="1"/>
  <c r="P52" i="61" s="1"/>
  <c r="C52" i="61"/>
  <c r="O6" i="61"/>
  <c r="O7" i="61"/>
  <c r="O8" i="61"/>
  <c r="O9" i="61"/>
  <c r="O10" i="61"/>
  <c r="O11" i="61"/>
  <c r="O12" i="61"/>
  <c r="O13" i="61"/>
  <c r="O14" i="61"/>
  <c r="O15" i="61"/>
  <c r="O16" i="61"/>
  <c r="O17" i="61"/>
  <c r="O18" i="61"/>
  <c r="O19" i="61"/>
  <c r="O20" i="61"/>
  <c r="O21" i="61"/>
  <c r="O22" i="61"/>
  <c r="O23" i="61"/>
  <c r="O24" i="61"/>
  <c r="O25" i="61"/>
  <c r="O26" i="61"/>
  <c r="O27" i="61"/>
  <c r="O28" i="61"/>
  <c r="O5" i="61"/>
  <c r="C6" i="61"/>
  <c r="D6" i="61"/>
  <c r="J6" i="61" s="1"/>
  <c r="P6" i="61" s="1"/>
  <c r="C7" i="61"/>
  <c r="D7" i="61"/>
  <c r="J7" i="61" s="1"/>
  <c r="P7" i="61" s="1"/>
  <c r="C8" i="61"/>
  <c r="D8" i="61"/>
  <c r="J8" i="61" s="1"/>
  <c r="P8" i="61" s="1"/>
  <c r="C9" i="61"/>
  <c r="D9" i="61"/>
  <c r="J9" i="61" s="1"/>
  <c r="P9" i="61" s="1"/>
  <c r="C10" i="61"/>
  <c r="D10" i="61"/>
  <c r="J10" i="61" s="1"/>
  <c r="P10" i="61" s="1"/>
  <c r="C11" i="61"/>
  <c r="D11" i="61"/>
  <c r="J11" i="61" s="1"/>
  <c r="P11" i="61" s="1"/>
  <c r="C12" i="61"/>
  <c r="D12" i="61"/>
  <c r="J12" i="61" s="1"/>
  <c r="P12" i="61" s="1"/>
  <c r="C13" i="61"/>
  <c r="D13" i="61"/>
  <c r="J13" i="61" s="1"/>
  <c r="P13" i="61" s="1"/>
  <c r="C14" i="61"/>
  <c r="D14" i="61"/>
  <c r="J14" i="61" s="1"/>
  <c r="P14" i="61" s="1"/>
  <c r="C15" i="61"/>
  <c r="D15" i="61"/>
  <c r="J15" i="61" s="1"/>
  <c r="P15" i="61" s="1"/>
  <c r="C16" i="61"/>
  <c r="D16" i="61"/>
  <c r="J16" i="61" s="1"/>
  <c r="P16" i="61" s="1"/>
  <c r="C17" i="61"/>
  <c r="C18" i="61"/>
  <c r="C19" i="61"/>
  <c r="C20" i="61"/>
  <c r="C21" i="61"/>
  <c r="C22" i="61"/>
  <c r="C23" i="61"/>
  <c r="C24" i="61"/>
  <c r="C25" i="61"/>
  <c r="C26" i="61"/>
  <c r="C27" i="61"/>
  <c r="C28" i="61"/>
  <c r="D5" i="61"/>
  <c r="J5" i="61" s="1"/>
  <c r="P5" i="61" s="1"/>
  <c r="C5" i="61"/>
  <c r="A77" i="61"/>
  <c r="A78" i="61" s="1"/>
  <c r="A79" i="61" s="1"/>
  <c r="A80" i="61" s="1"/>
  <c r="A81" i="61" s="1"/>
  <c r="A82" i="61" s="1"/>
  <c r="A83" i="61" s="1"/>
  <c r="A84" i="61" s="1"/>
  <c r="A85" i="61" s="1"/>
  <c r="A86" i="61" s="1"/>
  <c r="A87" i="61" s="1"/>
  <c r="A65" i="61"/>
  <c r="A66" i="61" s="1"/>
  <c r="A67" i="61" s="1"/>
  <c r="A68" i="61" s="1"/>
  <c r="A69" i="61" s="1"/>
  <c r="A70" i="61" s="1"/>
  <c r="A71" i="61" s="1"/>
  <c r="A72" i="61" s="1"/>
  <c r="A73" i="61" s="1"/>
  <c r="A74" i="61" s="1"/>
  <c r="A75" i="61" s="1"/>
  <c r="A53" i="61"/>
  <c r="A54" i="61" s="1"/>
  <c r="A55" i="61" s="1"/>
  <c r="A56" i="61" s="1"/>
  <c r="A57" i="61" s="1"/>
  <c r="A58" i="61" s="1"/>
  <c r="A59" i="61" s="1"/>
  <c r="A60" i="61" s="1"/>
  <c r="A61" i="61" s="1"/>
  <c r="A62" i="61" s="1"/>
  <c r="A63" i="61" s="1"/>
  <c r="A30" i="61"/>
  <c r="A31" i="61" s="1"/>
  <c r="A32" i="61" s="1"/>
  <c r="A33" i="61" s="1"/>
  <c r="A34" i="61" s="1"/>
  <c r="A35" i="61" s="1"/>
  <c r="A36" i="61" s="1"/>
  <c r="A37" i="61" s="1"/>
  <c r="A38" i="61" s="1"/>
  <c r="A39" i="61" s="1"/>
  <c r="A40" i="61" s="1"/>
  <c r="A18" i="61"/>
  <c r="A19" i="61" s="1"/>
  <c r="A20" i="61" s="1"/>
  <c r="A21" i="61" s="1"/>
  <c r="A22" i="61" s="1"/>
  <c r="A23" i="61" s="1"/>
  <c r="A24" i="61" s="1"/>
  <c r="A25" i="61" s="1"/>
  <c r="A26" i="61" s="1"/>
  <c r="A27" i="61" s="1"/>
  <c r="A28" i="61" s="1"/>
  <c r="A6" i="61"/>
  <c r="A7" i="61" s="1"/>
  <c r="A8" i="61" s="1"/>
  <c r="A9" i="61" s="1"/>
  <c r="A10" i="61" s="1"/>
  <c r="A11" i="61" s="1"/>
  <c r="A12" i="61" s="1"/>
  <c r="A13" i="61" s="1"/>
  <c r="A14" i="61" s="1"/>
  <c r="A15" i="61" s="1"/>
  <c r="A16" i="61" s="1"/>
  <c r="A1" i="61"/>
  <c r="U94" i="3"/>
  <c r="U95" i="3"/>
  <c r="U89" i="3"/>
  <c r="U90" i="3"/>
  <c r="U43" i="3"/>
  <c r="U44" i="3"/>
  <c r="C42" i="46"/>
  <c r="B42" i="46"/>
  <c r="C25" i="46"/>
  <c r="C13" i="46"/>
  <c r="C41" i="46"/>
  <c r="C40" i="46"/>
  <c r="B41" i="46"/>
  <c r="B40" i="46"/>
  <c r="C24" i="46"/>
  <c r="C12" i="46"/>
  <c r="U74" i="3"/>
  <c r="U73" i="3"/>
  <c r="U72" i="3"/>
  <c r="U71" i="3"/>
  <c r="U70" i="3"/>
  <c r="U69" i="3"/>
  <c r="U68" i="3"/>
  <c r="U67" i="3"/>
  <c r="U66" i="3"/>
  <c r="U65" i="3"/>
  <c r="U64" i="3"/>
  <c r="U63" i="3"/>
  <c r="V62" i="3"/>
  <c r="U62" i="3"/>
  <c r="V61" i="3"/>
  <c r="U61" i="3"/>
  <c r="V60" i="3"/>
  <c r="U60" i="3"/>
  <c r="V59" i="3"/>
  <c r="U59" i="3"/>
  <c r="V58" i="3"/>
  <c r="U58" i="3"/>
  <c r="V57" i="3"/>
  <c r="U57" i="3"/>
  <c r="V56" i="3"/>
  <c r="U56" i="3"/>
  <c r="V55" i="3"/>
  <c r="U55" i="3"/>
  <c r="V54" i="3"/>
  <c r="U54" i="3"/>
  <c r="V53" i="3"/>
  <c r="U53" i="3"/>
  <c r="V52" i="3"/>
  <c r="U52" i="3"/>
  <c r="V51" i="3"/>
  <c r="U51" i="3"/>
  <c r="G94" i="3"/>
  <c r="D95" i="3"/>
  <c r="D94" i="3"/>
  <c r="G89" i="3"/>
  <c r="D89" i="3"/>
  <c r="D90" i="3"/>
  <c r="C89" i="3"/>
  <c r="T95" i="3"/>
  <c r="S95" i="3"/>
  <c r="T94" i="3"/>
  <c r="S94" i="3"/>
  <c r="L94" i="3"/>
  <c r="L95" i="3"/>
  <c r="T90" i="3"/>
  <c r="S90" i="3"/>
  <c r="T89" i="3"/>
  <c r="S89" i="3"/>
  <c r="L89" i="3"/>
  <c r="L90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51" i="3"/>
  <c r="E52" i="61" l="1"/>
  <c r="Q5" i="61"/>
  <c r="F52" i="61"/>
  <c r="B53" i="61" s="1"/>
  <c r="Q52" i="61"/>
  <c r="R52" i="61" s="1"/>
  <c r="N53" i="61" s="1"/>
  <c r="R5" i="61"/>
  <c r="N6" i="61" s="1"/>
  <c r="E5" i="61"/>
  <c r="F5" i="61"/>
  <c r="B6" i="61" s="1"/>
  <c r="W51" i="3"/>
  <c r="X51" i="3" s="1"/>
  <c r="R52" i="3" s="1"/>
  <c r="S91" i="3"/>
  <c r="Q53" i="61" l="1"/>
  <c r="R53" i="61"/>
  <c r="N54" i="61" s="1"/>
  <c r="E53" i="61"/>
  <c r="F53" i="61" s="1"/>
  <c r="Q6" i="61"/>
  <c r="R6" i="61" s="1"/>
  <c r="N7" i="61" s="1"/>
  <c r="E6" i="61"/>
  <c r="F6" i="61"/>
  <c r="B7" i="61" s="1"/>
  <c r="W52" i="3"/>
  <c r="X52" i="3"/>
  <c r="R53" i="3" s="1"/>
  <c r="B54" i="61" l="1"/>
  <c r="Q54" i="61"/>
  <c r="R54" i="61"/>
  <c r="N55" i="61" s="1"/>
  <c r="Q7" i="61"/>
  <c r="R7" i="61" s="1"/>
  <c r="N8" i="61" s="1"/>
  <c r="E7" i="61"/>
  <c r="F7" i="61" s="1"/>
  <c r="B8" i="61" s="1"/>
  <c r="W53" i="3"/>
  <c r="X53" i="3"/>
  <c r="R54" i="3" s="1"/>
  <c r="E54" i="61" l="1"/>
  <c r="F54" i="61" s="1"/>
  <c r="Q55" i="61"/>
  <c r="R55" i="61"/>
  <c r="N56" i="61" s="1"/>
  <c r="Q8" i="61"/>
  <c r="R8" i="61" s="1"/>
  <c r="N9" i="61" s="1"/>
  <c r="E8" i="61"/>
  <c r="F8" i="61" s="1"/>
  <c r="B9" i="61" s="1"/>
  <c r="W54" i="3"/>
  <c r="X54" i="3" s="1"/>
  <c r="R55" i="3" s="1"/>
  <c r="B55" i="61" l="1"/>
  <c r="Q56" i="61"/>
  <c r="R56" i="61" s="1"/>
  <c r="N57" i="61" s="1"/>
  <c r="Q9" i="61"/>
  <c r="R9" i="61" s="1"/>
  <c r="N10" i="61" s="1"/>
  <c r="E9" i="61"/>
  <c r="F9" i="61" s="1"/>
  <c r="B10" i="61" s="1"/>
  <c r="W55" i="3"/>
  <c r="X55" i="3" s="1"/>
  <c r="R56" i="3" s="1"/>
  <c r="Q57" i="61" l="1"/>
  <c r="R57" i="61" s="1"/>
  <c r="N58" i="61" s="1"/>
  <c r="E55" i="61"/>
  <c r="F55" i="61" s="1"/>
  <c r="Q10" i="61"/>
  <c r="R10" i="61" s="1"/>
  <c r="N11" i="61" s="1"/>
  <c r="E10" i="61"/>
  <c r="F10" i="61" s="1"/>
  <c r="B11" i="61" s="1"/>
  <c r="W56" i="3"/>
  <c r="X56" i="3"/>
  <c r="R57" i="3" s="1"/>
  <c r="B56" i="61" l="1"/>
  <c r="Q58" i="61"/>
  <c r="R58" i="61" s="1"/>
  <c r="N59" i="61" s="1"/>
  <c r="Q11" i="61"/>
  <c r="R11" i="61" s="1"/>
  <c r="N12" i="61" s="1"/>
  <c r="E11" i="61"/>
  <c r="F11" i="61"/>
  <c r="B12" i="61" s="1"/>
  <c r="W57" i="3"/>
  <c r="X57" i="3" s="1"/>
  <c r="R58" i="3" s="1"/>
  <c r="Q59" i="61" l="1"/>
  <c r="R59" i="61" s="1"/>
  <c r="N60" i="61" s="1"/>
  <c r="E56" i="61"/>
  <c r="F56" i="61" s="1"/>
  <c r="Q12" i="61"/>
  <c r="R12" i="61" s="1"/>
  <c r="N13" i="61" s="1"/>
  <c r="E12" i="61"/>
  <c r="F12" i="61" s="1"/>
  <c r="B13" i="61" s="1"/>
  <c r="W58" i="3"/>
  <c r="X58" i="3" s="1"/>
  <c r="R59" i="3" s="1"/>
  <c r="B57" i="61" l="1"/>
  <c r="Q60" i="61"/>
  <c r="R60" i="61" s="1"/>
  <c r="N61" i="61" s="1"/>
  <c r="Q13" i="61"/>
  <c r="R13" i="61" s="1"/>
  <c r="N14" i="61" s="1"/>
  <c r="E13" i="61"/>
  <c r="F13" i="61"/>
  <c r="B14" i="61" s="1"/>
  <c r="W59" i="3"/>
  <c r="X59" i="3" s="1"/>
  <c r="R60" i="3" s="1"/>
  <c r="Q61" i="61" l="1"/>
  <c r="R61" i="61" s="1"/>
  <c r="N62" i="61" s="1"/>
  <c r="E57" i="61"/>
  <c r="F57" i="61" s="1"/>
  <c r="Q14" i="61"/>
  <c r="R14" i="61" s="1"/>
  <c r="N15" i="61" s="1"/>
  <c r="E14" i="61"/>
  <c r="F14" i="61" s="1"/>
  <c r="B15" i="61" s="1"/>
  <c r="W60" i="3"/>
  <c r="X60" i="3" s="1"/>
  <c r="R61" i="3" s="1"/>
  <c r="B58" i="61" l="1"/>
  <c r="Q62" i="61"/>
  <c r="R62" i="61" s="1"/>
  <c r="N63" i="61" s="1"/>
  <c r="Q15" i="61"/>
  <c r="R15" i="61" s="1"/>
  <c r="N16" i="61" s="1"/>
  <c r="E15" i="61"/>
  <c r="F15" i="61"/>
  <c r="B16" i="61" s="1"/>
  <c r="W61" i="3"/>
  <c r="X61" i="3" s="1"/>
  <c r="R62" i="3" s="1"/>
  <c r="Q63" i="61" l="1"/>
  <c r="R63" i="61"/>
  <c r="E58" i="61"/>
  <c r="F58" i="61" s="1"/>
  <c r="Q16" i="61"/>
  <c r="R16" i="61" s="1"/>
  <c r="E16" i="61"/>
  <c r="F16" i="61"/>
  <c r="W62" i="3"/>
  <c r="X62" i="3"/>
  <c r="R63" i="3" s="1"/>
  <c r="B17" i="61" l="1"/>
  <c r="F43" i="61"/>
  <c r="N17" i="61"/>
  <c r="R43" i="61"/>
  <c r="B59" i="61"/>
  <c r="N64" i="61"/>
  <c r="R90" i="61"/>
  <c r="R96" i="61" l="1"/>
  <c r="E59" i="61"/>
  <c r="F59" i="61" s="1"/>
  <c r="B60" i="61" l="1"/>
  <c r="E60" i="61" l="1"/>
  <c r="F60" i="61" s="1"/>
  <c r="B61" i="61" l="1"/>
  <c r="E61" i="61" l="1"/>
  <c r="F61" i="61" s="1"/>
  <c r="B62" i="61" l="1"/>
  <c r="E62" i="61" l="1"/>
  <c r="F62" i="61" s="1"/>
  <c r="B63" i="61" l="1"/>
  <c r="E63" i="61" l="1"/>
  <c r="F63" i="61" s="1"/>
  <c r="F90" i="61" l="1"/>
  <c r="F96" i="61" s="1"/>
  <c r="B64" i="61"/>
  <c r="L43" i="3" l="1"/>
  <c r="D43" i="3"/>
  <c r="D44" i="3"/>
  <c r="C43" i="3"/>
  <c r="C94" i="3" s="1"/>
  <c r="S43" i="3"/>
  <c r="T43" i="3"/>
  <c r="U7" i="3"/>
  <c r="U9" i="3"/>
  <c r="U12" i="3"/>
  <c r="U13" i="3"/>
  <c r="U14" i="3"/>
  <c r="U15" i="3"/>
  <c r="U16" i="3"/>
  <c r="T44" i="3"/>
  <c r="U21" i="3"/>
  <c r="U22" i="3"/>
  <c r="U24" i="3"/>
  <c r="U25" i="3"/>
  <c r="U11" i="3"/>
  <c r="U10" i="3"/>
  <c r="U8" i="3"/>
  <c r="U6" i="3"/>
  <c r="U5" i="3"/>
  <c r="A30" i="3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U28" i="3"/>
  <c r="U27" i="3"/>
  <c r="U26" i="3"/>
  <c r="U23" i="3"/>
  <c r="U20" i="3"/>
  <c r="U19" i="3"/>
  <c r="U18" i="3"/>
  <c r="E28" i="3"/>
  <c r="E27" i="3"/>
  <c r="E26" i="3"/>
  <c r="E25" i="3"/>
  <c r="E24" i="3"/>
  <c r="E23" i="3"/>
  <c r="E22" i="3"/>
  <c r="E21" i="3"/>
  <c r="E20" i="3"/>
  <c r="E19" i="3"/>
  <c r="E18" i="3"/>
  <c r="E17" i="3"/>
  <c r="H16" i="54" l="1"/>
  <c r="D16" i="54"/>
  <c r="F16" i="54"/>
  <c r="D75" i="3" a="1"/>
  <c r="L16" i="54"/>
  <c r="S88" i="3"/>
  <c r="S45" i="3"/>
  <c r="S96" i="3" s="1"/>
  <c r="S44" i="3"/>
  <c r="S42" i="3"/>
  <c r="U17" i="3"/>
  <c r="T75" i="3" l="1" a="1"/>
  <c r="M16" i="54"/>
  <c r="I16" i="54"/>
  <c r="E16" i="54"/>
  <c r="O16" i="54"/>
  <c r="N16" i="54"/>
  <c r="T29" i="3" a="1"/>
  <c r="T29" i="3" s="1"/>
  <c r="U29" i="3" s="1"/>
  <c r="O29" i="61" s="1"/>
  <c r="G16" i="54"/>
  <c r="J16" i="54"/>
  <c r="L75" i="3" a="1"/>
  <c r="L76" i="3" s="1"/>
  <c r="K16" i="54"/>
  <c r="T75" i="3"/>
  <c r="T78" i="3"/>
  <c r="U78" i="3" s="1"/>
  <c r="O79" i="61" s="1"/>
  <c r="T76" i="3"/>
  <c r="U76" i="3" s="1"/>
  <c r="O77" i="61" s="1"/>
  <c r="T79" i="3"/>
  <c r="U79" i="3" s="1"/>
  <c r="O80" i="61" s="1"/>
  <c r="T77" i="3"/>
  <c r="U77" i="3" s="1"/>
  <c r="O78" i="61" s="1"/>
  <c r="T86" i="3"/>
  <c r="U86" i="3" s="1"/>
  <c r="O87" i="61" s="1"/>
  <c r="T84" i="3"/>
  <c r="U84" i="3" s="1"/>
  <c r="O85" i="61" s="1"/>
  <c r="T85" i="3"/>
  <c r="U85" i="3" s="1"/>
  <c r="O86" i="61" s="1"/>
  <c r="T82" i="3"/>
  <c r="U82" i="3" s="1"/>
  <c r="O83" i="61" s="1"/>
  <c r="T80" i="3"/>
  <c r="U80" i="3" s="1"/>
  <c r="O81" i="61" s="1"/>
  <c r="T83" i="3"/>
  <c r="U83" i="3" s="1"/>
  <c r="O84" i="61" s="1"/>
  <c r="T81" i="3"/>
  <c r="U81" i="3" s="1"/>
  <c r="O82" i="61" s="1"/>
  <c r="D75" i="3"/>
  <c r="D80" i="3"/>
  <c r="D85" i="3"/>
  <c r="D79" i="3"/>
  <c r="D77" i="3"/>
  <c r="D76" i="3"/>
  <c r="D83" i="3"/>
  <c r="D81" i="3"/>
  <c r="D86" i="3"/>
  <c r="D78" i="3"/>
  <c r="D84" i="3"/>
  <c r="D82" i="3"/>
  <c r="D29" i="3" a="1"/>
  <c r="L29" i="3" a="1"/>
  <c r="S99" i="3"/>
  <c r="S93" i="3"/>
  <c r="P5" i="54"/>
  <c r="P13" i="54"/>
  <c r="P14" i="54"/>
  <c r="P10" i="54"/>
  <c r="P9" i="54"/>
  <c r="T33" i="3" l="1"/>
  <c r="U33" i="3" s="1"/>
  <c r="O33" i="61" s="1"/>
  <c r="T39" i="3"/>
  <c r="U39" i="3" s="1"/>
  <c r="O39" i="61" s="1"/>
  <c r="T37" i="3"/>
  <c r="U37" i="3" s="1"/>
  <c r="O37" i="61" s="1"/>
  <c r="T35" i="3"/>
  <c r="U35" i="3" s="1"/>
  <c r="O35" i="61" s="1"/>
  <c r="L77" i="3"/>
  <c r="L84" i="3"/>
  <c r="L81" i="3"/>
  <c r="L86" i="3"/>
  <c r="L83" i="3"/>
  <c r="T34" i="3"/>
  <c r="U34" i="3" s="1"/>
  <c r="O34" i="61" s="1"/>
  <c r="T30" i="3"/>
  <c r="U30" i="3" s="1"/>
  <c r="O30" i="61" s="1"/>
  <c r="L85" i="3"/>
  <c r="T36" i="3"/>
  <c r="U36" i="3" s="1"/>
  <c r="O36" i="61" s="1"/>
  <c r="L80" i="3"/>
  <c r="L75" i="3"/>
  <c r="L79" i="3"/>
  <c r="L82" i="3"/>
  <c r="T31" i="3"/>
  <c r="U31" i="3" s="1"/>
  <c r="O31" i="61" s="1"/>
  <c r="T40" i="3"/>
  <c r="U40" i="3" s="1"/>
  <c r="O40" i="61" s="1"/>
  <c r="L78" i="3"/>
  <c r="T32" i="3"/>
  <c r="U32" i="3" s="1"/>
  <c r="O32" i="61" s="1"/>
  <c r="T38" i="3"/>
  <c r="U38" i="3" s="1"/>
  <c r="O38" i="61" s="1"/>
  <c r="R9" i="54"/>
  <c r="D91" i="3"/>
  <c r="D88" i="3"/>
  <c r="R13" i="54"/>
  <c r="L30" i="3"/>
  <c r="L36" i="3"/>
  <c r="L34" i="3"/>
  <c r="L39" i="3"/>
  <c r="L35" i="3"/>
  <c r="L33" i="3"/>
  <c r="L32" i="3"/>
  <c r="L38" i="3"/>
  <c r="L29" i="3"/>
  <c r="L40" i="3"/>
  <c r="L31" i="3"/>
  <c r="L37" i="3"/>
  <c r="D29" i="3"/>
  <c r="D39" i="3"/>
  <c r="D40" i="3"/>
  <c r="D31" i="3"/>
  <c r="D37" i="3"/>
  <c r="D35" i="3"/>
  <c r="D38" i="3"/>
  <c r="D36" i="3"/>
  <c r="D34" i="3"/>
  <c r="D33" i="3"/>
  <c r="D32" i="3"/>
  <c r="D30" i="3"/>
  <c r="T91" i="3"/>
  <c r="U75" i="3"/>
  <c r="E6" i="3"/>
  <c r="F6" i="3"/>
  <c r="E7" i="3"/>
  <c r="F7" i="3"/>
  <c r="E8" i="3"/>
  <c r="F8" i="3"/>
  <c r="E9" i="3"/>
  <c r="F9" i="3"/>
  <c r="E10" i="3"/>
  <c r="F10" i="3"/>
  <c r="E11" i="3"/>
  <c r="F11" i="3"/>
  <c r="E12" i="3"/>
  <c r="F12" i="3"/>
  <c r="E13" i="3"/>
  <c r="F13" i="3"/>
  <c r="E14" i="3"/>
  <c r="F14" i="3"/>
  <c r="E15" i="3"/>
  <c r="F15" i="3"/>
  <c r="E16" i="3"/>
  <c r="F16" i="3"/>
  <c r="E5" i="3"/>
  <c r="F5" i="3"/>
  <c r="L91" i="3" l="1"/>
  <c r="U45" i="3"/>
  <c r="O76" i="61"/>
  <c r="U91" i="3"/>
  <c r="U96" i="3" s="1"/>
  <c r="D42" i="3"/>
  <c r="D93" i="3" s="1"/>
  <c r="D45" i="3"/>
  <c r="D96" i="3" s="1"/>
  <c r="N11" i="3"/>
  <c r="F57" i="3"/>
  <c r="N57" i="3" s="1"/>
  <c r="N9" i="3"/>
  <c r="F55" i="3"/>
  <c r="N55" i="3" s="1"/>
  <c r="N15" i="3"/>
  <c r="V15" i="3" s="1"/>
  <c r="F61" i="3"/>
  <c r="N61" i="3" s="1"/>
  <c r="N5" i="3"/>
  <c r="V5" i="3" s="1"/>
  <c r="W5" i="3" s="1"/>
  <c r="F51" i="3"/>
  <c r="N16" i="3"/>
  <c r="F62" i="3"/>
  <c r="N62" i="3" s="1"/>
  <c r="N14" i="3"/>
  <c r="F60" i="3"/>
  <c r="N60" i="3" s="1"/>
  <c r="N10" i="3"/>
  <c r="F56" i="3"/>
  <c r="N56" i="3" s="1"/>
  <c r="N8" i="3"/>
  <c r="F54" i="3"/>
  <c r="N54" i="3" s="1"/>
  <c r="N13" i="3"/>
  <c r="F59" i="3"/>
  <c r="N59" i="3" s="1"/>
  <c r="N12" i="3"/>
  <c r="F58" i="3"/>
  <c r="N58" i="3" s="1"/>
  <c r="N7" i="3"/>
  <c r="V7" i="3" s="1"/>
  <c r="F53" i="3"/>
  <c r="N53" i="3" s="1"/>
  <c r="N6" i="3"/>
  <c r="F52" i="3"/>
  <c r="N52" i="3" s="1"/>
  <c r="V12" i="3"/>
  <c r="V11" i="3"/>
  <c r="V9" i="3"/>
  <c r="V16" i="3"/>
  <c r="V6" i="3"/>
  <c r="V14" i="3"/>
  <c r="V10" i="3"/>
  <c r="V8" i="3"/>
  <c r="V13" i="3"/>
  <c r="G5" i="3"/>
  <c r="N51" i="3" l="1"/>
  <c r="G51" i="3"/>
  <c r="H51" i="3" s="1"/>
  <c r="B52" i="3" s="1"/>
  <c r="X5" i="3"/>
  <c r="R6" i="3" s="1"/>
  <c r="H5" i="3"/>
  <c r="B6" i="3"/>
  <c r="W6" i="3"/>
  <c r="X6" i="3" s="1"/>
  <c r="R7" i="3" s="1"/>
  <c r="W7" i="3" s="1"/>
  <c r="X7" i="3" s="1"/>
  <c r="R8" i="3" s="1"/>
  <c r="W8" i="3" s="1"/>
  <c r="X8" i="3" s="1"/>
  <c r="R9" i="3" s="1"/>
  <c r="W9" i="3" s="1"/>
  <c r="X9" i="3" s="1"/>
  <c r="R10" i="3" s="1"/>
  <c r="W10" i="3" s="1"/>
  <c r="X10" i="3" s="1"/>
  <c r="R11" i="3" s="1"/>
  <c r="W11" i="3" s="1"/>
  <c r="X11" i="3" s="1"/>
  <c r="R12" i="3" s="1"/>
  <c r="W12" i="3" s="1"/>
  <c r="X12" i="3" s="1"/>
  <c r="R13" i="3" s="1"/>
  <c r="W13" i="3" s="1"/>
  <c r="X13" i="3" s="1"/>
  <c r="R14" i="3" s="1"/>
  <c r="W14" i="3" s="1"/>
  <c r="X14" i="3" s="1"/>
  <c r="R15" i="3" s="1"/>
  <c r="W15" i="3" s="1"/>
  <c r="X15" i="3" s="1"/>
  <c r="R16" i="3" s="1"/>
  <c r="W16" i="3" s="1"/>
  <c r="X16" i="3" s="1"/>
  <c r="G6" i="3"/>
  <c r="H6" i="3"/>
  <c r="W43" i="3" l="1"/>
  <c r="B7" i="3"/>
  <c r="G7" i="3" s="1"/>
  <c r="R17" i="3" l="1"/>
  <c r="H29" i="14" l="1"/>
  <c r="H28" i="14"/>
  <c r="H24" i="14"/>
  <c r="H23" i="14"/>
  <c r="H22" i="14"/>
  <c r="J23" i="34" l="1"/>
  <c r="C23" i="34" l="1"/>
  <c r="M23" i="34"/>
  <c r="H23" i="34"/>
  <c r="K23" i="34"/>
  <c r="E23" i="34"/>
  <c r="F23" i="34"/>
  <c r="D23" i="34"/>
  <c r="G23" i="34"/>
  <c r="L23" i="34"/>
  <c r="I23" i="34"/>
  <c r="B23" i="34"/>
  <c r="L42" i="52"/>
  <c r="L43" i="52"/>
  <c r="L44" i="52"/>
  <c r="L41" i="52"/>
  <c r="D121" i="45"/>
  <c r="E121" i="45"/>
  <c r="F121" i="45"/>
  <c r="G121" i="45"/>
  <c r="H121" i="45"/>
  <c r="I121" i="45"/>
  <c r="F122" i="45"/>
  <c r="G122" i="45"/>
  <c r="H122" i="45"/>
  <c r="I122" i="45"/>
  <c r="H123" i="45"/>
  <c r="I123" i="45"/>
  <c r="K74" i="52"/>
  <c r="K65" i="52"/>
  <c r="K56" i="52"/>
  <c r="H45" i="52"/>
  <c r="K38" i="52"/>
  <c r="K29" i="52"/>
  <c r="K20" i="52"/>
  <c r="D54" i="45"/>
  <c r="E54" i="45"/>
  <c r="F54" i="45"/>
  <c r="G54" i="45"/>
  <c r="H54" i="45"/>
  <c r="I54" i="45"/>
  <c r="F55" i="45"/>
  <c r="G55" i="45"/>
  <c r="H55" i="45"/>
  <c r="I55" i="45"/>
  <c r="H56" i="45"/>
  <c r="I56" i="45"/>
  <c r="D114" i="45"/>
  <c r="E114" i="45"/>
  <c r="F114" i="45"/>
  <c r="G114" i="45"/>
  <c r="H114" i="45"/>
  <c r="I114" i="45"/>
  <c r="F115" i="45"/>
  <c r="G115" i="45"/>
  <c r="H115" i="45"/>
  <c r="I115" i="45"/>
  <c r="H116" i="45"/>
  <c r="I116" i="45"/>
  <c r="E72" i="52"/>
  <c r="E36" i="52"/>
  <c r="B44" i="52"/>
  <c r="B43" i="52"/>
  <c r="B42" i="52"/>
  <c r="B41" i="52"/>
  <c r="B45" i="52" l="1"/>
  <c r="O30" i="50" l="1" a="1"/>
  <c r="Y32" i="50" s="1"/>
  <c r="O30" i="49" a="1"/>
  <c r="Z32" i="49" s="1"/>
  <c r="Z31" i="48"/>
  <c r="Y31" i="48"/>
  <c r="X31" i="48"/>
  <c r="W31" i="48"/>
  <c r="V30" i="48"/>
  <c r="U30" i="48"/>
  <c r="T30" i="48"/>
  <c r="S30" i="48"/>
  <c r="O30" i="48" a="1"/>
  <c r="Z32" i="48" s="1"/>
  <c r="O30" i="47" a="1"/>
  <c r="Z32" i="47" s="1"/>
  <c r="BB7" i="23"/>
  <c r="BB8" i="23"/>
  <c r="BB9" i="23"/>
  <c r="BB10" i="23"/>
  <c r="BB11" i="23"/>
  <c r="BB12" i="23"/>
  <c r="BB13" i="23"/>
  <c r="BB14" i="23"/>
  <c r="BB15" i="23"/>
  <c r="BB16" i="23"/>
  <c r="BB17" i="23"/>
  <c r="BB6" i="23"/>
  <c r="BB7" i="17"/>
  <c r="BB8" i="17"/>
  <c r="BB9" i="17"/>
  <c r="BB10" i="17"/>
  <c r="BB11" i="17"/>
  <c r="BB12" i="17"/>
  <c r="BB13" i="17"/>
  <c r="BB14" i="17"/>
  <c r="BB15" i="17"/>
  <c r="BB16" i="17"/>
  <c r="BB17" i="17"/>
  <c r="BB6" i="17"/>
  <c r="S30" i="50" l="1"/>
  <c r="W31" i="50"/>
  <c r="T30" i="50"/>
  <c r="X31" i="50"/>
  <c r="U30" i="50"/>
  <c r="Y31" i="50"/>
  <c r="O32" i="50"/>
  <c r="Z31" i="50"/>
  <c r="W30" i="50"/>
  <c r="X30" i="50"/>
  <c r="P32" i="50"/>
  <c r="R30" i="50"/>
  <c r="V30" i="50"/>
  <c r="Y30" i="50"/>
  <c r="Q32" i="50"/>
  <c r="Z30" i="50"/>
  <c r="R32" i="50"/>
  <c r="O31" i="50"/>
  <c r="S32" i="50"/>
  <c r="Z32" i="50"/>
  <c r="P31" i="50"/>
  <c r="T32" i="50"/>
  <c r="Q31" i="50"/>
  <c r="U32" i="50"/>
  <c r="R31" i="50"/>
  <c r="V32" i="50"/>
  <c r="V31" i="50"/>
  <c r="W32" i="50"/>
  <c r="P30" i="50"/>
  <c r="T31" i="50"/>
  <c r="X32" i="50"/>
  <c r="O30" i="50"/>
  <c r="S31" i="50"/>
  <c r="Q30" i="50"/>
  <c r="U31" i="50"/>
  <c r="S30" i="49"/>
  <c r="W31" i="49"/>
  <c r="P32" i="49"/>
  <c r="X30" i="49"/>
  <c r="Y30" i="49"/>
  <c r="Q32" i="49"/>
  <c r="Z30" i="49"/>
  <c r="R32" i="49"/>
  <c r="O31" i="49"/>
  <c r="S32" i="49"/>
  <c r="Y31" i="49"/>
  <c r="P31" i="49"/>
  <c r="T32" i="49"/>
  <c r="V30" i="49"/>
  <c r="Q31" i="49"/>
  <c r="U32" i="49"/>
  <c r="R31" i="49"/>
  <c r="V32" i="49"/>
  <c r="X31" i="49"/>
  <c r="Z31" i="49"/>
  <c r="O30" i="49"/>
  <c r="S31" i="49"/>
  <c r="W32" i="49"/>
  <c r="U30" i="49"/>
  <c r="O32" i="49"/>
  <c r="P30" i="49"/>
  <c r="T31" i="49"/>
  <c r="X32" i="49"/>
  <c r="Q30" i="49"/>
  <c r="U31" i="49"/>
  <c r="Y32" i="49"/>
  <c r="T30" i="49"/>
  <c r="W30" i="49"/>
  <c r="R30" i="49"/>
  <c r="V31" i="49"/>
  <c r="O32" i="48"/>
  <c r="X30" i="48"/>
  <c r="P32" i="48"/>
  <c r="Y30" i="48"/>
  <c r="Q32" i="48"/>
  <c r="W30" i="48"/>
  <c r="Z30" i="48"/>
  <c r="R32" i="48"/>
  <c r="O31" i="48"/>
  <c r="S32" i="48"/>
  <c r="P31" i="48"/>
  <c r="T32" i="48"/>
  <c r="Q31" i="48"/>
  <c r="U32" i="48"/>
  <c r="R31" i="48"/>
  <c r="V32" i="48"/>
  <c r="O30" i="48"/>
  <c r="S31" i="48"/>
  <c r="W32" i="48"/>
  <c r="P30" i="48"/>
  <c r="T31" i="48"/>
  <c r="X32" i="48"/>
  <c r="Q30" i="48"/>
  <c r="U31" i="48"/>
  <c r="Y32" i="48"/>
  <c r="R30" i="48"/>
  <c r="V31" i="48"/>
  <c r="W31" i="47"/>
  <c r="Q31" i="47"/>
  <c r="P32" i="47"/>
  <c r="Q32" i="47"/>
  <c r="R32" i="47"/>
  <c r="P31" i="47"/>
  <c r="S30" i="47"/>
  <c r="T30" i="47"/>
  <c r="X31" i="47"/>
  <c r="U30" i="47"/>
  <c r="Y31" i="47"/>
  <c r="V30" i="47"/>
  <c r="Z31" i="47"/>
  <c r="W30" i="47"/>
  <c r="O32" i="47"/>
  <c r="X30" i="47"/>
  <c r="Y30" i="47"/>
  <c r="Z30" i="47"/>
  <c r="O31" i="47"/>
  <c r="S32" i="47"/>
  <c r="T32" i="47"/>
  <c r="U32" i="47"/>
  <c r="V32" i="47"/>
  <c r="W32" i="47"/>
  <c r="X32" i="47"/>
  <c r="R31" i="47"/>
  <c r="O30" i="47"/>
  <c r="S31" i="47"/>
  <c r="P30" i="47"/>
  <c r="T31" i="47"/>
  <c r="Q30" i="47"/>
  <c r="U31" i="47"/>
  <c r="Y32" i="47"/>
  <c r="R30" i="47"/>
  <c r="V31" i="47"/>
  <c r="L55" i="55" l="1"/>
  <c r="I55" i="55"/>
  <c r="J55" i="55"/>
  <c r="C59" i="55"/>
  <c r="D59" i="55"/>
  <c r="E59" i="55"/>
  <c r="F59" i="55"/>
  <c r="H59" i="55"/>
  <c r="I59" i="55"/>
  <c r="J59" i="55"/>
  <c r="K59" i="55"/>
  <c r="L59" i="55"/>
  <c r="G59" i="55"/>
  <c r="J50" i="55" l="1"/>
  <c r="K55" i="55"/>
  <c r="L45" i="3"/>
  <c r="L96" i="3" s="1"/>
  <c r="L99" i="3" s="1"/>
  <c r="F50" i="55"/>
  <c r="E50" i="55"/>
  <c r="F55" i="55"/>
  <c r="E55" i="55"/>
  <c r="G55" i="55"/>
  <c r="D55" i="55"/>
  <c r="L50" i="55"/>
  <c r="I50" i="55"/>
  <c r="K50" i="55"/>
  <c r="D50" i="55"/>
  <c r="H55" i="55"/>
  <c r="G50" i="55"/>
  <c r="H50" i="55"/>
  <c r="C55" i="55"/>
  <c r="C50" i="55"/>
  <c r="BB7" i="16" l="1"/>
  <c r="BB8" i="16"/>
  <c r="BB9" i="16"/>
  <c r="BB10" i="16"/>
  <c r="BB11" i="16"/>
  <c r="BB12" i="16"/>
  <c r="BB13" i="16"/>
  <c r="BB14" i="16"/>
  <c r="BB15" i="16"/>
  <c r="BB16" i="16"/>
  <c r="BB17" i="16"/>
  <c r="BB6" i="16"/>
  <c r="BB7" i="43"/>
  <c r="BB8" i="43"/>
  <c r="BB9" i="43"/>
  <c r="BB10" i="43"/>
  <c r="BB11" i="43"/>
  <c r="BB12" i="43"/>
  <c r="BB13" i="43"/>
  <c r="BB14" i="43"/>
  <c r="BB15" i="43"/>
  <c r="BB16" i="43"/>
  <c r="BB17" i="43"/>
  <c r="BB6" i="43"/>
  <c r="AA30" i="41" a="1"/>
  <c r="AL32" i="41" s="1"/>
  <c r="AA30" i="40" a="1"/>
  <c r="AL32" i="40" s="1"/>
  <c r="AA30" i="39" a="1"/>
  <c r="AL32" i="39" s="1"/>
  <c r="AA30" i="44" a="1"/>
  <c r="AL32" i="44" s="1"/>
  <c r="E98" i="52"/>
  <c r="E97" i="52"/>
  <c r="E96" i="52"/>
  <c r="E95" i="52"/>
  <c r="E89" i="52"/>
  <c r="E88" i="52"/>
  <c r="E87" i="52"/>
  <c r="E86" i="52"/>
  <c r="E65" i="52"/>
  <c r="E64" i="52"/>
  <c r="E63" i="52"/>
  <c r="E56" i="52"/>
  <c r="E55" i="52"/>
  <c r="E54" i="52"/>
  <c r="E29" i="52"/>
  <c r="E28" i="52"/>
  <c r="E27" i="52"/>
  <c r="E20" i="52"/>
  <c r="E19" i="52"/>
  <c r="E18" i="52"/>
  <c r="A102" i="45"/>
  <c r="A103" i="45" s="1"/>
  <c r="A104" i="45" s="1"/>
  <c r="A105" i="45" s="1"/>
  <c r="A106" i="45" s="1"/>
  <c r="A107" i="45" s="1"/>
  <c r="A108" i="45" s="1"/>
  <c r="A109" i="45" s="1"/>
  <c r="A110" i="45" s="1"/>
  <c r="A111" i="45" s="1"/>
  <c r="A112" i="45" s="1"/>
  <c r="A42" i="45"/>
  <c r="A43" i="45" s="1"/>
  <c r="A44" i="45" s="1"/>
  <c r="A45" i="45" s="1"/>
  <c r="A46" i="45" s="1"/>
  <c r="A47" i="45" s="1"/>
  <c r="A48" i="45" s="1"/>
  <c r="A49" i="45" s="1"/>
  <c r="A50" i="45" s="1"/>
  <c r="A51" i="45" s="1"/>
  <c r="A52" i="45" s="1"/>
  <c r="A76" i="3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C38" i="60"/>
  <c r="B38" i="60"/>
  <c r="E37" i="60"/>
  <c r="C37" i="60"/>
  <c r="B37" i="60"/>
  <c r="N32" i="60"/>
  <c r="M32" i="60"/>
  <c r="K32" i="60"/>
  <c r="L31" i="60"/>
  <c r="K31" i="60"/>
  <c r="J31" i="60"/>
  <c r="I31" i="60"/>
  <c r="H30" i="60"/>
  <c r="G30" i="60"/>
  <c r="F30" i="60"/>
  <c r="E30" i="60"/>
  <c r="C30" i="60"/>
  <c r="C30" i="60" a="1"/>
  <c r="L32" i="60" s="1"/>
  <c r="A1" i="60"/>
  <c r="F38" i="58"/>
  <c r="E38" i="58"/>
  <c r="M32" i="58"/>
  <c r="L32" i="58"/>
  <c r="K32" i="58"/>
  <c r="I31" i="58"/>
  <c r="H31" i="58"/>
  <c r="G31" i="58"/>
  <c r="K30" i="58"/>
  <c r="E30" i="58"/>
  <c r="D30" i="58"/>
  <c r="C30" i="58"/>
  <c r="C30" i="58" a="1"/>
  <c r="J32" i="58" s="1"/>
  <c r="A1" i="58"/>
  <c r="E38" i="57"/>
  <c r="C30" i="57" a="1"/>
  <c r="G32" i="57" s="1"/>
  <c r="A1" i="57"/>
  <c r="E38" i="56"/>
  <c r="C30" i="56" a="1"/>
  <c r="G32" i="56" s="1"/>
  <c r="A1" i="56"/>
  <c r="D12" i="34"/>
  <c r="E12" i="34" s="1"/>
  <c r="F12" i="34" s="1"/>
  <c r="G12" i="34" s="1"/>
  <c r="H12" i="34" s="1"/>
  <c r="I12" i="34" s="1"/>
  <c r="J12" i="34" s="1"/>
  <c r="K12" i="34" s="1"/>
  <c r="L12" i="34" s="1"/>
  <c r="M12" i="34" s="1"/>
  <c r="C12" i="34"/>
  <c r="B59" i="55"/>
  <c r="L62" i="55"/>
  <c r="H62" i="55"/>
  <c r="A26" i="55"/>
  <c r="A27" i="55" s="1"/>
  <c r="A28" i="55" s="1"/>
  <c r="A29" i="55" s="1"/>
  <c r="A30" i="55" s="1"/>
  <c r="A31" i="55" s="1"/>
  <c r="A32" i="55" s="1"/>
  <c r="A33" i="55" s="1"/>
  <c r="A34" i="55" s="1"/>
  <c r="A35" i="55" s="1"/>
  <c r="A36" i="55" s="1"/>
  <c r="A25" i="55"/>
  <c r="A21" i="55"/>
  <c r="A6" i="55"/>
  <c r="A7" i="55" s="1"/>
  <c r="A8" i="55" s="1"/>
  <c r="A9" i="55" s="1"/>
  <c r="A10" i="55" s="1"/>
  <c r="A11" i="55" s="1"/>
  <c r="A12" i="55" s="1"/>
  <c r="A13" i="55" s="1"/>
  <c r="A14" i="55" s="1"/>
  <c r="A15" i="55" s="1"/>
  <c r="A16" i="55" s="1"/>
  <c r="E2" i="54"/>
  <c r="F2" i="54" s="1"/>
  <c r="G2" i="54" s="1"/>
  <c r="H2" i="54" s="1"/>
  <c r="I2" i="54" s="1"/>
  <c r="J2" i="54" s="1"/>
  <c r="K2" i="54" s="1"/>
  <c r="L2" i="54" s="1"/>
  <c r="M2" i="54" s="1"/>
  <c r="N2" i="54" s="1"/>
  <c r="O2" i="54" s="1"/>
  <c r="F19" i="53"/>
  <c r="D19" i="53"/>
  <c r="B19" i="53"/>
  <c r="B17" i="47"/>
  <c r="B17" i="49"/>
  <c r="B17" i="48"/>
  <c r="B16" i="47"/>
  <c r="B16" i="49"/>
  <c r="B16" i="50"/>
  <c r="B15" i="47"/>
  <c r="B15" i="49"/>
  <c r="B14" i="49"/>
  <c r="B14" i="50"/>
  <c r="B13" i="49"/>
  <c r="B12" i="47"/>
  <c r="B12" i="49"/>
  <c r="B12" i="50"/>
  <c r="J19" i="53"/>
  <c r="B11" i="47"/>
  <c r="B11" i="49"/>
  <c r="B10" i="47"/>
  <c r="B10" i="49"/>
  <c r="B10" i="50"/>
  <c r="B9" i="47"/>
  <c r="B9" i="49"/>
  <c r="B9" i="48"/>
  <c r="B8" i="47"/>
  <c r="B8" i="49"/>
  <c r="B8" i="50"/>
  <c r="B7" i="47"/>
  <c r="B7" i="49"/>
  <c r="B7" i="48"/>
  <c r="K19" i="53"/>
  <c r="B6" i="50"/>
  <c r="A8" i="8"/>
  <c r="L14" i="53" l="1"/>
  <c r="B14" i="48"/>
  <c r="B14" i="47"/>
  <c r="L12" i="53"/>
  <c r="B12" i="48"/>
  <c r="L10" i="53"/>
  <c r="B10" i="48"/>
  <c r="L17" i="53"/>
  <c r="B17" i="50"/>
  <c r="E19" i="53"/>
  <c r="C19" i="53"/>
  <c r="B7" i="50"/>
  <c r="L8" i="53"/>
  <c r="B8" i="48"/>
  <c r="L15" i="53"/>
  <c r="B15" i="50"/>
  <c r="B15" i="48"/>
  <c r="L13" i="53"/>
  <c r="B13" i="50"/>
  <c r="B13" i="48"/>
  <c r="L16" i="53"/>
  <c r="B16" i="48"/>
  <c r="G19" i="53"/>
  <c r="L11" i="53"/>
  <c r="B11" i="50"/>
  <c r="B11" i="48"/>
  <c r="L6" i="53"/>
  <c r="B6" i="48"/>
  <c r="H19" i="53"/>
  <c r="B6" i="49"/>
  <c r="I19" i="53"/>
  <c r="B6" i="47"/>
  <c r="L9" i="53"/>
  <c r="B9" i="50"/>
  <c r="B13" i="47"/>
  <c r="I62" i="55"/>
  <c r="C62" i="55"/>
  <c r="E62" i="55"/>
  <c r="F62" i="55"/>
  <c r="N48" i="55"/>
  <c r="G62" i="55"/>
  <c r="H32" i="57"/>
  <c r="D31" i="57"/>
  <c r="E74" i="52"/>
  <c r="E38" i="52"/>
  <c r="AA30" i="41"/>
  <c r="AB30" i="41"/>
  <c r="AE30" i="41"/>
  <c r="AI31" i="41"/>
  <c r="AF30" i="41"/>
  <c r="AJ31" i="41"/>
  <c r="AG30" i="41"/>
  <c r="AK31" i="41"/>
  <c r="AL31" i="41"/>
  <c r="AI30" i="41"/>
  <c r="AA32" i="41"/>
  <c r="AH30" i="41"/>
  <c r="AJ30" i="41"/>
  <c r="AB32" i="41"/>
  <c r="AK30" i="41"/>
  <c r="AC32" i="41"/>
  <c r="AL30" i="41"/>
  <c r="AD32" i="41"/>
  <c r="AA31" i="41"/>
  <c r="AE32" i="41"/>
  <c r="AB31" i="41"/>
  <c r="AF32" i="41"/>
  <c r="AC31" i="41"/>
  <c r="AG32" i="41"/>
  <c r="AD31" i="41"/>
  <c r="AH32" i="41"/>
  <c r="AI32" i="41"/>
  <c r="AE31" i="41"/>
  <c r="AJ32" i="41"/>
  <c r="AC30" i="41"/>
  <c r="AG31" i="41"/>
  <c r="AK32" i="41"/>
  <c r="AF31" i="41"/>
  <c r="AD30" i="41"/>
  <c r="AH31" i="41"/>
  <c r="AE31" i="40"/>
  <c r="AJ32" i="40"/>
  <c r="AC30" i="40"/>
  <c r="AG31" i="40"/>
  <c r="AE30" i="40"/>
  <c r="AI31" i="40"/>
  <c r="AJ31" i="40"/>
  <c r="AG30" i="40"/>
  <c r="AK31" i="40"/>
  <c r="AA32" i="40"/>
  <c r="AJ30" i="40"/>
  <c r="AB32" i="40"/>
  <c r="AH30" i="40"/>
  <c r="AI30" i="40"/>
  <c r="AK30" i="40"/>
  <c r="AC32" i="40"/>
  <c r="AF30" i="40"/>
  <c r="AL30" i="40"/>
  <c r="AD32" i="40"/>
  <c r="AL31" i="40"/>
  <c r="AA31" i="40"/>
  <c r="AE32" i="40"/>
  <c r="AB31" i="40"/>
  <c r="AF32" i="40"/>
  <c r="AC31" i="40"/>
  <c r="AG32" i="40"/>
  <c r="AD31" i="40"/>
  <c r="AH32" i="40"/>
  <c r="AI32" i="40"/>
  <c r="AA30" i="40"/>
  <c r="AB30" i="40"/>
  <c r="AF31" i="40"/>
  <c r="AK32" i="40"/>
  <c r="AD30" i="40"/>
  <c r="AH31" i="40"/>
  <c r="AG32" i="39"/>
  <c r="AB31" i="39"/>
  <c r="AC31" i="39"/>
  <c r="AF32" i="39"/>
  <c r="AB30" i="39"/>
  <c r="AE30" i="39"/>
  <c r="AI31" i="39"/>
  <c r="AD31" i="39"/>
  <c r="AA30" i="39"/>
  <c r="AF30" i="39"/>
  <c r="AJ31" i="39"/>
  <c r="AG30" i="39"/>
  <c r="AH30" i="39"/>
  <c r="AA32" i="39"/>
  <c r="AJ30" i="39"/>
  <c r="AB32" i="39"/>
  <c r="AK30" i="39"/>
  <c r="AC32" i="39"/>
  <c r="AK31" i="39"/>
  <c r="AL31" i="39"/>
  <c r="AI30" i="39"/>
  <c r="AL30" i="39"/>
  <c r="AD32" i="39"/>
  <c r="AA31" i="39"/>
  <c r="AE32" i="39"/>
  <c r="AE31" i="39"/>
  <c r="AF31" i="39"/>
  <c r="AC30" i="39"/>
  <c r="AG31" i="39"/>
  <c r="AK32" i="39"/>
  <c r="AH32" i="39"/>
  <c r="AI32" i="39"/>
  <c r="AJ32" i="39"/>
  <c r="AD30" i="39"/>
  <c r="AH31" i="39"/>
  <c r="AG32" i="44"/>
  <c r="AC31" i="44"/>
  <c r="AB31" i="44"/>
  <c r="AF32" i="44"/>
  <c r="AE30" i="44"/>
  <c r="AI31" i="44"/>
  <c r="AD31" i="44"/>
  <c r="AF30" i="44"/>
  <c r="AJ31" i="44"/>
  <c r="AL31" i="44"/>
  <c r="AI30" i="44"/>
  <c r="AA32" i="44"/>
  <c r="AG30" i="44"/>
  <c r="AH30" i="44"/>
  <c r="AJ30" i="44"/>
  <c r="AB32" i="44"/>
  <c r="AK30" i="44"/>
  <c r="AC32" i="44"/>
  <c r="AK31" i="44"/>
  <c r="AL30" i="44"/>
  <c r="AD32" i="44"/>
  <c r="AA31" i="44"/>
  <c r="AE32" i="44"/>
  <c r="AI32" i="44"/>
  <c r="AB30" i="44"/>
  <c r="AF31" i="44"/>
  <c r="AJ32" i="44"/>
  <c r="AE31" i="44"/>
  <c r="AC30" i="44"/>
  <c r="AG31" i="44"/>
  <c r="AK32" i="44"/>
  <c r="AH32" i="44"/>
  <c r="AA30" i="44"/>
  <c r="AD30" i="44"/>
  <c r="AH31" i="44"/>
  <c r="E104" i="52"/>
  <c r="B46" i="52"/>
  <c r="E107" i="52"/>
  <c r="E99" i="52"/>
  <c r="E90" i="52"/>
  <c r="B47" i="52"/>
  <c r="B119" i="52" s="1"/>
  <c r="E73" i="52"/>
  <c r="E37" i="52"/>
  <c r="E105" i="52"/>
  <c r="E106" i="52"/>
  <c r="I30" i="60"/>
  <c r="M31" i="60"/>
  <c r="J30" i="60"/>
  <c r="N31" i="60"/>
  <c r="K30" i="60"/>
  <c r="C32" i="60"/>
  <c r="L30" i="60"/>
  <c r="D32" i="60"/>
  <c r="M30" i="60"/>
  <c r="E32" i="60"/>
  <c r="N30" i="60"/>
  <c r="F32" i="60"/>
  <c r="C31" i="60"/>
  <c r="G32" i="60"/>
  <c r="D31" i="60"/>
  <c r="H32" i="60"/>
  <c r="E31" i="60"/>
  <c r="I32" i="60"/>
  <c r="F31" i="60"/>
  <c r="J32" i="60"/>
  <c r="G31" i="60"/>
  <c r="D30" i="60"/>
  <c r="H31" i="60"/>
  <c r="F30" i="58"/>
  <c r="J31" i="58"/>
  <c r="N32" i="58"/>
  <c r="G30" i="58"/>
  <c r="K31" i="58"/>
  <c r="H30" i="58"/>
  <c r="L31" i="58"/>
  <c r="I30" i="58"/>
  <c r="M31" i="58"/>
  <c r="J30" i="58"/>
  <c r="N31" i="58"/>
  <c r="C32" i="58"/>
  <c r="L30" i="58"/>
  <c r="D32" i="58"/>
  <c r="M30" i="58"/>
  <c r="E32" i="58"/>
  <c r="N30" i="58"/>
  <c r="F32" i="58"/>
  <c r="C31" i="58"/>
  <c r="G32" i="58"/>
  <c r="D31" i="58"/>
  <c r="H32" i="58"/>
  <c r="E31" i="58"/>
  <c r="I32" i="58"/>
  <c r="F31" i="58"/>
  <c r="K32" i="57"/>
  <c r="D30" i="57"/>
  <c r="H31" i="57"/>
  <c r="L32" i="57"/>
  <c r="E30" i="57"/>
  <c r="I31" i="57"/>
  <c r="M32" i="57"/>
  <c r="C30" i="57"/>
  <c r="F30" i="57"/>
  <c r="J31" i="57"/>
  <c r="N32" i="57"/>
  <c r="J32" i="57"/>
  <c r="G31" i="57"/>
  <c r="G30" i="57"/>
  <c r="K31" i="57"/>
  <c r="H30" i="57"/>
  <c r="L31" i="57"/>
  <c r="F31" i="57"/>
  <c r="I30" i="57"/>
  <c r="M31" i="57"/>
  <c r="E31" i="57"/>
  <c r="J30" i="57"/>
  <c r="N31" i="57"/>
  <c r="K30" i="57"/>
  <c r="C32" i="57"/>
  <c r="L30" i="57"/>
  <c r="D32" i="57"/>
  <c r="M30" i="57"/>
  <c r="E32" i="57"/>
  <c r="I32" i="57"/>
  <c r="N30" i="57"/>
  <c r="F32" i="57"/>
  <c r="C31" i="57"/>
  <c r="M14" i="56"/>
  <c r="M16" i="56"/>
  <c r="M6" i="56"/>
  <c r="I8" i="56"/>
  <c r="I32" i="56"/>
  <c r="J9" i="56"/>
  <c r="M15" i="56"/>
  <c r="D31" i="56"/>
  <c r="H32" i="56"/>
  <c r="J32" i="56"/>
  <c r="C30" i="56"/>
  <c r="G31" i="56"/>
  <c r="K32" i="56"/>
  <c r="F31" i="56"/>
  <c r="N9" i="56"/>
  <c r="D30" i="56"/>
  <c r="H31" i="56"/>
  <c r="H7" i="56" s="1"/>
  <c r="L32" i="56"/>
  <c r="L12" i="56" s="1"/>
  <c r="E30" i="56"/>
  <c r="I31" i="56"/>
  <c r="M32" i="56"/>
  <c r="F30" i="56"/>
  <c r="J31" i="56"/>
  <c r="N32" i="56"/>
  <c r="G30" i="56"/>
  <c r="K31" i="56"/>
  <c r="E31" i="56"/>
  <c r="E7" i="56" s="1"/>
  <c r="I7" i="56"/>
  <c r="H30" i="56"/>
  <c r="L31" i="56"/>
  <c r="I30" i="56"/>
  <c r="I10" i="56" s="1"/>
  <c r="M31" i="56"/>
  <c r="M11" i="56" s="1"/>
  <c r="B19" i="56"/>
  <c r="E5" i="52" s="1"/>
  <c r="J30" i="56"/>
  <c r="J13" i="56" s="1"/>
  <c r="N31" i="56"/>
  <c r="N7" i="56" s="1"/>
  <c r="K30" i="56"/>
  <c r="K13" i="56" s="1"/>
  <c r="C32" i="56"/>
  <c r="M7" i="56"/>
  <c r="L30" i="56"/>
  <c r="D32" i="56"/>
  <c r="M30" i="56"/>
  <c r="E32" i="56"/>
  <c r="N30" i="56"/>
  <c r="F32" i="56"/>
  <c r="C31" i="56"/>
  <c r="J62" i="55"/>
  <c r="K62" i="55"/>
  <c r="L7" i="53"/>
  <c r="B50" i="55"/>
  <c r="B55" i="55"/>
  <c r="L19" i="53" l="1"/>
  <c r="E110" i="52"/>
  <c r="D62" i="55"/>
  <c r="E108" i="52"/>
  <c r="E109" i="52"/>
  <c r="H47" i="52"/>
  <c r="K11" i="56"/>
  <c r="D6" i="56"/>
  <c r="L13" i="56"/>
  <c r="O13" i="56" s="1"/>
  <c r="L15" i="56"/>
  <c r="N14" i="56"/>
  <c r="N10" i="56"/>
  <c r="N8" i="56"/>
  <c r="N17" i="56"/>
  <c r="O17" i="56" s="1"/>
  <c r="N15" i="56"/>
  <c r="N16" i="56"/>
  <c r="O16" i="56" s="1"/>
  <c r="N6" i="56"/>
  <c r="N13" i="56"/>
  <c r="C6" i="56"/>
  <c r="G6" i="56"/>
  <c r="G10" i="56"/>
  <c r="G8" i="56"/>
  <c r="J6" i="56"/>
  <c r="J12" i="56"/>
  <c r="J10" i="56"/>
  <c r="J8" i="56"/>
  <c r="K9" i="56"/>
  <c r="K12" i="56"/>
  <c r="K10" i="56"/>
  <c r="K8" i="56"/>
  <c r="K7" i="56"/>
  <c r="G7" i="56"/>
  <c r="K14" i="56"/>
  <c r="J11" i="56"/>
  <c r="N12" i="56"/>
  <c r="K6" i="56"/>
  <c r="N11" i="56"/>
  <c r="L7" i="56"/>
  <c r="L14" i="56"/>
  <c r="F9" i="56"/>
  <c r="F8" i="56"/>
  <c r="F6" i="56"/>
  <c r="M12" i="56"/>
  <c r="M8" i="56"/>
  <c r="I6" i="56"/>
  <c r="I11" i="56"/>
  <c r="I12" i="56"/>
  <c r="G9" i="56"/>
  <c r="J7" i="56"/>
  <c r="E6" i="56"/>
  <c r="E8" i="56"/>
  <c r="M9" i="56"/>
  <c r="M13" i="56"/>
  <c r="D7" i="56"/>
  <c r="M10" i="56"/>
  <c r="L6" i="56"/>
  <c r="L9" i="56"/>
  <c r="L8" i="56"/>
  <c r="L11" i="56"/>
  <c r="L10" i="56"/>
  <c r="H9" i="56"/>
  <c r="H6" i="56"/>
  <c r="H10" i="56"/>
  <c r="H11" i="56"/>
  <c r="H8" i="56"/>
  <c r="F7" i="56"/>
  <c r="I9" i="56"/>
  <c r="P6" i="54"/>
  <c r="B62" i="55"/>
  <c r="P16" i="54" l="1"/>
  <c r="R5" i="54"/>
  <c r="T45" i="3"/>
  <c r="T96" i="3" s="1"/>
  <c r="T99" i="3" s="1"/>
  <c r="T42" i="3"/>
  <c r="O14" i="56"/>
  <c r="O11" i="56"/>
  <c r="M19" i="56"/>
  <c r="I19" i="56"/>
  <c r="N19" i="56"/>
  <c r="O12" i="56"/>
  <c r="L19" i="56"/>
  <c r="F19" i="56"/>
  <c r="O15" i="56"/>
  <c r="O6" i="56"/>
  <c r="C19" i="56"/>
  <c r="H19" i="56"/>
  <c r="O7" i="56"/>
  <c r="O9" i="56"/>
  <c r="J19" i="56"/>
  <c r="D19" i="56"/>
  <c r="O8" i="56"/>
  <c r="O10" i="56"/>
  <c r="E19" i="56"/>
  <c r="K19" i="56"/>
  <c r="G19" i="56"/>
  <c r="R16" i="54" l="1"/>
  <c r="D99" i="3"/>
  <c r="O19" i="56"/>
  <c r="E41" i="52" s="1"/>
  <c r="O41" i="52" s="1"/>
  <c r="D65" i="52" l="1"/>
  <c r="D64" i="52"/>
  <c r="D56" i="52"/>
  <c r="C56" i="52"/>
  <c r="D55" i="52"/>
  <c r="C55" i="52"/>
  <c r="D29" i="52"/>
  <c r="D28" i="52"/>
  <c r="D20" i="52"/>
  <c r="C20" i="52"/>
  <c r="D19" i="52"/>
  <c r="C19" i="52"/>
  <c r="A1" i="45" l="1"/>
  <c r="A61" i="45" s="1"/>
  <c r="D98" i="52" l="1"/>
  <c r="D97" i="52"/>
  <c r="D96" i="52"/>
  <c r="D95" i="52"/>
  <c r="C86" i="52"/>
  <c r="D86" i="52"/>
  <c r="C87" i="52"/>
  <c r="D87" i="52"/>
  <c r="C88" i="52"/>
  <c r="D88" i="52"/>
  <c r="C89" i="52"/>
  <c r="D89" i="52"/>
  <c r="C54" i="52"/>
  <c r="D54" i="52"/>
  <c r="J56" i="52" s="1"/>
  <c r="D63" i="52"/>
  <c r="J65" i="52" s="1"/>
  <c r="D27" i="52"/>
  <c r="J29" i="52" s="1"/>
  <c r="C18" i="52"/>
  <c r="I20" i="52" s="1"/>
  <c r="D18" i="52"/>
  <c r="J20" i="52" s="1"/>
  <c r="C90" i="52" l="1"/>
  <c r="I56" i="52"/>
  <c r="D99" i="52"/>
  <c r="D90" i="52"/>
  <c r="A1" i="50" l="1"/>
  <c r="B11" i="26" l="1"/>
  <c r="D20" i="8" s="1"/>
  <c r="B10" i="26"/>
  <c r="C20" i="8" s="1"/>
  <c r="C18" i="26"/>
  <c r="C17" i="26"/>
  <c r="C16" i="26"/>
  <c r="B18" i="26"/>
  <c r="B17" i="26"/>
  <c r="B16" i="26"/>
  <c r="B12" i="26" l="1"/>
  <c r="A52" i="3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" i="14" l="1"/>
  <c r="D34" i="34"/>
  <c r="E32" i="34" s="1"/>
  <c r="C34" i="34"/>
  <c r="B34" i="34"/>
  <c r="N15" i="34"/>
  <c r="N16" i="34"/>
  <c r="N17" i="34"/>
  <c r="N18" i="34"/>
  <c r="N19" i="34"/>
  <c r="N20" i="34"/>
  <c r="N21" i="34"/>
  <c r="N14" i="34"/>
  <c r="N25" i="34" l="1"/>
  <c r="B4" i="34" s="1"/>
  <c r="D4" i="34" s="1"/>
  <c r="N23" i="34"/>
  <c r="N26" i="34"/>
  <c r="B5" i="34" s="1"/>
  <c r="C5" i="34" s="1"/>
  <c r="D5" i="34" s="1"/>
  <c r="E31" i="34"/>
  <c r="E34" i="34" s="1"/>
  <c r="E40" i="44"/>
  <c r="E40" i="39" s="1"/>
  <c r="E40" i="48" l="1"/>
  <c r="E40" i="57"/>
  <c r="O40" i="16"/>
  <c r="A90" i="45" l="1"/>
  <c r="A91" i="45" s="1"/>
  <c r="A92" i="45" s="1"/>
  <c r="A93" i="45" s="1"/>
  <c r="A94" i="45" s="1"/>
  <c r="A95" i="45" s="1"/>
  <c r="A96" i="45" s="1"/>
  <c r="A97" i="45" s="1"/>
  <c r="A98" i="45" s="1"/>
  <c r="A99" i="45" s="1"/>
  <c r="A100" i="45" s="1"/>
  <c r="A78" i="45"/>
  <c r="A79" i="45" s="1"/>
  <c r="A80" i="45" s="1"/>
  <c r="A81" i="45" s="1"/>
  <c r="A82" i="45" s="1"/>
  <c r="A83" i="45" s="1"/>
  <c r="A84" i="45" s="1"/>
  <c r="A85" i="45" s="1"/>
  <c r="A86" i="45" s="1"/>
  <c r="A87" i="45" s="1"/>
  <c r="A88" i="45" s="1"/>
  <c r="A66" i="45"/>
  <c r="A67" i="45" s="1"/>
  <c r="A68" i="45" s="1"/>
  <c r="A69" i="45" s="1"/>
  <c r="A70" i="45" s="1"/>
  <c r="A71" i="45" s="1"/>
  <c r="A72" i="45" s="1"/>
  <c r="A73" i="45" s="1"/>
  <c r="A74" i="45" s="1"/>
  <c r="A75" i="45" s="1"/>
  <c r="A76" i="45" s="1"/>
  <c r="B7" i="23"/>
  <c r="B8" i="23"/>
  <c r="B9" i="23"/>
  <c r="B10" i="23"/>
  <c r="B11" i="23"/>
  <c r="B12" i="23"/>
  <c r="B13" i="23"/>
  <c r="B14" i="23"/>
  <c r="B15" i="23"/>
  <c r="B16" i="23"/>
  <c r="B17" i="23"/>
  <c r="B6" i="23"/>
  <c r="B7" i="17"/>
  <c r="B8" i="17"/>
  <c r="B9" i="17"/>
  <c r="B10" i="17"/>
  <c r="B11" i="17"/>
  <c r="B12" i="17"/>
  <c r="B13" i="17"/>
  <c r="B14" i="17"/>
  <c r="B15" i="17"/>
  <c r="B16" i="17"/>
  <c r="B17" i="17"/>
  <c r="B6" i="17"/>
  <c r="B7" i="16"/>
  <c r="B8" i="16"/>
  <c r="B9" i="16"/>
  <c r="B10" i="16"/>
  <c r="B11" i="16"/>
  <c r="B12" i="16"/>
  <c r="B13" i="16"/>
  <c r="B14" i="16"/>
  <c r="B15" i="16"/>
  <c r="B16" i="16"/>
  <c r="B17" i="16"/>
  <c r="B7" i="43"/>
  <c r="B8" i="43"/>
  <c r="B9" i="43"/>
  <c r="B10" i="43"/>
  <c r="B11" i="43"/>
  <c r="B12" i="43"/>
  <c r="B13" i="43"/>
  <c r="B14" i="43"/>
  <c r="B15" i="43"/>
  <c r="B16" i="43"/>
  <c r="B17" i="43"/>
  <c r="B6" i="16"/>
  <c r="B6" i="43"/>
  <c r="K19" i="51"/>
  <c r="J19" i="51"/>
  <c r="I19" i="51"/>
  <c r="H19" i="51"/>
  <c r="G19" i="51"/>
  <c r="F19" i="51"/>
  <c r="E19" i="51"/>
  <c r="D19" i="51"/>
  <c r="C19" i="51"/>
  <c r="B19" i="51"/>
  <c r="L17" i="51"/>
  <c r="L16" i="51"/>
  <c r="L15" i="51"/>
  <c r="L14" i="51"/>
  <c r="L13" i="51"/>
  <c r="L12" i="51"/>
  <c r="L11" i="51"/>
  <c r="L10" i="51"/>
  <c r="L9" i="51"/>
  <c r="L8" i="51"/>
  <c r="L7" i="51"/>
  <c r="L6" i="51"/>
  <c r="L19" i="51" l="1"/>
  <c r="A30" i="45" l="1"/>
  <c r="A31" i="45" s="1"/>
  <c r="A32" i="45" s="1"/>
  <c r="A33" i="45" s="1"/>
  <c r="A34" i="45" s="1"/>
  <c r="A35" i="45" s="1"/>
  <c r="A36" i="45" s="1"/>
  <c r="A37" i="45" s="1"/>
  <c r="A38" i="45" s="1"/>
  <c r="A39" i="45" s="1"/>
  <c r="A40" i="45" s="1"/>
  <c r="F38" i="50"/>
  <c r="E38" i="50"/>
  <c r="C30" i="50" a="1"/>
  <c r="N32" i="50" s="1"/>
  <c r="C38" i="49"/>
  <c r="B38" i="49"/>
  <c r="E37" i="49"/>
  <c r="C37" i="49"/>
  <c r="B37" i="49"/>
  <c r="C30" i="49" a="1"/>
  <c r="N32" i="49" s="1"/>
  <c r="A1" i="49"/>
  <c r="E38" i="48"/>
  <c r="C30" i="48" a="1"/>
  <c r="J32" i="48" s="1"/>
  <c r="A1" i="48"/>
  <c r="E38" i="47"/>
  <c r="C30" i="47" a="1"/>
  <c r="I32" i="47" s="1"/>
  <c r="A1" i="47"/>
  <c r="R7" i="47" l="1"/>
  <c r="Q7" i="47"/>
  <c r="P7" i="47"/>
  <c r="O7" i="47"/>
  <c r="X7" i="47"/>
  <c r="S7" i="47"/>
  <c r="U7" i="47"/>
  <c r="Z7" i="47"/>
  <c r="V7" i="47"/>
  <c r="Y7" i="47"/>
  <c r="W7" i="47"/>
  <c r="T7" i="47"/>
  <c r="Z9" i="47"/>
  <c r="Y9" i="47"/>
  <c r="X9" i="47"/>
  <c r="W9" i="47"/>
  <c r="V9" i="47"/>
  <c r="P9" i="47"/>
  <c r="U9" i="47"/>
  <c r="T9" i="47"/>
  <c r="S9" i="47"/>
  <c r="R9" i="47"/>
  <c r="O9" i="47"/>
  <c r="Q9" i="47"/>
  <c r="S10" i="47"/>
  <c r="R10" i="47"/>
  <c r="O10" i="47"/>
  <c r="Z10" i="47"/>
  <c r="Y10" i="47"/>
  <c r="X10" i="47"/>
  <c r="P10" i="47"/>
  <c r="W10" i="47"/>
  <c r="T10" i="47"/>
  <c r="V10" i="47"/>
  <c r="U10" i="47"/>
  <c r="Q10" i="47"/>
  <c r="V12" i="47"/>
  <c r="U12" i="47"/>
  <c r="T12" i="47"/>
  <c r="S12" i="47"/>
  <c r="R12" i="47"/>
  <c r="Q12" i="47"/>
  <c r="X12" i="47"/>
  <c r="P12" i="47"/>
  <c r="W12" i="47"/>
  <c r="O12" i="47"/>
  <c r="Z12" i="47"/>
  <c r="Y12" i="47"/>
  <c r="V8" i="47"/>
  <c r="U8" i="47"/>
  <c r="W8" i="47"/>
  <c r="T8" i="47"/>
  <c r="X8" i="47"/>
  <c r="S8" i="47"/>
  <c r="R8" i="47"/>
  <c r="Q8" i="47"/>
  <c r="P8" i="47"/>
  <c r="Z8" i="47"/>
  <c r="O8" i="47"/>
  <c r="Y8" i="47"/>
  <c r="Z13" i="47"/>
  <c r="Y13" i="47"/>
  <c r="X13" i="47"/>
  <c r="W13" i="47"/>
  <c r="V13" i="47"/>
  <c r="U13" i="47"/>
  <c r="T13" i="47"/>
  <c r="S13" i="47"/>
  <c r="R13" i="47"/>
  <c r="Q13" i="47"/>
  <c r="P13" i="47"/>
  <c r="O13" i="47"/>
  <c r="Z17" i="47"/>
  <c r="Y17" i="47"/>
  <c r="X17" i="47"/>
  <c r="W17" i="47"/>
  <c r="V17" i="47"/>
  <c r="U17" i="47"/>
  <c r="T17" i="47"/>
  <c r="S17" i="47"/>
  <c r="R17" i="47"/>
  <c r="Q17" i="47"/>
  <c r="P17" i="47"/>
  <c r="O17" i="47"/>
  <c r="R15" i="47"/>
  <c r="Q15" i="47"/>
  <c r="P15" i="47"/>
  <c r="O15" i="47"/>
  <c r="T15" i="47"/>
  <c r="V15" i="47"/>
  <c r="Z15" i="47"/>
  <c r="S15" i="47"/>
  <c r="Y15" i="47"/>
  <c r="X15" i="47"/>
  <c r="U15" i="47"/>
  <c r="W15" i="47"/>
  <c r="T6" i="47"/>
  <c r="Q6" i="47"/>
  <c r="P6" i="47"/>
  <c r="S6" i="47"/>
  <c r="Z6" i="47"/>
  <c r="Y6" i="47"/>
  <c r="X6" i="47"/>
  <c r="W6" i="47"/>
  <c r="V6" i="47"/>
  <c r="U6" i="47"/>
  <c r="R6" i="47"/>
  <c r="O6" i="47"/>
  <c r="R11" i="47"/>
  <c r="W11" i="47"/>
  <c r="Q11" i="47"/>
  <c r="P11" i="47"/>
  <c r="U11" i="47"/>
  <c r="O11" i="47"/>
  <c r="X11" i="47"/>
  <c r="T11" i="47"/>
  <c r="S11" i="47"/>
  <c r="Z11" i="47"/>
  <c r="Y11" i="47"/>
  <c r="V11" i="47"/>
  <c r="Q14" i="47"/>
  <c r="O14" i="47"/>
  <c r="Z14" i="47"/>
  <c r="R14" i="47"/>
  <c r="Y14" i="47"/>
  <c r="X14" i="47"/>
  <c r="W14" i="47"/>
  <c r="V14" i="47"/>
  <c r="U14" i="47"/>
  <c r="T14" i="47"/>
  <c r="S14" i="47"/>
  <c r="P14" i="47"/>
  <c r="V16" i="47"/>
  <c r="U16" i="47"/>
  <c r="T16" i="47"/>
  <c r="S16" i="47"/>
  <c r="X16" i="47"/>
  <c r="R16" i="47"/>
  <c r="Q16" i="47"/>
  <c r="P16" i="47"/>
  <c r="O16" i="47"/>
  <c r="Z16" i="47"/>
  <c r="W16" i="47"/>
  <c r="Y16" i="47"/>
  <c r="T7" i="48"/>
  <c r="S7" i="48"/>
  <c r="R7" i="48"/>
  <c r="Q7" i="48"/>
  <c r="P7" i="48"/>
  <c r="O7" i="48"/>
  <c r="U7" i="48"/>
  <c r="W7" i="48"/>
  <c r="Z7" i="48"/>
  <c r="Y7" i="48"/>
  <c r="X7" i="48"/>
  <c r="V7" i="48"/>
  <c r="X8" i="48"/>
  <c r="W8" i="48"/>
  <c r="V8" i="48"/>
  <c r="U8" i="48"/>
  <c r="Z8" i="48"/>
  <c r="T8" i="48"/>
  <c r="S8" i="48"/>
  <c r="R8" i="48"/>
  <c r="Y8" i="48"/>
  <c r="Q8" i="48"/>
  <c r="P8" i="48"/>
  <c r="O8" i="48"/>
  <c r="P10" i="48"/>
  <c r="O10" i="48"/>
  <c r="Q10" i="48"/>
  <c r="Z10" i="48"/>
  <c r="Y10" i="48"/>
  <c r="X10" i="48"/>
  <c r="W10" i="48"/>
  <c r="V10" i="48"/>
  <c r="U10" i="48"/>
  <c r="T10" i="48"/>
  <c r="R10" i="48"/>
  <c r="S10" i="48"/>
  <c r="T11" i="48"/>
  <c r="S11" i="48"/>
  <c r="R11" i="48"/>
  <c r="Q11" i="48"/>
  <c r="P11" i="48"/>
  <c r="O11" i="48"/>
  <c r="U11" i="48"/>
  <c r="Z11" i="48"/>
  <c r="Y11" i="48"/>
  <c r="X11" i="48"/>
  <c r="W11" i="48"/>
  <c r="V11" i="48"/>
  <c r="Z9" i="48"/>
  <c r="Y9" i="48"/>
  <c r="X9" i="48"/>
  <c r="W9" i="48"/>
  <c r="V9" i="48"/>
  <c r="U9" i="48"/>
  <c r="T9" i="48"/>
  <c r="S9" i="48"/>
  <c r="R9" i="48"/>
  <c r="Q9" i="48"/>
  <c r="P9" i="48"/>
  <c r="O9" i="48"/>
  <c r="Z13" i="48"/>
  <c r="Y13" i="48"/>
  <c r="X13" i="48"/>
  <c r="W13" i="48"/>
  <c r="V13" i="48"/>
  <c r="U13" i="48"/>
  <c r="T13" i="48"/>
  <c r="S13" i="48"/>
  <c r="R13" i="48"/>
  <c r="Q13" i="48"/>
  <c r="P13" i="48"/>
  <c r="O13" i="48"/>
  <c r="P14" i="48"/>
  <c r="O14" i="48"/>
  <c r="Z14" i="48"/>
  <c r="Y14" i="48"/>
  <c r="X14" i="48"/>
  <c r="W14" i="48"/>
  <c r="V14" i="48"/>
  <c r="U14" i="48"/>
  <c r="T14" i="48"/>
  <c r="S14" i="48"/>
  <c r="R14" i="48"/>
  <c r="Q14" i="48"/>
  <c r="T15" i="48"/>
  <c r="S15" i="48"/>
  <c r="R15" i="48"/>
  <c r="Q15" i="48"/>
  <c r="P15" i="48"/>
  <c r="O15" i="48"/>
  <c r="Z15" i="48"/>
  <c r="Y15" i="48"/>
  <c r="X15" i="48"/>
  <c r="W15" i="48"/>
  <c r="U15" i="48"/>
  <c r="V15" i="48"/>
  <c r="X16" i="48"/>
  <c r="W16" i="48"/>
  <c r="V16" i="48"/>
  <c r="U16" i="48"/>
  <c r="T16" i="48"/>
  <c r="S16" i="48"/>
  <c r="R16" i="48"/>
  <c r="Q16" i="48"/>
  <c r="P16" i="48"/>
  <c r="O16" i="48"/>
  <c r="Z16" i="48"/>
  <c r="Y16" i="48"/>
  <c r="X12" i="48"/>
  <c r="W12" i="48"/>
  <c r="Y12" i="48"/>
  <c r="V12" i="48"/>
  <c r="U12" i="48"/>
  <c r="T12" i="48"/>
  <c r="S12" i="48"/>
  <c r="R12" i="48"/>
  <c r="Q12" i="48"/>
  <c r="P12" i="48"/>
  <c r="O12" i="48"/>
  <c r="Z12" i="48"/>
  <c r="Z17" i="48"/>
  <c r="Y17" i="48"/>
  <c r="X17" i="48"/>
  <c r="W17" i="48"/>
  <c r="V17" i="48"/>
  <c r="U17" i="48"/>
  <c r="T17" i="48"/>
  <c r="S17" i="48"/>
  <c r="R17" i="48"/>
  <c r="Q17" i="48"/>
  <c r="P17" i="48"/>
  <c r="O17" i="48"/>
  <c r="P6" i="48"/>
  <c r="O6" i="48"/>
  <c r="S6" i="48"/>
  <c r="Z6" i="48"/>
  <c r="Y6" i="48"/>
  <c r="X6" i="48"/>
  <c r="Q6" i="48"/>
  <c r="W6" i="48"/>
  <c r="V6" i="48"/>
  <c r="R6" i="48"/>
  <c r="U6" i="48"/>
  <c r="T6" i="48"/>
  <c r="Q10" i="49"/>
  <c r="P10" i="49"/>
  <c r="O10" i="49"/>
  <c r="Z10" i="49"/>
  <c r="R10" i="49"/>
  <c r="Y10" i="49"/>
  <c r="X10" i="49"/>
  <c r="W10" i="49"/>
  <c r="V10" i="49"/>
  <c r="U10" i="49"/>
  <c r="T10" i="49"/>
  <c r="S10" i="49"/>
  <c r="Z9" i="49"/>
  <c r="Y9" i="49"/>
  <c r="X9" i="49"/>
  <c r="W9" i="49"/>
  <c r="V9" i="49"/>
  <c r="U9" i="49"/>
  <c r="T9" i="49"/>
  <c r="S9" i="49"/>
  <c r="R9" i="49"/>
  <c r="Q9" i="49"/>
  <c r="P9" i="49"/>
  <c r="O9" i="49"/>
  <c r="Y12" i="49"/>
  <c r="X12" i="49"/>
  <c r="W12" i="49"/>
  <c r="V12" i="49"/>
  <c r="U12" i="49"/>
  <c r="T12" i="49"/>
  <c r="S12" i="49"/>
  <c r="R12" i="49"/>
  <c r="Q12" i="49"/>
  <c r="Z12" i="49"/>
  <c r="P12" i="49"/>
  <c r="O12" i="49"/>
  <c r="Q14" i="49"/>
  <c r="P14" i="49"/>
  <c r="O14" i="49"/>
  <c r="R14" i="49"/>
  <c r="Z14" i="49"/>
  <c r="Y14" i="49"/>
  <c r="X14" i="49"/>
  <c r="W14" i="49"/>
  <c r="V14" i="49"/>
  <c r="U14" i="49"/>
  <c r="T14" i="49"/>
  <c r="S14" i="49"/>
  <c r="U11" i="49"/>
  <c r="T11" i="49"/>
  <c r="S11" i="49"/>
  <c r="R11" i="49"/>
  <c r="V11" i="49"/>
  <c r="Q11" i="49"/>
  <c r="P11" i="49"/>
  <c r="O11" i="49"/>
  <c r="Z11" i="49"/>
  <c r="Y11" i="49"/>
  <c r="X11" i="49"/>
  <c r="W11" i="49"/>
  <c r="Y8" i="49"/>
  <c r="X8" i="49"/>
  <c r="W8" i="49"/>
  <c r="V8" i="49"/>
  <c r="U8" i="49"/>
  <c r="T8" i="49"/>
  <c r="S8" i="49"/>
  <c r="Z8" i="49"/>
  <c r="R8" i="49"/>
  <c r="Q8" i="49"/>
  <c r="P8" i="49"/>
  <c r="O8" i="49"/>
  <c r="Z13" i="49"/>
  <c r="Y13" i="49"/>
  <c r="X13" i="49"/>
  <c r="W13" i="49"/>
  <c r="V13" i="49"/>
  <c r="U13" i="49"/>
  <c r="T13" i="49"/>
  <c r="S13" i="49"/>
  <c r="R13" i="49"/>
  <c r="Q13" i="49"/>
  <c r="P13" i="49"/>
  <c r="O13" i="49"/>
  <c r="Q6" i="49"/>
  <c r="P6" i="49"/>
  <c r="O6" i="49"/>
  <c r="R6" i="49"/>
  <c r="Z6" i="49"/>
  <c r="Y6" i="49"/>
  <c r="X6" i="49"/>
  <c r="W6" i="49"/>
  <c r="V6" i="49"/>
  <c r="U6" i="49"/>
  <c r="T6" i="49"/>
  <c r="S6" i="49"/>
  <c r="U15" i="49"/>
  <c r="T15" i="49"/>
  <c r="S15" i="49"/>
  <c r="R15" i="49"/>
  <c r="Q15" i="49"/>
  <c r="P15" i="49"/>
  <c r="O15" i="49"/>
  <c r="V15" i="49"/>
  <c r="Z15" i="49"/>
  <c r="Y15" i="49"/>
  <c r="X15" i="49"/>
  <c r="W15" i="49"/>
  <c r="Y16" i="49"/>
  <c r="X16" i="49"/>
  <c r="W16" i="49"/>
  <c r="V16" i="49"/>
  <c r="U16" i="49"/>
  <c r="T16" i="49"/>
  <c r="S16" i="49"/>
  <c r="R16" i="49"/>
  <c r="Q16" i="49"/>
  <c r="P16" i="49"/>
  <c r="O16" i="49"/>
  <c r="Z16" i="49"/>
  <c r="Z17" i="49"/>
  <c r="Y17" i="49"/>
  <c r="X17" i="49"/>
  <c r="W17" i="49"/>
  <c r="V17" i="49"/>
  <c r="U17" i="49"/>
  <c r="T17" i="49"/>
  <c r="S17" i="49"/>
  <c r="R17" i="49"/>
  <c r="Q17" i="49"/>
  <c r="P17" i="49"/>
  <c r="O17" i="49"/>
  <c r="U7" i="49"/>
  <c r="T7" i="49"/>
  <c r="V7" i="49"/>
  <c r="S7" i="49"/>
  <c r="R7" i="49"/>
  <c r="Q7" i="49"/>
  <c r="P7" i="49"/>
  <c r="O7" i="49"/>
  <c r="Z7" i="49"/>
  <c r="Y7" i="49"/>
  <c r="X7" i="49"/>
  <c r="W7" i="49"/>
  <c r="U7" i="50"/>
  <c r="T7" i="50"/>
  <c r="S7" i="50"/>
  <c r="R7" i="50"/>
  <c r="Q7" i="50"/>
  <c r="P7" i="50"/>
  <c r="O7" i="50"/>
  <c r="Z7" i="50"/>
  <c r="Y7" i="50"/>
  <c r="X7" i="50"/>
  <c r="W7" i="50"/>
  <c r="V7" i="50"/>
  <c r="Q6" i="50"/>
  <c r="P6" i="50"/>
  <c r="O6" i="50"/>
  <c r="Z6" i="50"/>
  <c r="Y6" i="50"/>
  <c r="X6" i="50"/>
  <c r="W6" i="50"/>
  <c r="V6" i="50"/>
  <c r="U6" i="50"/>
  <c r="T6" i="50"/>
  <c r="S6" i="50"/>
  <c r="R6" i="50"/>
  <c r="Y12" i="50"/>
  <c r="X12" i="50"/>
  <c r="W12" i="50"/>
  <c r="V12" i="50"/>
  <c r="U12" i="50"/>
  <c r="T12" i="50"/>
  <c r="S12" i="50"/>
  <c r="R12" i="50"/>
  <c r="Q12" i="50"/>
  <c r="P12" i="50"/>
  <c r="O12" i="50"/>
  <c r="Z12" i="50"/>
  <c r="Q14" i="50"/>
  <c r="P14" i="50"/>
  <c r="O14" i="50"/>
  <c r="Z14" i="50"/>
  <c r="Y14" i="50"/>
  <c r="X14" i="50"/>
  <c r="W14" i="50"/>
  <c r="V14" i="50"/>
  <c r="U14" i="50"/>
  <c r="T14" i="50"/>
  <c r="S14" i="50"/>
  <c r="R14" i="50"/>
  <c r="Q10" i="50"/>
  <c r="P10" i="50"/>
  <c r="O10" i="50"/>
  <c r="Z10" i="50"/>
  <c r="Y10" i="50"/>
  <c r="X10" i="50"/>
  <c r="W10" i="50"/>
  <c r="V10" i="50"/>
  <c r="U10" i="50"/>
  <c r="T10" i="50"/>
  <c r="S10" i="50"/>
  <c r="R10" i="50"/>
  <c r="Y16" i="50"/>
  <c r="X16" i="50"/>
  <c r="W16" i="50"/>
  <c r="V16" i="50"/>
  <c r="U16" i="50"/>
  <c r="T16" i="50"/>
  <c r="S16" i="50"/>
  <c r="R16" i="50"/>
  <c r="Q16" i="50"/>
  <c r="P16" i="50"/>
  <c r="O16" i="50"/>
  <c r="Z16" i="50"/>
  <c r="Y8" i="50"/>
  <c r="X8" i="50"/>
  <c r="W8" i="50"/>
  <c r="V8" i="50"/>
  <c r="U8" i="50"/>
  <c r="T8" i="50"/>
  <c r="S8" i="50"/>
  <c r="R8" i="50"/>
  <c r="Q8" i="50"/>
  <c r="P8" i="50"/>
  <c r="O8" i="50"/>
  <c r="Z8" i="50"/>
  <c r="U11" i="50"/>
  <c r="T11" i="50"/>
  <c r="S11" i="50"/>
  <c r="R11" i="50"/>
  <c r="Q11" i="50"/>
  <c r="P11" i="50"/>
  <c r="O11" i="50"/>
  <c r="Z11" i="50"/>
  <c r="Y11" i="50"/>
  <c r="X11" i="50"/>
  <c r="W11" i="50"/>
  <c r="V11" i="50"/>
  <c r="U15" i="50"/>
  <c r="T15" i="50"/>
  <c r="S15" i="50"/>
  <c r="R15" i="50"/>
  <c r="Q15" i="50"/>
  <c r="P15" i="50"/>
  <c r="O15" i="50"/>
  <c r="Z15" i="50"/>
  <c r="Y15" i="50"/>
  <c r="X15" i="50"/>
  <c r="W15" i="50"/>
  <c r="V15" i="50"/>
  <c r="Z9" i="50"/>
  <c r="Y9" i="50"/>
  <c r="X9" i="50"/>
  <c r="W9" i="50"/>
  <c r="V9" i="50"/>
  <c r="U9" i="50"/>
  <c r="T9" i="50"/>
  <c r="S9" i="50"/>
  <c r="R9" i="50"/>
  <c r="Q9" i="50"/>
  <c r="P9" i="50"/>
  <c r="O9" i="50"/>
  <c r="Z13" i="50"/>
  <c r="Y13" i="50"/>
  <c r="X13" i="50"/>
  <c r="W13" i="50"/>
  <c r="V13" i="50"/>
  <c r="U13" i="50"/>
  <c r="T13" i="50"/>
  <c r="S13" i="50"/>
  <c r="R13" i="50"/>
  <c r="Q13" i="50"/>
  <c r="P13" i="50"/>
  <c r="O13" i="50"/>
  <c r="Z17" i="50"/>
  <c r="Y17" i="50"/>
  <c r="X17" i="50"/>
  <c r="W17" i="50"/>
  <c r="V17" i="50"/>
  <c r="U17" i="50"/>
  <c r="T17" i="50"/>
  <c r="S17" i="50"/>
  <c r="R17" i="50"/>
  <c r="Q17" i="50"/>
  <c r="P17" i="50"/>
  <c r="O17" i="50"/>
  <c r="E31" i="50"/>
  <c r="I32" i="50"/>
  <c r="J30" i="50"/>
  <c r="N31" i="50"/>
  <c r="H30" i="50"/>
  <c r="K30" i="50"/>
  <c r="C32" i="50"/>
  <c r="L31" i="50"/>
  <c r="M31" i="50"/>
  <c r="L30" i="50"/>
  <c r="D32" i="50"/>
  <c r="K31" i="50"/>
  <c r="M30" i="50"/>
  <c r="E32" i="50"/>
  <c r="G30" i="50"/>
  <c r="I30" i="50"/>
  <c r="N30" i="50"/>
  <c r="F32" i="50"/>
  <c r="C31" i="50"/>
  <c r="G32" i="50"/>
  <c r="D31" i="50"/>
  <c r="H32" i="50"/>
  <c r="F31" i="50"/>
  <c r="J32" i="50"/>
  <c r="J10" i="50" s="1"/>
  <c r="B19" i="50"/>
  <c r="D8" i="52" s="1"/>
  <c r="C30" i="50"/>
  <c r="K32" i="50"/>
  <c r="D30" i="50"/>
  <c r="H31" i="50"/>
  <c r="L32" i="50"/>
  <c r="E30" i="50"/>
  <c r="I31" i="50"/>
  <c r="M32" i="50"/>
  <c r="G31" i="50"/>
  <c r="F30" i="50"/>
  <c r="J31" i="50"/>
  <c r="K32" i="49"/>
  <c r="L32" i="49"/>
  <c r="D31" i="49"/>
  <c r="H32" i="49"/>
  <c r="I32" i="49"/>
  <c r="M32" i="49"/>
  <c r="H30" i="49"/>
  <c r="I30" i="49"/>
  <c r="J30" i="49"/>
  <c r="K30" i="49"/>
  <c r="M30" i="49"/>
  <c r="M6" i="49" s="1"/>
  <c r="M12" i="49"/>
  <c r="M16" i="49"/>
  <c r="G31" i="49"/>
  <c r="H31" i="49"/>
  <c r="I31" i="49"/>
  <c r="I11" i="49" s="1"/>
  <c r="E31" i="49"/>
  <c r="E7" i="49" s="1"/>
  <c r="K31" i="49"/>
  <c r="L31" i="49"/>
  <c r="C30" i="49"/>
  <c r="C6" i="49" s="1"/>
  <c r="M31" i="49"/>
  <c r="N31" i="49"/>
  <c r="E30" i="49"/>
  <c r="C32" i="49"/>
  <c r="D30" i="49"/>
  <c r="G30" i="49"/>
  <c r="E32" i="49"/>
  <c r="L30" i="49"/>
  <c r="D32" i="49"/>
  <c r="M13" i="49"/>
  <c r="M10" i="49"/>
  <c r="N30" i="49"/>
  <c r="N14" i="49" s="1"/>
  <c r="F32" i="49"/>
  <c r="C31" i="49"/>
  <c r="G32" i="49"/>
  <c r="F31" i="49"/>
  <c r="J32" i="49"/>
  <c r="B19" i="49"/>
  <c r="D7" i="52" s="1"/>
  <c r="F30" i="49"/>
  <c r="J31" i="49"/>
  <c r="M32" i="48"/>
  <c r="K31" i="48"/>
  <c r="K6" i="48" s="1"/>
  <c r="H32" i="48"/>
  <c r="G30" i="48"/>
  <c r="N30" i="48"/>
  <c r="N32" i="48"/>
  <c r="D31" i="48"/>
  <c r="F32" i="48"/>
  <c r="I32" i="48"/>
  <c r="L32" i="48"/>
  <c r="E31" i="48"/>
  <c r="J31" i="48"/>
  <c r="C32" i="48"/>
  <c r="C30" i="48"/>
  <c r="C6" i="48" s="1"/>
  <c r="E32" i="48"/>
  <c r="D30" i="48"/>
  <c r="E30" i="48"/>
  <c r="F30" i="48"/>
  <c r="F8" i="48" s="1"/>
  <c r="K32" i="48"/>
  <c r="K30" i="48"/>
  <c r="M30" i="48"/>
  <c r="G31" i="48"/>
  <c r="H31" i="48"/>
  <c r="I31" i="48"/>
  <c r="B19" i="48"/>
  <c r="D6" i="52" s="1"/>
  <c r="H30" i="48"/>
  <c r="H6" i="48" s="1"/>
  <c r="L31" i="48"/>
  <c r="I30" i="48"/>
  <c r="I10" i="48" s="1"/>
  <c r="M31" i="48"/>
  <c r="J30" i="48"/>
  <c r="N31" i="48"/>
  <c r="L30" i="48"/>
  <c r="D32" i="48"/>
  <c r="C31" i="48"/>
  <c r="G32" i="48"/>
  <c r="F31" i="48"/>
  <c r="C30" i="47"/>
  <c r="M32" i="47"/>
  <c r="F30" i="47"/>
  <c r="J31" i="47"/>
  <c r="N32" i="47"/>
  <c r="F31" i="47"/>
  <c r="K32" i="47"/>
  <c r="L32" i="47"/>
  <c r="B19" i="47"/>
  <c r="D5" i="52" s="1"/>
  <c r="D30" i="47"/>
  <c r="E30" i="47"/>
  <c r="I31" i="47"/>
  <c r="G30" i="47"/>
  <c r="K31" i="47"/>
  <c r="H30" i="47"/>
  <c r="L31" i="47"/>
  <c r="G31" i="47"/>
  <c r="H31" i="47"/>
  <c r="I30" i="47"/>
  <c r="I11" i="47" s="1"/>
  <c r="M31" i="47"/>
  <c r="M16" i="47" s="1"/>
  <c r="J30" i="47"/>
  <c r="N31" i="47"/>
  <c r="K30" i="47"/>
  <c r="C32" i="47"/>
  <c r="L30" i="47"/>
  <c r="D32" i="47"/>
  <c r="M30" i="47"/>
  <c r="E32" i="47"/>
  <c r="N30" i="47"/>
  <c r="F32" i="47"/>
  <c r="C31" i="47"/>
  <c r="G32" i="47"/>
  <c r="J32" i="47"/>
  <c r="D31" i="47"/>
  <c r="H32" i="47"/>
  <c r="E31" i="47"/>
  <c r="O30" i="41" a="1"/>
  <c r="Z32" i="41" s="1"/>
  <c r="C30" i="41" a="1"/>
  <c r="C30" i="41" s="1"/>
  <c r="O30" i="40" a="1"/>
  <c r="Y32" i="40" s="1"/>
  <c r="C30" i="40" a="1"/>
  <c r="C30" i="40" s="1"/>
  <c r="O30" i="39" a="1"/>
  <c r="Z32" i="39" s="1"/>
  <c r="C30" i="39" a="1"/>
  <c r="F30" i="39" s="1"/>
  <c r="O30" i="44" a="1"/>
  <c r="Y32" i="44" s="1"/>
  <c r="C30" i="44" a="1"/>
  <c r="C30" i="44" s="1"/>
  <c r="A1" i="16"/>
  <c r="B15" i="40"/>
  <c r="B9" i="40"/>
  <c r="B8" i="40"/>
  <c r="B9" i="41"/>
  <c r="B8" i="41"/>
  <c r="B17" i="40"/>
  <c r="B16" i="40"/>
  <c r="B14" i="40"/>
  <c r="B13" i="40"/>
  <c r="B12" i="40"/>
  <c r="B11" i="40"/>
  <c r="B10" i="40"/>
  <c r="B7" i="40"/>
  <c r="B6" i="40"/>
  <c r="B17" i="41"/>
  <c r="B16" i="41"/>
  <c r="B15" i="41"/>
  <c r="B14" i="41"/>
  <c r="B13" i="41"/>
  <c r="B12" i="41"/>
  <c r="B11" i="41"/>
  <c r="B10" i="41"/>
  <c r="B7" i="41"/>
  <c r="B6" i="41"/>
  <c r="R19" i="48" l="1"/>
  <c r="O19" i="47"/>
  <c r="AB6" i="47"/>
  <c r="Q19" i="48"/>
  <c r="AB9" i="48"/>
  <c r="U19" i="48"/>
  <c r="T19" i="48"/>
  <c r="AB12" i="47"/>
  <c r="AB16" i="47"/>
  <c r="AB8" i="47"/>
  <c r="AB10" i="47"/>
  <c r="AB14" i="47"/>
  <c r="AB15" i="47"/>
  <c r="AB13" i="47"/>
  <c r="AB9" i="47"/>
  <c r="AB17" i="47"/>
  <c r="AB7" i="47"/>
  <c r="AB11" i="47"/>
  <c r="V19" i="48"/>
  <c r="W19" i="48"/>
  <c r="X19" i="48"/>
  <c r="AB16" i="48"/>
  <c r="AB15" i="48"/>
  <c r="AB14" i="48"/>
  <c r="AB11" i="48"/>
  <c r="AB10" i="48"/>
  <c r="Y19" i="48"/>
  <c r="Z19" i="48"/>
  <c r="AB13" i="48"/>
  <c r="AB8" i="48"/>
  <c r="S19" i="48"/>
  <c r="AB12" i="48"/>
  <c r="O19" i="48"/>
  <c r="AB6" i="48"/>
  <c r="AB7" i="48"/>
  <c r="P19" i="48"/>
  <c r="AB17" i="48"/>
  <c r="AB17" i="50"/>
  <c r="D11" i="52"/>
  <c r="Z19" i="50"/>
  <c r="S19" i="49"/>
  <c r="T19" i="49"/>
  <c r="U19" i="49"/>
  <c r="V19" i="49"/>
  <c r="AB7" i="49"/>
  <c r="W19" i="49"/>
  <c r="X19" i="49"/>
  <c r="Y19" i="49"/>
  <c r="Z19" i="49"/>
  <c r="R19" i="49"/>
  <c r="AB8" i="49"/>
  <c r="AB11" i="49"/>
  <c r="AB9" i="49"/>
  <c r="AB16" i="49"/>
  <c r="AB15" i="49"/>
  <c r="O19" i="49"/>
  <c r="AB6" i="49"/>
  <c r="AB14" i="49"/>
  <c r="P19" i="49"/>
  <c r="Q19" i="49"/>
  <c r="AB17" i="49"/>
  <c r="AB13" i="49"/>
  <c r="AB12" i="49"/>
  <c r="AB10" i="49"/>
  <c r="O19" i="50"/>
  <c r="AB6" i="50"/>
  <c r="P19" i="50"/>
  <c r="Q19" i="50"/>
  <c r="AB11" i="50"/>
  <c r="AB9" i="50"/>
  <c r="R19" i="50"/>
  <c r="AB14" i="50"/>
  <c r="S19" i="50"/>
  <c r="AB7" i="50"/>
  <c r="T19" i="50"/>
  <c r="U19" i="50"/>
  <c r="AB16" i="50"/>
  <c r="AB13" i="50"/>
  <c r="V19" i="50"/>
  <c r="AB8" i="50"/>
  <c r="AB10" i="50"/>
  <c r="AB12" i="50"/>
  <c r="W19" i="50"/>
  <c r="AB15" i="50"/>
  <c r="X19" i="50"/>
  <c r="Y19" i="50"/>
  <c r="Q19" i="47"/>
  <c r="N6" i="50"/>
  <c r="G10" i="50"/>
  <c r="J6" i="50"/>
  <c r="L12" i="50"/>
  <c r="F7" i="49"/>
  <c r="H8" i="49"/>
  <c r="K13" i="49"/>
  <c r="I8" i="49"/>
  <c r="N17" i="49"/>
  <c r="M7" i="49"/>
  <c r="L13" i="49"/>
  <c r="M14" i="49"/>
  <c r="I12" i="49"/>
  <c r="H11" i="49"/>
  <c r="M15" i="49"/>
  <c r="H6" i="49"/>
  <c r="G6" i="49"/>
  <c r="M8" i="49"/>
  <c r="L14" i="48"/>
  <c r="K11" i="48"/>
  <c r="M11" i="48"/>
  <c r="N7" i="48"/>
  <c r="K8" i="48"/>
  <c r="H11" i="48"/>
  <c r="R19" i="47"/>
  <c r="S19" i="47"/>
  <c r="U19" i="47"/>
  <c r="V19" i="47"/>
  <c r="W19" i="47"/>
  <c r="X19" i="47"/>
  <c r="H10" i="47"/>
  <c r="T19" i="47"/>
  <c r="Y19" i="47"/>
  <c r="D10" i="52"/>
  <c r="D9" i="52"/>
  <c r="Z19" i="47"/>
  <c r="P19" i="47"/>
  <c r="AL7" i="41"/>
  <c r="AK7" i="41"/>
  <c r="AI7" i="41"/>
  <c r="AH7" i="41"/>
  <c r="AG7" i="41"/>
  <c r="AF7" i="41"/>
  <c r="AA7" i="41"/>
  <c r="AE7" i="41"/>
  <c r="AD7" i="41"/>
  <c r="AC7" i="41"/>
  <c r="AB7" i="41"/>
  <c r="AJ7" i="41"/>
  <c r="J32" i="41"/>
  <c r="AI6" i="41"/>
  <c r="AG6" i="41"/>
  <c r="AH6" i="41"/>
  <c r="AD6" i="41"/>
  <c r="AC6" i="41"/>
  <c r="AB6" i="41"/>
  <c r="AA6" i="41"/>
  <c r="AE6" i="41"/>
  <c r="AL6" i="41"/>
  <c r="AK6" i="41"/>
  <c r="AF6" i="41"/>
  <c r="AJ6" i="41"/>
  <c r="F31" i="41"/>
  <c r="AI14" i="41"/>
  <c r="AH14" i="41"/>
  <c r="AF14" i="41"/>
  <c r="AD14" i="41"/>
  <c r="AC14" i="41"/>
  <c r="AB14" i="41"/>
  <c r="AA14" i="41"/>
  <c r="AE14" i="41"/>
  <c r="AL14" i="41"/>
  <c r="AK14" i="41"/>
  <c r="AJ14" i="41"/>
  <c r="AG14" i="41"/>
  <c r="F30" i="41"/>
  <c r="AI10" i="41"/>
  <c r="AH10" i="41"/>
  <c r="AG10" i="41"/>
  <c r="AF10" i="41"/>
  <c r="AD10" i="41"/>
  <c r="AC10" i="41"/>
  <c r="AB10" i="41"/>
  <c r="AA10" i="41"/>
  <c r="AE10" i="41"/>
  <c r="AL10" i="41"/>
  <c r="AK10" i="41"/>
  <c r="AJ10" i="41"/>
  <c r="AA8" i="41"/>
  <c r="AL8" i="41"/>
  <c r="AK8" i="41"/>
  <c r="AJ8" i="41"/>
  <c r="AI8" i="41"/>
  <c r="AH8" i="41"/>
  <c r="AG8" i="41"/>
  <c r="AF8" i="41"/>
  <c r="AE8" i="41"/>
  <c r="AD8" i="41"/>
  <c r="AC8" i="41"/>
  <c r="AB8" i="41"/>
  <c r="AA12" i="41"/>
  <c r="AL12" i="41"/>
  <c r="AK12" i="41"/>
  <c r="AJ12" i="41"/>
  <c r="AE12" i="41"/>
  <c r="AI12" i="41"/>
  <c r="AH12" i="41"/>
  <c r="AG12" i="41"/>
  <c r="AF12" i="41"/>
  <c r="AD12" i="41"/>
  <c r="AC12" i="41"/>
  <c r="AB12" i="41"/>
  <c r="AE13" i="41"/>
  <c r="AD13" i="41"/>
  <c r="AC13" i="41"/>
  <c r="AL13" i="41"/>
  <c r="AK13" i="41"/>
  <c r="AA13" i="41"/>
  <c r="AJ13" i="41"/>
  <c r="AI13" i="41"/>
  <c r="AH13" i="41"/>
  <c r="AG13" i="41"/>
  <c r="AF13" i="41"/>
  <c r="AB13" i="41"/>
  <c r="AE17" i="41"/>
  <c r="AD17" i="41"/>
  <c r="AC17" i="41"/>
  <c r="AB17" i="41"/>
  <c r="AA17" i="41"/>
  <c r="AI17" i="41"/>
  <c r="AL17" i="41"/>
  <c r="AK17" i="41"/>
  <c r="AJ17" i="41"/>
  <c r="AH17" i="41"/>
  <c r="AG17" i="41"/>
  <c r="AF17" i="41"/>
  <c r="T30" i="41"/>
  <c r="AK15" i="41"/>
  <c r="AL15" i="41"/>
  <c r="AJ15" i="41"/>
  <c r="AI15" i="41"/>
  <c r="AH15" i="41"/>
  <c r="AG15" i="41"/>
  <c r="AF15" i="41"/>
  <c r="AE15" i="41"/>
  <c r="AD15" i="41"/>
  <c r="AC15" i="41"/>
  <c r="AA15" i="41"/>
  <c r="AB15" i="41"/>
  <c r="W31" i="41"/>
  <c r="AK11" i="41"/>
  <c r="AL11" i="41"/>
  <c r="AJ11" i="41"/>
  <c r="AH11" i="41"/>
  <c r="AG11" i="41"/>
  <c r="AF11" i="41"/>
  <c r="AI11" i="41"/>
  <c r="AE11" i="41"/>
  <c r="AD11" i="41"/>
  <c r="AA11" i="41"/>
  <c r="AC11" i="41"/>
  <c r="AB11" i="41"/>
  <c r="AE9" i="41"/>
  <c r="AA9" i="41"/>
  <c r="AD9" i="41"/>
  <c r="AB9" i="41"/>
  <c r="AL9" i="41"/>
  <c r="AK9" i="41"/>
  <c r="AI9" i="41"/>
  <c r="AJ9" i="41"/>
  <c r="AH9" i="41"/>
  <c r="AG9" i="41"/>
  <c r="AF9" i="41"/>
  <c r="AC9" i="41"/>
  <c r="AA16" i="41"/>
  <c r="AL16" i="41"/>
  <c r="AK16" i="41"/>
  <c r="AJ16" i="41"/>
  <c r="AI16" i="41"/>
  <c r="AH16" i="41"/>
  <c r="AE16" i="41"/>
  <c r="AG16" i="41"/>
  <c r="AF16" i="41"/>
  <c r="AD16" i="41"/>
  <c r="AC16" i="41"/>
  <c r="AB16" i="41"/>
  <c r="AI14" i="40"/>
  <c r="AH14" i="40"/>
  <c r="AD14" i="40"/>
  <c r="AC14" i="40"/>
  <c r="AB14" i="40"/>
  <c r="AA14" i="40"/>
  <c r="AF14" i="40"/>
  <c r="AL14" i="40"/>
  <c r="AK14" i="40"/>
  <c r="AE14" i="40"/>
  <c r="AJ14" i="40"/>
  <c r="AG14" i="40"/>
  <c r="AA16" i="40"/>
  <c r="AL16" i="40"/>
  <c r="AK16" i="40"/>
  <c r="AJ16" i="40"/>
  <c r="AE16" i="40"/>
  <c r="AI16" i="40"/>
  <c r="AH16" i="40"/>
  <c r="AF16" i="40"/>
  <c r="AG16" i="40"/>
  <c r="AD16" i="40"/>
  <c r="AC16" i="40"/>
  <c r="AB16" i="40"/>
  <c r="AA12" i="40"/>
  <c r="AL12" i="40"/>
  <c r="AK12" i="40"/>
  <c r="AJ12" i="40"/>
  <c r="AI12" i="40"/>
  <c r="AH12" i="40"/>
  <c r="AF12" i="40"/>
  <c r="AG12" i="40"/>
  <c r="AE12" i="40"/>
  <c r="AD12" i="40"/>
  <c r="AC12" i="40"/>
  <c r="AB12" i="40"/>
  <c r="AI10" i="40"/>
  <c r="AG10" i="40"/>
  <c r="AF10" i="40"/>
  <c r="AD10" i="40"/>
  <c r="AC10" i="40"/>
  <c r="AB10" i="40"/>
  <c r="AE10" i="40"/>
  <c r="AA10" i="40"/>
  <c r="AL10" i="40"/>
  <c r="AK10" i="40"/>
  <c r="AJ10" i="40"/>
  <c r="AH10" i="40"/>
  <c r="AL11" i="40"/>
  <c r="AJ11" i="40"/>
  <c r="AI11" i="40"/>
  <c r="AH11" i="40"/>
  <c r="AG11" i="40"/>
  <c r="AF11" i="40"/>
  <c r="AB11" i="40"/>
  <c r="AA11" i="40"/>
  <c r="AE11" i="40"/>
  <c r="AD11" i="40"/>
  <c r="AC11" i="40"/>
  <c r="AK11" i="40"/>
  <c r="AK15" i="40"/>
  <c r="AH15" i="40"/>
  <c r="AG15" i="40"/>
  <c r="AF15" i="40"/>
  <c r="AB15" i="40"/>
  <c r="AE15" i="40"/>
  <c r="AJ15" i="40"/>
  <c r="AD15" i="40"/>
  <c r="AC15" i="40"/>
  <c r="AA15" i="40"/>
  <c r="AI15" i="40"/>
  <c r="AL15" i="40"/>
  <c r="AE9" i="40"/>
  <c r="AD9" i="40"/>
  <c r="AB9" i="40"/>
  <c r="AJ9" i="40"/>
  <c r="AA9" i="40"/>
  <c r="AL9" i="40"/>
  <c r="AI9" i="40"/>
  <c r="AK9" i="40"/>
  <c r="AH9" i="40"/>
  <c r="AG9" i="40"/>
  <c r="AF9" i="40"/>
  <c r="AC9" i="40"/>
  <c r="AI6" i="40"/>
  <c r="AH6" i="40"/>
  <c r="AG6" i="40"/>
  <c r="AF6" i="40"/>
  <c r="AE6" i="40"/>
  <c r="AD6" i="40"/>
  <c r="AC6" i="40"/>
  <c r="AB6" i="40"/>
  <c r="AA6" i="40"/>
  <c r="AL6" i="40"/>
  <c r="AK6" i="40"/>
  <c r="AJ6" i="40"/>
  <c r="AE13" i="40"/>
  <c r="AC13" i="40"/>
  <c r="AB13" i="40"/>
  <c r="AL13" i="40"/>
  <c r="AI13" i="40"/>
  <c r="AK13" i="40"/>
  <c r="AJ13" i="40"/>
  <c r="AH13" i="40"/>
  <c r="AG13" i="40"/>
  <c r="AF13" i="40"/>
  <c r="AD13" i="40"/>
  <c r="AA13" i="40"/>
  <c r="AE17" i="40"/>
  <c r="AD17" i="40"/>
  <c r="AJ17" i="40"/>
  <c r="AB17" i="40"/>
  <c r="AL17" i="40"/>
  <c r="AI17" i="40"/>
  <c r="AK17" i="40"/>
  <c r="AG17" i="40"/>
  <c r="AA17" i="40"/>
  <c r="AH17" i="40"/>
  <c r="AF17" i="40"/>
  <c r="AC17" i="40"/>
  <c r="AA8" i="40"/>
  <c r="AL8" i="40"/>
  <c r="AK8" i="40"/>
  <c r="AJ8" i="40"/>
  <c r="AI8" i="40"/>
  <c r="AE8" i="40"/>
  <c r="AH8" i="40"/>
  <c r="AG8" i="40"/>
  <c r="AF8" i="40"/>
  <c r="AD8" i="40"/>
  <c r="AC8" i="40"/>
  <c r="AB8" i="40"/>
  <c r="AK7" i="40"/>
  <c r="AJ7" i="40"/>
  <c r="AH7" i="40"/>
  <c r="AG7" i="40"/>
  <c r="AF7" i="40"/>
  <c r="AE7" i="40"/>
  <c r="AD7" i="40"/>
  <c r="AB7" i="40"/>
  <c r="AI7" i="40"/>
  <c r="AC7" i="40"/>
  <c r="AA7" i="40"/>
  <c r="AL7" i="40"/>
  <c r="B10" i="39"/>
  <c r="B6" i="39"/>
  <c r="B16" i="39"/>
  <c r="B8" i="39"/>
  <c r="B13" i="39"/>
  <c r="B11" i="39"/>
  <c r="B7" i="39"/>
  <c r="B9" i="39"/>
  <c r="B15" i="39"/>
  <c r="B17" i="39"/>
  <c r="K14" i="50"/>
  <c r="H10" i="50"/>
  <c r="F6" i="50"/>
  <c r="I8" i="50"/>
  <c r="N11" i="50"/>
  <c r="M7" i="50"/>
  <c r="N13" i="50"/>
  <c r="J13" i="50"/>
  <c r="N12" i="50"/>
  <c r="K9" i="50"/>
  <c r="L6" i="50"/>
  <c r="J12" i="50"/>
  <c r="J8" i="50"/>
  <c r="N16" i="50"/>
  <c r="D6" i="50"/>
  <c r="E6" i="50"/>
  <c r="M16" i="50"/>
  <c r="I6" i="50"/>
  <c r="C6" i="50"/>
  <c r="C19" i="50" s="1"/>
  <c r="H6" i="50"/>
  <c r="H8" i="50"/>
  <c r="L10" i="50"/>
  <c r="K6" i="50"/>
  <c r="L9" i="50"/>
  <c r="D7" i="50"/>
  <c r="L13" i="50"/>
  <c r="J9" i="50"/>
  <c r="J11" i="50"/>
  <c r="J7" i="50"/>
  <c r="E7" i="50"/>
  <c r="E8" i="50"/>
  <c r="I11" i="50"/>
  <c r="I7" i="50"/>
  <c r="I9" i="50"/>
  <c r="N17" i="50"/>
  <c r="F7" i="50"/>
  <c r="F8" i="50"/>
  <c r="N15" i="50"/>
  <c r="N8" i="50"/>
  <c r="N7" i="50"/>
  <c r="N14" i="50"/>
  <c r="N9" i="50"/>
  <c r="G7" i="50"/>
  <c r="G9" i="50"/>
  <c r="G8" i="50"/>
  <c r="M12" i="50"/>
  <c r="K10" i="50"/>
  <c r="L11" i="50"/>
  <c r="L15" i="50"/>
  <c r="L14" i="50"/>
  <c r="L8" i="50"/>
  <c r="M13" i="50"/>
  <c r="G6" i="50"/>
  <c r="I12" i="50"/>
  <c r="K7" i="50"/>
  <c r="K11" i="50"/>
  <c r="K8" i="50"/>
  <c r="K12" i="50"/>
  <c r="H9" i="50"/>
  <c r="H11" i="50"/>
  <c r="H7" i="50"/>
  <c r="M6" i="50"/>
  <c r="M11" i="50"/>
  <c r="M15" i="50"/>
  <c r="M14" i="50"/>
  <c r="M8" i="50"/>
  <c r="M9" i="50"/>
  <c r="L7" i="50"/>
  <c r="N10" i="50"/>
  <c r="K13" i="50"/>
  <c r="F9" i="50"/>
  <c r="M10" i="50"/>
  <c r="I10" i="50"/>
  <c r="I10" i="49"/>
  <c r="M11" i="49"/>
  <c r="K10" i="49"/>
  <c r="I7" i="49"/>
  <c r="L10" i="49"/>
  <c r="K9" i="49"/>
  <c r="K14" i="49"/>
  <c r="N13" i="49"/>
  <c r="K11" i="49"/>
  <c r="H9" i="49"/>
  <c r="L15" i="49"/>
  <c r="L8" i="49"/>
  <c r="I6" i="49"/>
  <c r="K6" i="49"/>
  <c r="H7" i="49"/>
  <c r="E8" i="49"/>
  <c r="E6" i="49"/>
  <c r="K7" i="49"/>
  <c r="I9" i="49"/>
  <c r="H10" i="49"/>
  <c r="K8" i="49"/>
  <c r="J11" i="49"/>
  <c r="G8" i="49"/>
  <c r="D6" i="49"/>
  <c r="K12" i="49"/>
  <c r="J12" i="49"/>
  <c r="L14" i="49"/>
  <c r="M9" i="49"/>
  <c r="L7" i="49"/>
  <c r="L11" i="49"/>
  <c r="L12" i="49"/>
  <c r="L6" i="49"/>
  <c r="G7" i="49"/>
  <c r="C19" i="49"/>
  <c r="F6" i="49"/>
  <c r="F9" i="49"/>
  <c r="F8" i="49"/>
  <c r="N11" i="49"/>
  <c r="N16" i="49"/>
  <c r="AA16" i="49" s="1"/>
  <c r="N15" i="49"/>
  <c r="N8" i="49"/>
  <c r="N9" i="49"/>
  <c r="N6" i="49"/>
  <c r="N7" i="49"/>
  <c r="G9" i="49"/>
  <c r="G10" i="49"/>
  <c r="J9" i="49"/>
  <c r="J7" i="49"/>
  <c r="J6" i="49"/>
  <c r="N10" i="49"/>
  <c r="D7" i="49"/>
  <c r="L9" i="49"/>
  <c r="J10" i="49"/>
  <c r="J8" i="49"/>
  <c r="J13" i="49"/>
  <c r="N12" i="49"/>
  <c r="K14" i="48"/>
  <c r="N6" i="48"/>
  <c r="E8" i="48"/>
  <c r="N10" i="48"/>
  <c r="D7" i="48"/>
  <c r="K7" i="48"/>
  <c r="K10" i="48"/>
  <c r="N17" i="48"/>
  <c r="H10" i="48"/>
  <c r="M13" i="48"/>
  <c r="N15" i="48"/>
  <c r="K13" i="48"/>
  <c r="E6" i="48"/>
  <c r="I12" i="48"/>
  <c r="M15" i="48"/>
  <c r="M10" i="48"/>
  <c r="L15" i="48"/>
  <c r="L12" i="48"/>
  <c r="I6" i="48"/>
  <c r="J11" i="48"/>
  <c r="N12" i="48"/>
  <c r="F9" i="48"/>
  <c r="N11" i="48"/>
  <c r="N14" i="48"/>
  <c r="K12" i="48"/>
  <c r="M14" i="48"/>
  <c r="G7" i="48"/>
  <c r="K9" i="48"/>
  <c r="E7" i="48"/>
  <c r="J13" i="48"/>
  <c r="M16" i="48"/>
  <c r="C19" i="48"/>
  <c r="L6" i="48"/>
  <c r="G8" i="48"/>
  <c r="H9" i="48"/>
  <c r="H7" i="48"/>
  <c r="J12" i="48"/>
  <c r="M8" i="48"/>
  <c r="J6" i="48"/>
  <c r="G9" i="48"/>
  <c r="L10" i="48"/>
  <c r="L8" i="48"/>
  <c r="L7" i="48"/>
  <c r="L9" i="48"/>
  <c r="F7" i="48"/>
  <c r="L13" i="48"/>
  <c r="H8" i="48"/>
  <c r="F6" i="48"/>
  <c r="M7" i="48"/>
  <c r="N13" i="48"/>
  <c r="N16" i="48"/>
  <c r="N8" i="48"/>
  <c r="I7" i="48"/>
  <c r="I11" i="48"/>
  <c r="I8" i="48"/>
  <c r="I9" i="48"/>
  <c r="G6" i="48"/>
  <c r="L11" i="48"/>
  <c r="M6" i="48"/>
  <c r="N9" i="48"/>
  <c r="J10" i="48"/>
  <c r="J9" i="48"/>
  <c r="J7" i="48"/>
  <c r="J8" i="48"/>
  <c r="G10" i="48"/>
  <c r="M12" i="48"/>
  <c r="D6" i="48"/>
  <c r="M9" i="48"/>
  <c r="L14" i="47"/>
  <c r="F7" i="47"/>
  <c r="N9" i="47"/>
  <c r="H7" i="47"/>
  <c r="F8" i="47"/>
  <c r="I6" i="47"/>
  <c r="E8" i="47"/>
  <c r="K14" i="47"/>
  <c r="I12" i="47"/>
  <c r="J11" i="47"/>
  <c r="M8" i="47"/>
  <c r="K12" i="47"/>
  <c r="I10" i="47"/>
  <c r="I8" i="47"/>
  <c r="I9" i="47"/>
  <c r="I7" i="47"/>
  <c r="M14" i="47"/>
  <c r="J12" i="47"/>
  <c r="L10" i="47"/>
  <c r="L11" i="47"/>
  <c r="L6" i="47"/>
  <c r="L9" i="47"/>
  <c r="L7" i="47"/>
  <c r="G7" i="47"/>
  <c r="G6" i="47"/>
  <c r="H11" i="47"/>
  <c r="N17" i="47"/>
  <c r="K6" i="47"/>
  <c r="K8" i="47"/>
  <c r="K13" i="47"/>
  <c r="K7" i="47"/>
  <c r="K9" i="47"/>
  <c r="K11" i="47"/>
  <c r="C6" i="47"/>
  <c r="N10" i="47"/>
  <c r="L8" i="47"/>
  <c r="L13" i="47"/>
  <c r="L12" i="47"/>
  <c r="N8" i="47"/>
  <c r="N16" i="47"/>
  <c r="AA16" i="47" s="1"/>
  <c r="N14" i="47"/>
  <c r="L15" i="47"/>
  <c r="M10" i="47"/>
  <c r="M13" i="47"/>
  <c r="M6" i="47"/>
  <c r="M7" i="47"/>
  <c r="M9" i="47"/>
  <c r="M11" i="47"/>
  <c r="M15" i="47"/>
  <c r="K10" i="47"/>
  <c r="M12" i="47"/>
  <c r="G10" i="47"/>
  <c r="E7" i="47"/>
  <c r="E6" i="47"/>
  <c r="J8" i="47"/>
  <c r="D7" i="47"/>
  <c r="D6" i="47"/>
  <c r="F9" i="47"/>
  <c r="F6" i="47"/>
  <c r="G9" i="47"/>
  <c r="G8" i="47"/>
  <c r="J13" i="47"/>
  <c r="J10" i="47"/>
  <c r="J7" i="47"/>
  <c r="J6" i="47"/>
  <c r="J9" i="47"/>
  <c r="N6" i="47"/>
  <c r="N13" i="47"/>
  <c r="N12" i="47"/>
  <c r="N7" i="47"/>
  <c r="N11" i="47"/>
  <c r="N15" i="47"/>
  <c r="H9" i="47"/>
  <c r="H8" i="47"/>
  <c r="H6" i="47"/>
  <c r="N32" i="41"/>
  <c r="X31" i="41"/>
  <c r="I32" i="41"/>
  <c r="H32" i="41"/>
  <c r="G32" i="41"/>
  <c r="J31" i="41"/>
  <c r="E31" i="41"/>
  <c r="D31" i="41"/>
  <c r="C31" i="41"/>
  <c r="S30" i="41"/>
  <c r="U30" i="41"/>
  <c r="Y31" i="41"/>
  <c r="V30" i="41"/>
  <c r="Z31" i="41"/>
  <c r="W30" i="41"/>
  <c r="O32" i="41"/>
  <c r="X30" i="41"/>
  <c r="P32" i="41"/>
  <c r="Y30" i="41"/>
  <c r="Q32" i="41"/>
  <c r="Z30" i="41"/>
  <c r="R32" i="41"/>
  <c r="O31" i="41"/>
  <c r="S32" i="41"/>
  <c r="P31" i="41"/>
  <c r="T32" i="41"/>
  <c r="Q31" i="41"/>
  <c r="U32" i="41"/>
  <c r="R31" i="41"/>
  <c r="V32" i="41"/>
  <c r="O30" i="41"/>
  <c r="S31" i="41"/>
  <c r="W32" i="41"/>
  <c r="P30" i="41"/>
  <c r="T31" i="41"/>
  <c r="X32" i="41"/>
  <c r="Q30" i="41"/>
  <c r="U31" i="41"/>
  <c r="Y32" i="41"/>
  <c r="R30" i="41"/>
  <c r="V31" i="41"/>
  <c r="F32" i="41"/>
  <c r="N30" i="41"/>
  <c r="E32" i="41"/>
  <c r="M30" i="41"/>
  <c r="D32" i="41"/>
  <c r="L30" i="41"/>
  <c r="C32" i="41"/>
  <c r="K30" i="41"/>
  <c r="N31" i="41"/>
  <c r="J30" i="41"/>
  <c r="M31" i="41"/>
  <c r="I30" i="41"/>
  <c r="L31" i="41"/>
  <c r="H30" i="41"/>
  <c r="K31" i="41"/>
  <c r="G30" i="41"/>
  <c r="M32" i="41"/>
  <c r="I31" i="41"/>
  <c r="E30" i="41"/>
  <c r="L32" i="41"/>
  <c r="H31" i="41"/>
  <c r="D30" i="41"/>
  <c r="K32" i="41"/>
  <c r="G31" i="41"/>
  <c r="V31" i="40"/>
  <c r="S30" i="40"/>
  <c r="X31" i="40"/>
  <c r="U30" i="40"/>
  <c r="Y31" i="40"/>
  <c r="T30" i="40"/>
  <c r="V30" i="40"/>
  <c r="Z31" i="40"/>
  <c r="W30" i="40"/>
  <c r="O32" i="40"/>
  <c r="R30" i="40"/>
  <c r="W31" i="40"/>
  <c r="X30" i="40"/>
  <c r="P32" i="40"/>
  <c r="Y30" i="40"/>
  <c r="Q32" i="40"/>
  <c r="Z32" i="40"/>
  <c r="R32" i="40"/>
  <c r="O31" i="40"/>
  <c r="S32" i="40"/>
  <c r="Z30" i="40"/>
  <c r="P31" i="40"/>
  <c r="T32" i="40"/>
  <c r="U32" i="40"/>
  <c r="V32" i="40"/>
  <c r="O30" i="40"/>
  <c r="S31" i="40"/>
  <c r="W32" i="40"/>
  <c r="P30" i="40"/>
  <c r="T31" i="40"/>
  <c r="X32" i="40"/>
  <c r="Q31" i="40"/>
  <c r="R31" i="40"/>
  <c r="Q30" i="40"/>
  <c r="U31" i="40"/>
  <c r="H31" i="40"/>
  <c r="F31" i="40"/>
  <c r="E31" i="40"/>
  <c r="H32" i="40"/>
  <c r="D31" i="40"/>
  <c r="I32" i="40"/>
  <c r="G32" i="40"/>
  <c r="C31" i="40"/>
  <c r="J32" i="40"/>
  <c r="F32" i="40"/>
  <c r="E32" i="40"/>
  <c r="M30" i="40"/>
  <c r="N30" i="40"/>
  <c r="D32" i="40"/>
  <c r="L30" i="40"/>
  <c r="K30" i="40"/>
  <c r="N31" i="40"/>
  <c r="J30" i="40"/>
  <c r="K32" i="40"/>
  <c r="C32" i="40"/>
  <c r="M31" i="40"/>
  <c r="I30" i="40"/>
  <c r="L32" i="40"/>
  <c r="L31" i="40"/>
  <c r="H30" i="40"/>
  <c r="G31" i="40"/>
  <c r="G30" i="40"/>
  <c r="N32" i="40"/>
  <c r="J31" i="40"/>
  <c r="F30" i="40"/>
  <c r="K31" i="40"/>
  <c r="M32" i="40"/>
  <c r="I31" i="40"/>
  <c r="E30" i="40"/>
  <c r="D30" i="40"/>
  <c r="S30" i="39"/>
  <c r="W31" i="39"/>
  <c r="T30" i="39"/>
  <c r="X31" i="39"/>
  <c r="Y31" i="39"/>
  <c r="V30" i="39"/>
  <c r="Z31" i="39"/>
  <c r="U30" i="39"/>
  <c r="W30" i="39"/>
  <c r="O32" i="39"/>
  <c r="X30" i="39"/>
  <c r="P32" i="39"/>
  <c r="Y30" i="39"/>
  <c r="Q32" i="39"/>
  <c r="Z30" i="39"/>
  <c r="R32" i="39"/>
  <c r="O31" i="39"/>
  <c r="S32" i="39"/>
  <c r="P31" i="39"/>
  <c r="T32" i="39"/>
  <c r="U32" i="39"/>
  <c r="V32" i="39"/>
  <c r="R31" i="39"/>
  <c r="O30" i="39"/>
  <c r="S31" i="39"/>
  <c r="W32" i="39"/>
  <c r="P30" i="39"/>
  <c r="T31" i="39"/>
  <c r="X32" i="39"/>
  <c r="Q30" i="39"/>
  <c r="U31" i="39"/>
  <c r="Y32" i="39"/>
  <c r="Q31" i="39"/>
  <c r="R30" i="39"/>
  <c r="V31" i="39"/>
  <c r="I32" i="39"/>
  <c r="E31" i="39"/>
  <c r="H32" i="39"/>
  <c r="D31" i="39"/>
  <c r="M32" i="39"/>
  <c r="G32" i="39"/>
  <c r="N30" i="39"/>
  <c r="E32" i="39"/>
  <c r="M30" i="39"/>
  <c r="D32" i="39"/>
  <c r="L30" i="39"/>
  <c r="K30" i="39"/>
  <c r="N31" i="39"/>
  <c r="J30" i="39"/>
  <c r="H31" i="39"/>
  <c r="G31" i="39"/>
  <c r="C32" i="39"/>
  <c r="M31" i="39"/>
  <c r="I30" i="39"/>
  <c r="E30" i="39"/>
  <c r="J32" i="39"/>
  <c r="L31" i="39"/>
  <c r="H30" i="39"/>
  <c r="D30" i="39"/>
  <c r="C30" i="39"/>
  <c r="C31" i="39"/>
  <c r="K31" i="39"/>
  <c r="G30" i="39"/>
  <c r="I31" i="39"/>
  <c r="L32" i="39"/>
  <c r="K32" i="39"/>
  <c r="F31" i="39"/>
  <c r="F32" i="39"/>
  <c r="N32" i="39"/>
  <c r="J31" i="39"/>
  <c r="F32" i="44"/>
  <c r="D30" i="44"/>
  <c r="N30" i="44"/>
  <c r="E30" i="44"/>
  <c r="M32" i="44"/>
  <c r="L32" i="44"/>
  <c r="J32" i="44"/>
  <c r="I31" i="44"/>
  <c r="H31" i="44"/>
  <c r="F31" i="44"/>
  <c r="G32" i="44"/>
  <c r="C31" i="44"/>
  <c r="U32" i="44"/>
  <c r="V31" i="44"/>
  <c r="W31" i="44"/>
  <c r="T30" i="44"/>
  <c r="X31" i="44"/>
  <c r="Z32" i="44"/>
  <c r="S30" i="44"/>
  <c r="U30" i="44"/>
  <c r="Y31" i="44"/>
  <c r="Q31" i="44"/>
  <c r="Z31" i="44"/>
  <c r="W30" i="44"/>
  <c r="O32" i="44"/>
  <c r="R30" i="44"/>
  <c r="V30" i="44"/>
  <c r="X30" i="44"/>
  <c r="P32" i="44"/>
  <c r="Y30" i="44"/>
  <c r="Q32" i="44"/>
  <c r="Z30" i="44"/>
  <c r="O31" i="44"/>
  <c r="S32" i="44"/>
  <c r="R32" i="44"/>
  <c r="P31" i="44"/>
  <c r="T32" i="44"/>
  <c r="R31" i="44"/>
  <c r="V32" i="44"/>
  <c r="O30" i="44"/>
  <c r="S31" i="44"/>
  <c r="W32" i="44"/>
  <c r="P30" i="44"/>
  <c r="T31" i="44"/>
  <c r="X32" i="44"/>
  <c r="Q30" i="44"/>
  <c r="U31" i="44"/>
  <c r="I32" i="44"/>
  <c r="E31" i="44"/>
  <c r="H32" i="44"/>
  <c r="D31" i="44"/>
  <c r="E32" i="44"/>
  <c r="M30" i="44"/>
  <c r="D32" i="44"/>
  <c r="L30" i="44"/>
  <c r="C32" i="44"/>
  <c r="K30" i="44"/>
  <c r="N31" i="44"/>
  <c r="J30" i="44"/>
  <c r="M31" i="44"/>
  <c r="I30" i="44"/>
  <c r="L31" i="44"/>
  <c r="H30" i="44"/>
  <c r="K31" i="44"/>
  <c r="G30" i="44"/>
  <c r="N32" i="44"/>
  <c r="J31" i="44"/>
  <c r="F30" i="44"/>
  <c r="K32" i="44"/>
  <c r="G31" i="44"/>
  <c r="AO7" i="41" l="1"/>
  <c r="AO7" i="40"/>
  <c r="AO8" i="41"/>
  <c r="AO6" i="41"/>
  <c r="AO6" i="40"/>
  <c r="AO9" i="40"/>
  <c r="AO16" i="40"/>
  <c r="AO13" i="40"/>
  <c r="AO10" i="40"/>
  <c r="AO13" i="41"/>
  <c r="AO14" i="41"/>
  <c r="AO12" i="41"/>
  <c r="AO9" i="41"/>
  <c r="AO10" i="41"/>
  <c r="AG19" i="41"/>
  <c r="AO8" i="40"/>
  <c r="AO12" i="40"/>
  <c r="AO11" i="40"/>
  <c r="AO15" i="41"/>
  <c r="AO17" i="41"/>
  <c r="AO15" i="40"/>
  <c r="AO11" i="41"/>
  <c r="AO17" i="40"/>
  <c r="AO16" i="41"/>
  <c r="AO14" i="40"/>
  <c r="E19" i="49"/>
  <c r="AA17" i="50"/>
  <c r="AB19" i="50"/>
  <c r="D44" i="52" s="1"/>
  <c r="N44" i="52" s="1"/>
  <c r="D19" i="50"/>
  <c r="M19" i="49"/>
  <c r="AA17" i="49"/>
  <c r="I19" i="49"/>
  <c r="AA13" i="49"/>
  <c r="AA14" i="49"/>
  <c r="AA11" i="49"/>
  <c r="AA17" i="48"/>
  <c r="E19" i="48"/>
  <c r="E19" i="47"/>
  <c r="AA17" i="47"/>
  <c r="D19" i="47"/>
  <c r="J9" i="52"/>
  <c r="J11" i="52"/>
  <c r="I19" i="47"/>
  <c r="AH19" i="41"/>
  <c r="AI19" i="41"/>
  <c r="AJ19" i="41"/>
  <c r="AF19" i="41"/>
  <c r="AK19" i="41"/>
  <c r="AL19" i="41"/>
  <c r="AE19" i="41"/>
  <c r="AA19" i="41"/>
  <c r="AB19" i="41"/>
  <c r="AC19" i="41"/>
  <c r="AD19" i="41"/>
  <c r="AK19" i="40"/>
  <c r="AJ19" i="40"/>
  <c r="AL19" i="40"/>
  <c r="AA19" i="40"/>
  <c r="AB19" i="40"/>
  <c r="AC19" i="40"/>
  <c r="AD19" i="40"/>
  <c r="AE19" i="40"/>
  <c r="AF19" i="40"/>
  <c r="AG19" i="40"/>
  <c r="AH19" i="40"/>
  <c r="AI19" i="40"/>
  <c r="AE17" i="39"/>
  <c r="AB17" i="39"/>
  <c r="AD17" i="39"/>
  <c r="AC17" i="39"/>
  <c r="AI17" i="39"/>
  <c r="AH17" i="39"/>
  <c r="AL17" i="39"/>
  <c r="AJ17" i="39"/>
  <c r="AK17" i="39"/>
  <c r="AG17" i="39"/>
  <c r="AA17" i="39"/>
  <c r="AF17" i="39"/>
  <c r="AL15" i="39"/>
  <c r="AJ15" i="39"/>
  <c r="AH15" i="39"/>
  <c r="AF15" i="39"/>
  <c r="AE15" i="39"/>
  <c r="AB15" i="39"/>
  <c r="AD15" i="39"/>
  <c r="AC15" i="39"/>
  <c r="AA15" i="39"/>
  <c r="AK15" i="39"/>
  <c r="AI15" i="39"/>
  <c r="AG15" i="39"/>
  <c r="AE9" i="39"/>
  <c r="AC9" i="39"/>
  <c r="AB9" i="39"/>
  <c r="AA9" i="39"/>
  <c r="AD9" i="39"/>
  <c r="AJ9" i="39"/>
  <c r="AI9" i="39"/>
  <c r="AH9" i="39"/>
  <c r="AL9" i="39"/>
  <c r="AK9" i="39"/>
  <c r="AG9" i="39"/>
  <c r="AF9" i="39"/>
  <c r="AJ7" i="39"/>
  <c r="AL7" i="39"/>
  <c r="AK7" i="39"/>
  <c r="AF7" i="39"/>
  <c r="AE7" i="39"/>
  <c r="AA7" i="39"/>
  <c r="AD7" i="39"/>
  <c r="AB7" i="39"/>
  <c r="AC7" i="39"/>
  <c r="AH7" i="39"/>
  <c r="AI7" i="39"/>
  <c r="AG7" i="39"/>
  <c r="AJ11" i="39"/>
  <c r="AL11" i="39"/>
  <c r="AK11" i="39"/>
  <c r="AG11" i="39"/>
  <c r="AF11" i="39"/>
  <c r="AE11" i="39"/>
  <c r="AH11" i="39"/>
  <c r="AD11" i="39"/>
  <c r="AB11" i="39"/>
  <c r="AC11" i="39"/>
  <c r="AA11" i="39"/>
  <c r="AI11" i="39"/>
  <c r="AE13" i="39"/>
  <c r="AC13" i="39"/>
  <c r="AB13" i="39"/>
  <c r="AA13" i="39"/>
  <c r="AD13" i="39"/>
  <c r="AI13" i="39"/>
  <c r="AH13" i="39"/>
  <c r="AL13" i="39"/>
  <c r="AJ13" i="39"/>
  <c r="AK13" i="39"/>
  <c r="AG13" i="39"/>
  <c r="AF13" i="39"/>
  <c r="AA8" i="39"/>
  <c r="AK8" i="39"/>
  <c r="AJ8" i="39"/>
  <c r="AL8" i="39"/>
  <c r="AI8" i="39"/>
  <c r="AE8" i="39"/>
  <c r="AH8" i="39"/>
  <c r="AF8" i="39"/>
  <c r="AG8" i="39"/>
  <c r="AD8" i="39"/>
  <c r="AC8" i="39"/>
  <c r="AB8" i="39"/>
  <c r="AA16" i="39"/>
  <c r="AJ16" i="39"/>
  <c r="AK16" i="39"/>
  <c r="AI16" i="39"/>
  <c r="AE16" i="39"/>
  <c r="AH16" i="39"/>
  <c r="AF16" i="39"/>
  <c r="AG16" i="39"/>
  <c r="AD16" i="39"/>
  <c r="AL16" i="39"/>
  <c r="AC16" i="39"/>
  <c r="AB16" i="39"/>
  <c r="AI6" i="39"/>
  <c r="AG6" i="39"/>
  <c r="AH6" i="39"/>
  <c r="AF6" i="39"/>
  <c r="AB6" i="39"/>
  <c r="AL6" i="39"/>
  <c r="AC6" i="39"/>
  <c r="AA6" i="39"/>
  <c r="AK6" i="39"/>
  <c r="AE6" i="39"/>
  <c r="AJ6" i="39"/>
  <c r="AD6" i="39"/>
  <c r="AI10" i="39"/>
  <c r="AD10" i="39"/>
  <c r="AH10" i="39"/>
  <c r="AG10" i="39"/>
  <c r="AF10" i="39"/>
  <c r="AC10" i="39"/>
  <c r="AB10" i="39"/>
  <c r="AL10" i="39"/>
  <c r="AA10" i="39"/>
  <c r="AK10" i="39"/>
  <c r="AE10" i="39"/>
  <c r="AJ10" i="39"/>
  <c r="AA14" i="50"/>
  <c r="L19" i="50"/>
  <c r="F19" i="50"/>
  <c r="AA16" i="50"/>
  <c r="AA6" i="50"/>
  <c r="N19" i="50"/>
  <c r="AA10" i="50"/>
  <c r="I19" i="50"/>
  <c r="AA11" i="50"/>
  <c r="E19" i="50"/>
  <c r="J19" i="50"/>
  <c r="AA13" i="50"/>
  <c r="AA8" i="50"/>
  <c r="AA9" i="50"/>
  <c r="AA12" i="50"/>
  <c r="AA7" i="50"/>
  <c r="M19" i="50"/>
  <c r="G19" i="50"/>
  <c r="K19" i="50"/>
  <c r="AA15" i="50"/>
  <c r="H19" i="50"/>
  <c r="K19" i="49"/>
  <c r="D19" i="49"/>
  <c r="G19" i="49"/>
  <c r="AA12" i="49"/>
  <c r="AA15" i="49"/>
  <c r="H19" i="49"/>
  <c r="N19" i="49"/>
  <c r="AA8" i="49"/>
  <c r="L19" i="49"/>
  <c r="AA9" i="49"/>
  <c r="F19" i="49"/>
  <c r="J19" i="49"/>
  <c r="AA10" i="49"/>
  <c r="AA7" i="49"/>
  <c r="AA6" i="49"/>
  <c r="K19" i="48"/>
  <c r="AA14" i="48"/>
  <c r="H19" i="48"/>
  <c r="I19" i="48"/>
  <c r="AA15" i="48"/>
  <c r="D19" i="48"/>
  <c r="AA9" i="48"/>
  <c r="AA12" i="48"/>
  <c r="AA11" i="48"/>
  <c r="AA10" i="48"/>
  <c r="AA8" i="48"/>
  <c r="F19" i="48"/>
  <c r="AA7" i="48"/>
  <c r="AA13" i="48"/>
  <c r="N19" i="48"/>
  <c r="L19" i="48"/>
  <c r="G19" i="48"/>
  <c r="M19" i="48"/>
  <c r="AA6" i="48"/>
  <c r="J19" i="48"/>
  <c r="AA16" i="48"/>
  <c r="AA14" i="47"/>
  <c r="AA12" i="47"/>
  <c r="H19" i="47"/>
  <c r="AA8" i="47"/>
  <c r="F19" i="47"/>
  <c r="AA13" i="47"/>
  <c r="AA9" i="47"/>
  <c r="L19" i="47"/>
  <c r="AA10" i="47"/>
  <c r="AA6" i="47"/>
  <c r="C19" i="47"/>
  <c r="AA7" i="47"/>
  <c r="M19" i="47"/>
  <c r="N19" i="47"/>
  <c r="K19" i="47"/>
  <c r="AA15" i="47"/>
  <c r="AA11" i="47"/>
  <c r="J19" i="47"/>
  <c r="G19" i="47"/>
  <c r="AO11" i="39" l="1"/>
  <c r="AO17" i="39"/>
  <c r="AO6" i="39"/>
  <c r="AO8" i="39"/>
  <c r="AO10" i="39"/>
  <c r="AO16" i="39"/>
  <c r="AO15" i="39"/>
  <c r="AO7" i="39"/>
  <c r="AO13" i="39"/>
  <c r="AO9" i="39"/>
  <c r="AB19" i="49"/>
  <c r="D43" i="52" s="1"/>
  <c r="AB19" i="48"/>
  <c r="D42" i="52" s="1"/>
  <c r="AB19" i="47"/>
  <c r="D41" i="52" s="1"/>
  <c r="N41" i="52" s="1"/>
  <c r="AA19" i="50"/>
  <c r="D35" i="52" s="1"/>
  <c r="N35" i="52" s="1"/>
  <c r="AA19" i="49"/>
  <c r="D34" i="52" s="1"/>
  <c r="AA19" i="48"/>
  <c r="D33" i="52" s="1"/>
  <c r="N33" i="52" s="1"/>
  <c r="AA19" i="47"/>
  <c r="N43" i="52" l="1"/>
  <c r="N42" i="52"/>
  <c r="D47" i="52"/>
  <c r="D119" i="52" s="1"/>
  <c r="D45" i="52"/>
  <c r="J45" i="52" s="1"/>
  <c r="D46" i="52"/>
  <c r="N34" i="52"/>
  <c r="D38" i="52"/>
  <c r="D32" i="52"/>
  <c r="B14" i="39"/>
  <c r="J47" i="52" l="1"/>
  <c r="N32" i="52"/>
  <c r="D37" i="52"/>
  <c r="D36" i="52"/>
  <c r="AI14" i="39"/>
  <c r="AF14" i="39"/>
  <c r="AH14" i="39"/>
  <c r="AG14" i="39"/>
  <c r="AC14" i="39"/>
  <c r="AB14" i="39"/>
  <c r="AL14" i="39"/>
  <c r="AA14" i="39"/>
  <c r="AD14" i="39"/>
  <c r="AK14" i="39"/>
  <c r="AE14" i="39"/>
  <c r="AJ14" i="39"/>
  <c r="B14" i="44"/>
  <c r="B12" i="39"/>
  <c r="B13" i="44"/>
  <c r="B7" i="44"/>
  <c r="B11" i="44"/>
  <c r="B12" i="44"/>
  <c r="B9" i="44"/>
  <c r="AO14" i="39" l="1"/>
  <c r="J36" i="52"/>
  <c r="J38" i="52"/>
  <c r="AA12" i="39"/>
  <c r="AJ12" i="39"/>
  <c r="AJ19" i="39" s="1"/>
  <c r="AI12" i="39"/>
  <c r="AI19" i="39" s="1"/>
  <c r="AE12" i="39"/>
  <c r="AE19" i="39" s="1"/>
  <c r="AH12" i="39"/>
  <c r="AH19" i="39" s="1"/>
  <c r="AK12" i="39"/>
  <c r="AK19" i="39" s="1"/>
  <c r="AG12" i="39"/>
  <c r="AG19" i="39" s="1"/>
  <c r="AF12" i="39"/>
  <c r="AF19" i="39" s="1"/>
  <c r="AD12" i="39"/>
  <c r="AD19" i="39" s="1"/>
  <c r="AL12" i="39"/>
  <c r="AL19" i="39" s="1"/>
  <c r="AC12" i="39"/>
  <c r="AC19" i="39" s="1"/>
  <c r="AB12" i="39"/>
  <c r="AB19" i="39" s="1"/>
  <c r="AJ11" i="44"/>
  <c r="AI11" i="44"/>
  <c r="AL11" i="44"/>
  <c r="AK11" i="44"/>
  <c r="AF11" i="44"/>
  <c r="AE11" i="44"/>
  <c r="AD11" i="44"/>
  <c r="AC11" i="44"/>
  <c r="AB11" i="44"/>
  <c r="AA11" i="44"/>
  <c r="AH11" i="44"/>
  <c r="AG11" i="44"/>
  <c r="AE13" i="44"/>
  <c r="AD13" i="44"/>
  <c r="AC13" i="44"/>
  <c r="AB13" i="44"/>
  <c r="AI13" i="44"/>
  <c r="AH13" i="44"/>
  <c r="AL13" i="44"/>
  <c r="AK13" i="44"/>
  <c r="AJ13" i="44"/>
  <c r="AG13" i="44"/>
  <c r="AA13" i="44"/>
  <c r="AF13" i="44"/>
  <c r="AE9" i="44"/>
  <c r="AD9" i="44"/>
  <c r="AC9" i="44"/>
  <c r="AB9" i="44"/>
  <c r="AH9" i="44"/>
  <c r="AL9" i="44"/>
  <c r="AK9" i="44"/>
  <c r="AI9" i="44"/>
  <c r="AJ9" i="44"/>
  <c r="AG9" i="44"/>
  <c r="AA9" i="44"/>
  <c r="AF9" i="44"/>
  <c r="AA12" i="44"/>
  <c r="AL12" i="44"/>
  <c r="AJ12" i="44"/>
  <c r="AI12" i="44"/>
  <c r="AE12" i="44"/>
  <c r="AH12" i="44"/>
  <c r="AG12" i="44"/>
  <c r="AD12" i="44"/>
  <c r="AK12" i="44"/>
  <c r="AF12" i="44"/>
  <c r="AC12" i="44"/>
  <c r="AB12" i="44"/>
  <c r="AI7" i="44"/>
  <c r="AL7" i="44"/>
  <c r="AK7" i="44"/>
  <c r="AG7" i="44"/>
  <c r="AF7" i="44"/>
  <c r="AE7" i="44"/>
  <c r="AD7" i="44"/>
  <c r="AA7" i="44"/>
  <c r="AH7" i="44"/>
  <c r="AC7" i="44"/>
  <c r="AB7" i="44"/>
  <c r="AJ7" i="44"/>
  <c r="AI14" i="44"/>
  <c r="AH14" i="44"/>
  <c r="AG14" i="44"/>
  <c r="AF14" i="44"/>
  <c r="AB14" i="44"/>
  <c r="AC14" i="44"/>
  <c r="AA14" i="44"/>
  <c r="AL14" i="44"/>
  <c r="AK14" i="44"/>
  <c r="AD14" i="44"/>
  <c r="AJ14" i="44"/>
  <c r="AE14" i="44"/>
  <c r="B6" i="44"/>
  <c r="B15" i="44"/>
  <c r="B17" i="44"/>
  <c r="B16" i="44"/>
  <c r="B10" i="44"/>
  <c r="AO11" i="44" l="1"/>
  <c r="AO7" i="44"/>
  <c r="AA19" i="39"/>
  <c r="AO12" i="39"/>
  <c r="AO13" i="44"/>
  <c r="AO14" i="44"/>
  <c r="AO9" i="44"/>
  <c r="AO12" i="44"/>
  <c r="AI10" i="44"/>
  <c r="AH10" i="44"/>
  <c r="AG10" i="44"/>
  <c r="AF10" i="44"/>
  <c r="AC10" i="44"/>
  <c r="AB10" i="44"/>
  <c r="AD10" i="44"/>
  <c r="AA10" i="44"/>
  <c r="AL10" i="44"/>
  <c r="AK10" i="44"/>
  <c r="AJ10" i="44"/>
  <c r="AE10" i="44"/>
  <c r="AE17" i="44"/>
  <c r="AD17" i="44"/>
  <c r="AC17" i="44"/>
  <c r="AB17" i="44"/>
  <c r="AI17" i="44"/>
  <c r="AL17" i="44"/>
  <c r="AH17" i="44"/>
  <c r="AK17" i="44"/>
  <c r="AJ17" i="44"/>
  <c r="AG17" i="44"/>
  <c r="AA17" i="44"/>
  <c r="AF17" i="44"/>
  <c r="AI6" i="44"/>
  <c r="AF6" i="44"/>
  <c r="AD6" i="44"/>
  <c r="AH6" i="44"/>
  <c r="AG6" i="44"/>
  <c r="AC6" i="44"/>
  <c r="AB6" i="44"/>
  <c r="AA6" i="44"/>
  <c r="AL6" i="44"/>
  <c r="AK6" i="44"/>
  <c r="AJ6" i="44"/>
  <c r="AE6" i="44"/>
  <c r="AA16" i="44"/>
  <c r="AJ16" i="44"/>
  <c r="AL16" i="44"/>
  <c r="AI16" i="44"/>
  <c r="AK16" i="44"/>
  <c r="AH16" i="44"/>
  <c r="AG16" i="44"/>
  <c r="AD16" i="44"/>
  <c r="AF16" i="44"/>
  <c r="AE16" i="44"/>
  <c r="AC16" i="44"/>
  <c r="AB16" i="44"/>
  <c r="AI15" i="44"/>
  <c r="AG15" i="44"/>
  <c r="AL15" i="44"/>
  <c r="AK15" i="44"/>
  <c r="AJ15" i="44"/>
  <c r="AF15" i="44"/>
  <c r="AE15" i="44"/>
  <c r="AD15" i="44"/>
  <c r="AA15" i="44"/>
  <c r="AH15" i="44"/>
  <c r="AC15" i="44"/>
  <c r="AB15" i="44"/>
  <c r="B8" i="44"/>
  <c r="AO10" i="44" l="1"/>
  <c r="AO17" i="44"/>
  <c r="AO16" i="44"/>
  <c r="AO6" i="44"/>
  <c r="AO15" i="44"/>
  <c r="AA8" i="44"/>
  <c r="AK8" i="44"/>
  <c r="AK19" i="44" s="1"/>
  <c r="AJ8" i="44"/>
  <c r="AJ19" i="44" s="1"/>
  <c r="AD8" i="44"/>
  <c r="AD19" i="44" s="1"/>
  <c r="AI8" i="44"/>
  <c r="AI19" i="44" s="1"/>
  <c r="AL8" i="44"/>
  <c r="AL19" i="44" s="1"/>
  <c r="AH8" i="44"/>
  <c r="AH19" i="44" s="1"/>
  <c r="AG8" i="44"/>
  <c r="AG19" i="44" s="1"/>
  <c r="AF8" i="44"/>
  <c r="AF19" i="44" s="1"/>
  <c r="AE8" i="44"/>
  <c r="AE19" i="44" s="1"/>
  <c r="AC8" i="44"/>
  <c r="AC19" i="44" s="1"/>
  <c r="AB8" i="44"/>
  <c r="AB19" i="44" s="1"/>
  <c r="F18" i="3"/>
  <c r="D18" i="61" s="1"/>
  <c r="J18" i="61" s="1"/>
  <c r="P18" i="61" s="1"/>
  <c r="F19" i="3"/>
  <c r="D19" i="61" s="1"/>
  <c r="J19" i="61" s="1"/>
  <c r="P19" i="61" s="1"/>
  <c r="F20" i="3"/>
  <c r="D20" i="61" s="1"/>
  <c r="J20" i="61" s="1"/>
  <c r="P20" i="61" s="1"/>
  <c r="F21" i="3"/>
  <c r="D21" i="61" s="1"/>
  <c r="J21" i="61" s="1"/>
  <c r="P21" i="61" s="1"/>
  <c r="F22" i="3"/>
  <c r="D22" i="61" s="1"/>
  <c r="J22" i="61" s="1"/>
  <c r="P22" i="61" s="1"/>
  <c r="F23" i="3"/>
  <c r="D23" i="61" s="1"/>
  <c r="J23" i="61" s="1"/>
  <c r="P23" i="61" s="1"/>
  <c r="F24" i="3"/>
  <c r="D24" i="61" s="1"/>
  <c r="J24" i="61" s="1"/>
  <c r="P24" i="61" s="1"/>
  <c r="F25" i="3"/>
  <c r="D25" i="61" s="1"/>
  <c r="J25" i="61" s="1"/>
  <c r="P25" i="61" s="1"/>
  <c r="F26" i="3"/>
  <c r="D26" i="61" s="1"/>
  <c r="J26" i="61" s="1"/>
  <c r="P26" i="61" s="1"/>
  <c r="F27" i="3"/>
  <c r="D27" i="61" s="1"/>
  <c r="J27" i="61" s="1"/>
  <c r="P27" i="61" s="1"/>
  <c r="F28" i="3"/>
  <c r="D28" i="61" s="1"/>
  <c r="J28" i="61" s="1"/>
  <c r="P28" i="61" s="1"/>
  <c r="F17" i="3"/>
  <c r="D17" i="61" s="1"/>
  <c r="J17" i="61" l="1"/>
  <c r="P17" i="61" s="1"/>
  <c r="Q17" i="61" s="1"/>
  <c r="R17" i="61" s="1"/>
  <c r="N18" i="61" s="1"/>
  <c r="E17" i="61"/>
  <c r="F17" i="61" s="1"/>
  <c r="B18" i="61" s="1"/>
  <c r="E18" i="61" s="1"/>
  <c r="F18" i="61" s="1"/>
  <c r="B19" i="61" s="1"/>
  <c r="N20" i="3"/>
  <c r="V20" i="3" s="1"/>
  <c r="F66" i="3"/>
  <c r="N19" i="3"/>
  <c r="V19" i="3" s="1"/>
  <c r="F65" i="3"/>
  <c r="N18" i="3"/>
  <c r="V18" i="3" s="1"/>
  <c r="F64" i="3"/>
  <c r="N17" i="3"/>
  <c r="V17" i="3" s="1"/>
  <c r="F63" i="3"/>
  <c r="N28" i="3"/>
  <c r="V28" i="3" s="1"/>
  <c r="F74" i="3"/>
  <c r="N27" i="3"/>
  <c r="V27" i="3" s="1"/>
  <c r="F73" i="3"/>
  <c r="N26" i="3"/>
  <c r="V26" i="3" s="1"/>
  <c r="F72" i="3"/>
  <c r="N25" i="3"/>
  <c r="V25" i="3" s="1"/>
  <c r="F71" i="3"/>
  <c r="N24" i="3"/>
  <c r="V24" i="3" s="1"/>
  <c r="F70" i="3"/>
  <c r="N23" i="3"/>
  <c r="V23" i="3" s="1"/>
  <c r="F69" i="3"/>
  <c r="N22" i="3"/>
  <c r="V22" i="3" s="1"/>
  <c r="F68" i="3"/>
  <c r="N21" i="3"/>
  <c r="V21" i="3" s="1"/>
  <c r="F67" i="3"/>
  <c r="F40" i="3"/>
  <c r="D40" i="61" s="1"/>
  <c r="J40" i="61" s="1"/>
  <c r="P40" i="61" s="1"/>
  <c r="F39" i="3"/>
  <c r="D39" i="61" s="1"/>
  <c r="J39" i="61" s="1"/>
  <c r="P39" i="61" s="1"/>
  <c r="F38" i="3"/>
  <c r="D38" i="61" s="1"/>
  <c r="J38" i="61" s="1"/>
  <c r="P38" i="61" s="1"/>
  <c r="F37" i="3"/>
  <c r="D37" i="61" s="1"/>
  <c r="J37" i="61" s="1"/>
  <c r="P37" i="61" s="1"/>
  <c r="W17" i="3"/>
  <c r="F36" i="3"/>
  <c r="D36" i="61" s="1"/>
  <c r="J36" i="61" s="1"/>
  <c r="P36" i="61" s="1"/>
  <c r="F35" i="3"/>
  <c r="D35" i="61" s="1"/>
  <c r="J35" i="61" s="1"/>
  <c r="P35" i="61" s="1"/>
  <c r="F34" i="3"/>
  <c r="D34" i="61" s="1"/>
  <c r="J34" i="61" s="1"/>
  <c r="P34" i="61" s="1"/>
  <c r="F33" i="3"/>
  <c r="D33" i="61" s="1"/>
  <c r="J33" i="61" s="1"/>
  <c r="P33" i="61" s="1"/>
  <c r="F32" i="3"/>
  <c r="D32" i="61" s="1"/>
  <c r="J32" i="61" s="1"/>
  <c r="P32" i="61" s="1"/>
  <c r="F31" i="3"/>
  <c r="D31" i="61" s="1"/>
  <c r="J31" i="61" s="1"/>
  <c r="P31" i="61" s="1"/>
  <c r="F30" i="3"/>
  <c r="D30" i="61" s="1"/>
  <c r="J30" i="61" s="1"/>
  <c r="P30" i="61" s="1"/>
  <c r="F29" i="3"/>
  <c r="D29" i="61" s="1"/>
  <c r="J29" i="61" s="1"/>
  <c r="P29" i="61" s="1"/>
  <c r="AA19" i="44"/>
  <c r="AO8" i="44"/>
  <c r="N74" i="3" l="1"/>
  <c r="V74" i="3" s="1"/>
  <c r="D75" i="61"/>
  <c r="J75" i="61" s="1"/>
  <c r="P75" i="61" s="1"/>
  <c r="N67" i="3"/>
  <c r="V67" i="3" s="1"/>
  <c r="D68" i="61"/>
  <c r="J68" i="61" s="1"/>
  <c r="P68" i="61" s="1"/>
  <c r="N63" i="3"/>
  <c r="V63" i="3" s="1"/>
  <c r="W63" i="3" s="1"/>
  <c r="X63" i="3" s="1"/>
  <c r="R64" i="3" s="1"/>
  <c r="D64" i="61"/>
  <c r="N73" i="3"/>
  <c r="V73" i="3" s="1"/>
  <c r="D74" i="61"/>
  <c r="J74" i="61" s="1"/>
  <c r="P74" i="61" s="1"/>
  <c r="N68" i="3"/>
  <c r="V68" i="3" s="1"/>
  <c r="D69" i="61"/>
  <c r="J69" i="61" s="1"/>
  <c r="P69" i="61" s="1"/>
  <c r="N64" i="3"/>
  <c r="V64" i="3" s="1"/>
  <c r="D65" i="61"/>
  <c r="J65" i="61" s="1"/>
  <c r="P65" i="61" s="1"/>
  <c r="N69" i="3"/>
  <c r="V69" i="3" s="1"/>
  <c r="D70" i="61"/>
  <c r="J70" i="61" s="1"/>
  <c r="P70" i="61" s="1"/>
  <c r="N65" i="3"/>
  <c r="V65" i="3" s="1"/>
  <c r="D66" i="61"/>
  <c r="J66" i="61" s="1"/>
  <c r="P66" i="61" s="1"/>
  <c r="N72" i="3"/>
  <c r="V72" i="3" s="1"/>
  <c r="D73" i="61"/>
  <c r="J73" i="61" s="1"/>
  <c r="P73" i="61" s="1"/>
  <c r="N70" i="3"/>
  <c r="V70" i="3" s="1"/>
  <c r="D71" i="61"/>
  <c r="J71" i="61" s="1"/>
  <c r="P71" i="61" s="1"/>
  <c r="N66" i="3"/>
  <c r="V66" i="3" s="1"/>
  <c r="D67" i="61"/>
  <c r="J67" i="61" s="1"/>
  <c r="P67" i="61" s="1"/>
  <c r="N71" i="3"/>
  <c r="V71" i="3" s="1"/>
  <c r="D72" i="61"/>
  <c r="J72" i="61" s="1"/>
  <c r="P72" i="61" s="1"/>
  <c r="E19" i="61"/>
  <c r="F19" i="61" s="1"/>
  <c r="B20" i="61" s="1"/>
  <c r="Q18" i="61"/>
  <c r="R18" i="61" s="1"/>
  <c r="N19" i="61" s="1"/>
  <c r="Q19" i="61" s="1"/>
  <c r="R19" i="61" s="1"/>
  <c r="N20" i="61" s="1"/>
  <c r="Q20" i="61" s="1"/>
  <c r="R20" i="61" s="1"/>
  <c r="N21" i="61" s="1"/>
  <c r="N35" i="3"/>
  <c r="V35" i="3" s="1"/>
  <c r="F81" i="3"/>
  <c r="N38" i="3"/>
  <c r="V38" i="3" s="1"/>
  <c r="F84" i="3"/>
  <c r="N37" i="3"/>
  <c r="V37" i="3" s="1"/>
  <c r="F83" i="3"/>
  <c r="N40" i="3"/>
  <c r="V40" i="3" s="1"/>
  <c r="F86" i="3"/>
  <c r="N29" i="3"/>
  <c r="V29" i="3" s="1"/>
  <c r="F75" i="3"/>
  <c r="N31" i="3"/>
  <c r="V31" i="3" s="1"/>
  <c r="F77" i="3"/>
  <c r="N32" i="3"/>
  <c r="V32" i="3" s="1"/>
  <c r="F78" i="3"/>
  <c r="N36" i="3"/>
  <c r="V36" i="3" s="1"/>
  <c r="F82" i="3"/>
  <c r="N39" i="3"/>
  <c r="V39" i="3" s="1"/>
  <c r="F85" i="3"/>
  <c r="N33" i="3"/>
  <c r="V33" i="3" s="1"/>
  <c r="F79" i="3"/>
  <c r="N30" i="3"/>
  <c r="V30" i="3" s="1"/>
  <c r="F76" i="3"/>
  <c r="N34" i="3"/>
  <c r="V34" i="3" s="1"/>
  <c r="F80" i="3"/>
  <c r="X17" i="3"/>
  <c r="R18" i="3" s="1"/>
  <c r="W18" i="3" s="1"/>
  <c r="X18" i="3" s="1"/>
  <c r="R19" i="3" s="1"/>
  <c r="W19" i="3" s="1"/>
  <c r="X19" i="3" s="1"/>
  <c r="R20" i="3" s="1"/>
  <c r="W20" i="3" s="1"/>
  <c r="X20" i="3" s="1"/>
  <c r="R21" i="3" s="1"/>
  <c r="W21" i="3" s="1"/>
  <c r="X21" i="3" s="1"/>
  <c r="R22" i="3" s="1"/>
  <c r="W22" i="3" s="1"/>
  <c r="X22" i="3" s="1"/>
  <c r="R23" i="3" s="1"/>
  <c r="W23" i="3" s="1"/>
  <c r="X23" i="3" s="1"/>
  <c r="R24" i="3" s="1"/>
  <c r="W24" i="3" s="1"/>
  <c r="X24" i="3" s="1"/>
  <c r="R25" i="3" s="1"/>
  <c r="W25" i="3" s="1"/>
  <c r="X25" i="3" s="1"/>
  <c r="R26" i="3" s="1"/>
  <c r="Q21" i="61" l="1"/>
  <c r="R21" i="61"/>
  <c r="N22" i="61" s="1"/>
  <c r="Q22" i="61" s="1"/>
  <c r="R22" i="61" s="1"/>
  <c r="N23" i="61" s="1"/>
  <c r="Q23" i="61" s="1"/>
  <c r="R23" i="61" s="1"/>
  <c r="N24" i="61" s="1"/>
  <c r="N81" i="3"/>
  <c r="V81" i="3" s="1"/>
  <c r="D82" i="61"/>
  <c r="J82" i="61" s="1"/>
  <c r="P82" i="61" s="1"/>
  <c r="N79" i="3"/>
  <c r="V79" i="3" s="1"/>
  <c r="D80" i="61"/>
  <c r="J80" i="61" s="1"/>
  <c r="P80" i="61" s="1"/>
  <c r="N82" i="3"/>
  <c r="V82" i="3" s="1"/>
  <c r="D83" i="61"/>
  <c r="J83" i="61" s="1"/>
  <c r="P83" i="61" s="1"/>
  <c r="N77" i="3"/>
  <c r="V77" i="3" s="1"/>
  <c r="D78" i="61"/>
  <c r="J78" i="61" s="1"/>
  <c r="P78" i="61" s="1"/>
  <c r="N75" i="3"/>
  <c r="V75" i="3" s="1"/>
  <c r="D76" i="61"/>
  <c r="J76" i="61" s="1"/>
  <c r="P76" i="61" s="1"/>
  <c r="J64" i="61"/>
  <c r="P64" i="61" s="1"/>
  <c r="Q64" i="61" s="1"/>
  <c r="R64" i="61" s="1"/>
  <c r="N65" i="61" s="1"/>
  <c r="E64" i="61"/>
  <c r="F64" i="61" s="1"/>
  <c r="B65" i="61" s="1"/>
  <c r="E65" i="61" s="1"/>
  <c r="F65" i="61" s="1"/>
  <c r="B66" i="61" s="1"/>
  <c r="E66" i="61" s="1"/>
  <c r="F66" i="61" s="1"/>
  <c r="B67" i="61" s="1"/>
  <c r="E67" i="61" s="1"/>
  <c r="F67" i="61" s="1"/>
  <c r="B68" i="61" s="1"/>
  <c r="E68" i="61" s="1"/>
  <c r="F68" i="61" s="1"/>
  <c r="B69" i="61" s="1"/>
  <c r="E69" i="61" s="1"/>
  <c r="F69" i="61" s="1"/>
  <c r="B70" i="61" s="1"/>
  <c r="E70" i="61" s="1"/>
  <c r="F70" i="61" s="1"/>
  <c r="B71" i="61" s="1"/>
  <c r="E71" i="61" s="1"/>
  <c r="F71" i="61" s="1"/>
  <c r="B72" i="61" s="1"/>
  <c r="E72" i="61" s="1"/>
  <c r="F72" i="61" s="1"/>
  <c r="B73" i="61" s="1"/>
  <c r="E73" i="61" s="1"/>
  <c r="F73" i="61" s="1"/>
  <c r="B74" i="61" s="1"/>
  <c r="E74" i="61" s="1"/>
  <c r="F74" i="61" s="1"/>
  <c r="B75" i="61" s="1"/>
  <c r="E75" i="61" s="1"/>
  <c r="F75" i="61" s="1"/>
  <c r="W64" i="3"/>
  <c r="X64" i="3" s="1"/>
  <c r="R65" i="3" s="1"/>
  <c r="W65" i="3" s="1"/>
  <c r="X65" i="3" s="1"/>
  <c r="R66" i="3" s="1"/>
  <c r="N84" i="3"/>
  <c r="V84" i="3" s="1"/>
  <c r="D85" i="61"/>
  <c r="J85" i="61" s="1"/>
  <c r="P85" i="61" s="1"/>
  <c r="N78" i="3"/>
  <c r="V78" i="3" s="1"/>
  <c r="D79" i="61"/>
  <c r="J79" i="61" s="1"/>
  <c r="P79" i="61" s="1"/>
  <c r="N80" i="3"/>
  <c r="V80" i="3" s="1"/>
  <c r="D81" i="61"/>
  <c r="J81" i="61" s="1"/>
  <c r="P81" i="61" s="1"/>
  <c r="N86" i="3"/>
  <c r="V86" i="3" s="1"/>
  <c r="D87" i="61"/>
  <c r="J87" i="61" s="1"/>
  <c r="P87" i="61" s="1"/>
  <c r="N85" i="3"/>
  <c r="V85" i="3" s="1"/>
  <c r="D86" i="61"/>
  <c r="J86" i="61" s="1"/>
  <c r="P86" i="61" s="1"/>
  <c r="N76" i="3"/>
  <c r="V76" i="3" s="1"/>
  <c r="D77" i="61"/>
  <c r="J77" i="61" s="1"/>
  <c r="P77" i="61" s="1"/>
  <c r="N83" i="3"/>
  <c r="V83" i="3" s="1"/>
  <c r="D84" i="61"/>
  <c r="J84" i="61" s="1"/>
  <c r="P84" i="61" s="1"/>
  <c r="E20" i="61"/>
  <c r="F20" i="61" s="1"/>
  <c r="B21" i="61" s="1"/>
  <c r="W26" i="3"/>
  <c r="X26" i="3" s="1"/>
  <c r="R27" i="3" s="1"/>
  <c r="W27" i="3" s="1"/>
  <c r="X27" i="3" s="1"/>
  <c r="R28" i="3" s="1"/>
  <c r="W28" i="3" s="1"/>
  <c r="X28" i="3" s="1"/>
  <c r="R29" i="3" l="1"/>
  <c r="X44" i="3"/>
  <c r="E21" i="61"/>
  <c r="F21" i="61"/>
  <c r="B22" i="61" s="1"/>
  <c r="E22" i="61" s="1"/>
  <c r="F22" i="61" s="1"/>
  <c r="B23" i="61" s="1"/>
  <c r="E23" i="61" s="1"/>
  <c r="F23" i="61" s="1"/>
  <c r="B24" i="61" s="1"/>
  <c r="W66" i="3"/>
  <c r="X66" i="3"/>
  <c r="R67" i="3" s="1"/>
  <c r="W67" i="3" s="1"/>
  <c r="X67" i="3" s="1"/>
  <c r="R68" i="3" s="1"/>
  <c r="W68" i="3" s="1"/>
  <c r="X68" i="3" s="1"/>
  <c r="R69" i="3" s="1"/>
  <c r="Q65" i="61"/>
  <c r="R65" i="61" s="1"/>
  <c r="N66" i="61" s="1"/>
  <c r="Q66" i="61" s="1"/>
  <c r="R66" i="61" s="1"/>
  <c r="N67" i="61" s="1"/>
  <c r="Q67" i="61" s="1"/>
  <c r="R67" i="61" s="1"/>
  <c r="N68" i="61" s="1"/>
  <c r="Q24" i="61"/>
  <c r="R24" i="61" s="1"/>
  <c r="N25" i="61" s="1"/>
  <c r="Q25" i="61" s="1"/>
  <c r="R25" i="61" s="1"/>
  <c r="N26" i="61" s="1"/>
  <c r="Q26" i="61" s="1"/>
  <c r="R26" i="61" s="1"/>
  <c r="N27" i="61" s="1"/>
  <c r="F91" i="61"/>
  <c r="B76" i="61"/>
  <c r="W44" i="3"/>
  <c r="W29" i="3"/>
  <c r="X29" i="3" s="1"/>
  <c r="R30" i="3" s="1"/>
  <c r="W30" i="3" s="1"/>
  <c r="X30" i="3" s="1"/>
  <c r="R31" i="3" s="1"/>
  <c r="A1" i="41"/>
  <c r="A1" i="40"/>
  <c r="A1" i="39"/>
  <c r="A1" i="44"/>
  <c r="A1" i="23"/>
  <c r="A1" i="17"/>
  <c r="A1" i="43"/>
  <c r="A1" i="3"/>
  <c r="A6" i="45"/>
  <c r="A7" i="45" s="1"/>
  <c r="A8" i="45" s="1"/>
  <c r="A9" i="45" s="1"/>
  <c r="A10" i="45" s="1"/>
  <c r="A11" i="45" s="1"/>
  <c r="A12" i="45" s="1"/>
  <c r="A13" i="45" s="1"/>
  <c r="A14" i="45" s="1"/>
  <c r="A15" i="45" s="1"/>
  <c r="A16" i="45" s="1"/>
  <c r="Q27" i="61" l="1"/>
  <c r="R27" i="61"/>
  <c r="N28" i="61" s="1"/>
  <c r="Q28" i="61" s="1"/>
  <c r="R28" i="61" s="1"/>
  <c r="Q68" i="61"/>
  <c r="R68" i="61"/>
  <c r="N69" i="61" s="1"/>
  <c r="Q69" i="61" s="1"/>
  <c r="R69" i="61" s="1"/>
  <c r="N70" i="61" s="1"/>
  <c r="Q70" i="61" s="1"/>
  <c r="R70" i="61" s="1"/>
  <c r="N71" i="61" s="1"/>
  <c r="Q71" i="61" s="1"/>
  <c r="R71" i="61" s="1"/>
  <c r="N72" i="61" s="1"/>
  <c r="Q72" i="61" s="1"/>
  <c r="R72" i="61" s="1"/>
  <c r="N73" i="61" s="1"/>
  <c r="Q73" i="61" s="1"/>
  <c r="R73" i="61" s="1"/>
  <c r="N74" i="61" s="1"/>
  <c r="Q74" i="61" s="1"/>
  <c r="R74" i="61" s="1"/>
  <c r="N75" i="61" s="1"/>
  <c r="Q75" i="61" s="1"/>
  <c r="R75" i="61" s="1"/>
  <c r="E24" i="61"/>
  <c r="F24" i="61" s="1"/>
  <c r="B25" i="61" s="1"/>
  <c r="W69" i="3"/>
  <c r="X69" i="3"/>
  <c r="R70" i="3" s="1"/>
  <c r="W70" i="3" s="1"/>
  <c r="X70" i="3" s="1"/>
  <c r="R71" i="3" s="1"/>
  <c r="W71" i="3" s="1"/>
  <c r="X71" i="3" s="1"/>
  <c r="R72" i="3" s="1"/>
  <c r="W31" i="3"/>
  <c r="X31" i="3" s="1"/>
  <c r="R32" i="3" s="1"/>
  <c r="T88" i="3"/>
  <c r="T93" i="3" s="1"/>
  <c r="C38" i="46"/>
  <c r="D38" i="46"/>
  <c r="B38" i="46"/>
  <c r="D22" i="46"/>
  <c r="C22" i="46"/>
  <c r="B22" i="46"/>
  <c r="C10" i="46"/>
  <c r="D10" i="46"/>
  <c r="B10" i="46"/>
  <c r="E25" i="61" l="1"/>
  <c r="F25" i="61"/>
  <c r="B26" i="61" s="1"/>
  <c r="E26" i="61" s="1"/>
  <c r="F26" i="61" s="1"/>
  <c r="B27" i="61" s="1"/>
  <c r="E27" i="61" s="1"/>
  <c r="F27" i="61" s="1"/>
  <c r="B28" i="61" s="1"/>
  <c r="E28" i="61" s="1"/>
  <c r="F28" i="61" s="1"/>
  <c r="N29" i="61"/>
  <c r="Q29" i="61" s="1"/>
  <c r="R29" i="61" s="1"/>
  <c r="N30" i="61" s="1"/>
  <c r="R44" i="61"/>
  <c r="W72" i="3"/>
  <c r="X72" i="3"/>
  <c r="R73" i="3" s="1"/>
  <c r="N76" i="61"/>
  <c r="Q76" i="61" s="1"/>
  <c r="R76" i="61" s="1"/>
  <c r="N77" i="61" s="1"/>
  <c r="Q77" i="61" s="1"/>
  <c r="R77" i="61" s="1"/>
  <c r="N78" i="61" s="1"/>
  <c r="Q78" i="61" s="1"/>
  <c r="R78" i="61" s="1"/>
  <c r="N79" i="61" s="1"/>
  <c r="Q79" i="61" s="1"/>
  <c r="R79" i="61" s="1"/>
  <c r="N80" i="61" s="1"/>
  <c r="Q80" i="61" s="1"/>
  <c r="R80" i="61" s="1"/>
  <c r="N81" i="61" s="1"/>
  <c r="Q81" i="61" s="1"/>
  <c r="R81" i="61" s="1"/>
  <c r="N82" i="61" s="1"/>
  <c r="Q82" i="61" s="1"/>
  <c r="R82" i="61" s="1"/>
  <c r="N83" i="61" s="1"/>
  <c r="Q83" i="61" s="1"/>
  <c r="R83" i="61" s="1"/>
  <c r="N84" i="61" s="1"/>
  <c r="Q84" i="61" s="1"/>
  <c r="R84" i="61" s="1"/>
  <c r="N85" i="61" s="1"/>
  <c r="Q85" i="61" s="1"/>
  <c r="R85" i="61" s="1"/>
  <c r="N86" i="61" s="1"/>
  <c r="Q86" i="61" s="1"/>
  <c r="R86" i="61" s="1"/>
  <c r="N87" i="61" s="1"/>
  <c r="Q87" i="61" s="1"/>
  <c r="R87" i="61" s="1"/>
  <c r="R92" i="61" s="1"/>
  <c r="R91" i="61"/>
  <c r="R97" i="61" s="1"/>
  <c r="B40" i="58" a="1"/>
  <c r="B40" i="60" a="1"/>
  <c r="W32" i="3"/>
  <c r="E38" i="41"/>
  <c r="F38" i="41"/>
  <c r="W73" i="3" l="1"/>
  <c r="X73" i="3"/>
  <c r="R74" i="3" s="1"/>
  <c r="W74" i="3" s="1"/>
  <c r="X74" i="3" s="1"/>
  <c r="Q30" i="61"/>
  <c r="R30" i="61" s="1"/>
  <c r="N31" i="61" s="1"/>
  <c r="Q31" i="61" s="1"/>
  <c r="R31" i="61" s="1"/>
  <c r="N32" i="61" s="1"/>
  <c r="Q32" i="61" s="1"/>
  <c r="R32" i="61" s="1"/>
  <c r="N33" i="61" s="1"/>
  <c r="Q33" i="61" s="1"/>
  <c r="R33" i="61" s="1"/>
  <c r="N34" i="61" s="1"/>
  <c r="Q34" i="61" s="1"/>
  <c r="R34" i="61" s="1"/>
  <c r="N35" i="61" s="1"/>
  <c r="Q35" i="61" s="1"/>
  <c r="R35" i="61" s="1"/>
  <c r="N36" i="61" s="1"/>
  <c r="Q36" i="61" s="1"/>
  <c r="R36" i="61" s="1"/>
  <c r="N37" i="61" s="1"/>
  <c r="Q37" i="61" s="1"/>
  <c r="R37" i="61" s="1"/>
  <c r="N38" i="61" s="1"/>
  <c r="Q38" i="61" s="1"/>
  <c r="R38" i="61" s="1"/>
  <c r="N39" i="61" s="1"/>
  <c r="Q39" i="61" s="1"/>
  <c r="R39" i="61" s="1"/>
  <c r="N40" i="61" s="1"/>
  <c r="F44" i="61"/>
  <c r="F97" i="61" s="1"/>
  <c r="B29" i="61"/>
  <c r="B40" i="60"/>
  <c r="C40" i="60"/>
  <c r="X32" i="3"/>
  <c r="R33" i="3" s="1"/>
  <c r="D41" i="58"/>
  <c r="B41" i="58"/>
  <c r="C40" i="58"/>
  <c r="D40" i="58"/>
  <c r="B40" i="58"/>
  <c r="C41" i="58"/>
  <c r="B40" i="56" a="1"/>
  <c r="B40" i="57" a="1"/>
  <c r="B40" i="41" a="1"/>
  <c r="C40" i="41" s="1"/>
  <c r="B40" i="50" a="1"/>
  <c r="B40" i="17" a="1"/>
  <c r="B40" i="17" s="1"/>
  <c r="G40" i="17" s="1"/>
  <c r="B40" i="49" a="1"/>
  <c r="B40" i="16" a="1"/>
  <c r="C40" i="16" s="1"/>
  <c r="M40" i="16" s="1"/>
  <c r="B40" i="48" a="1"/>
  <c r="B40" i="47" a="1"/>
  <c r="B40" i="44" a="1"/>
  <c r="C40" i="44" s="1"/>
  <c r="B40" i="39" a="1"/>
  <c r="C40" i="39" s="1"/>
  <c r="B40" i="40" a="1"/>
  <c r="C40" i="40" s="1"/>
  <c r="B40" i="23" a="1"/>
  <c r="B40" i="43" a="1"/>
  <c r="B40" i="43" s="1"/>
  <c r="Q40" i="61" l="1"/>
  <c r="R40" i="61"/>
  <c r="R45" i="61" s="1"/>
  <c r="R98" i="61" s="1"/>
  <c r="R75" i="3"/>
  <c r="W75" i="3" s="1"/>
  <c r="X75" i="3" s="1"/>
  <c r="R76" i="3" s="1"/>
  <c r="W76" i="3" s="1"/>
  <c r="X76" i="3" s="1"/>
  <c r="R77" i="3" s="1"/>
  <c r="W77" i="3" s="1"/>
  <c r="X77" i="3" s="1"/>
  <c r="R78" i="3" s="1"/>
  <c r="W78" i="3" s="1"/>
  <c r="X78" i="3" s="1"/>
  <c r="R79" i="3" s="1"/>
  <c r="W79" i="3" s="1"/>
  <c r="X79" i="3" s="1"/>
  <c r="R80" i="3" s="1"/>
  <c r="W80" i="3" s="1"/>
  <c r="X80" i="3" s="1"/>
  <c r="R81" i="3" s="1"/>
  <c r="W81" i="3" s="1"/>
  <c r="X81" i="3" s="1"/>
  <c r="R82" i="3" s="1"/>
  <c r="W82" i="3" s="1"/>
  <c r="X82" i="3" s="1"/>
  <c r="R83" i="3" s="1"/>
  <c r="W83" i="3" s="1"/>
  <c r="X83" i="3" s="1"/>
  <c r="R84" i="3" s="1"/>
  <c r="W84" i="3" s="1"/>
  <c r="X84" i="3" s="1"/>
  <c r="R85" i="3" s="1"/>
  <c r="W85" i="3" s="1"/>
  <c r="X85" i="3" s="1"/>
  <c r="R86" i="3" s="1"/>
  <c r="W86" i="3" s="1"/>
  <c r="X86" i="3" s="1"/>
  <c r="X90" i="3"/>
  <c r="X95" i="3" s="1"/>
  <c r="G37" i="58"/>
  <c r="K21" i="58" s="1"/>
  <c r="C40" i="56"/>
  <c r="B40" i="56"/>
  <c r="B40" i="57"/>
  <c r="C40" i="57"/>
  <c r="G38" i="58"/>
  <c r="H21" i="58" s="1"/>
  <c r="W33" i="3"/>
  <c r="D41" i="41"/>
  <c r="B40" i="41"/>
  <c r="C41" i="41"/>
  <c r="B41" i="41"/>
  <c r="D40" i="41"/>
  <c r="B40" i="50"/>
  <c r="C40" i="50"/>
  <c r="C41" i="50"/>
  <c r="D40" i="50"/>
  <c r="B41" i="50"/>
  <c r="D41" i="50"/>
  <c r="L40" i="17"/>
  <c r="C40" i="17"/>
  <c r="E37" i="17" s="1"/>
  <c r="B40" i="49"/>
  <c r="C40" i="49"/>
  <c r="H40" i="16"/>
  <c r="B40" i="16"/>
  <c r="G40" i="16" s="1"/>
  <c r="C40" i="47"/>
  <c r="B40" i="47"/>
  <c r="B40" i="48"/>
  <c r="C40" i="48"/>
  <c r="B40" i="40"/>
  <c r="B40" i="39"/>
  <c r="B40" i="44"/>
  <c r="C40" i="43"/>
  <c r="M40" i="43" s="1"/>
  <c r="D41" i="23"/>
  <c r="C41" i="23"/>
  <c r="B40" i="23"/>
  <c r="C40" i="23"/>
  <c r="B41" i="23"/>
  <c r="D40" i="23"/>
  <c r="L40" i="43"/>
  <c r="G40" i="43"/>
  <c r="E37" i="40"/>
  <c r="D38" i="40"/>
  <c r="D37" i="40"/>
  <c r="C38" i="40"/>
  <c r="C37" i="40"/>
  <c r="B38" i="40"/>
  <c r="B37" i="40"/>
  <c r="E38" i="39"/>
  <c r="E38" i="44"/>
  <c r="R38" i="23"/>
  <c r="K38" i="23"/>
  <c r="Q38" i="23" s="1"/>
  <c r="E38" i="23"/>
  <c r="Q37" i="23"/>
  <c r="O38" i="17"/>
  <c r="I38" i="17"/>
  <c r="N38" i="17" s="1"/>
  <c r="D38" i="17"/>
  <c r="N37" i="17"/>
  <c r="O38" i="16"/>
  <c r="I38" i="16"/>
  <c r="N38" i="16" s="1"/>
  <c r="D38" i="16"/>
  <c r="B38" i="16"/>
  <c r="N37" i="16"/>
  <c r="J21" i="58" l="1"/>
  <c r="I21" i="58"/>
  <c r="X88" i="3"/>
  <c r="D21" i="8" s="1"/>
  <c r="X91" i="3"/>
  <c r="L21" i="58"/>
  <c r="G37" i="41"/>
  <c r="U21" i="41" s="1"/>
  <c r="L40" i="16"/>
  <c r="P38" i="16" s="1"/>
  <c r="E37" i="16"/>
  <c r="G38" i="41"/>
  <c r="AL21" i="41" s="1"/>
  <c r="AL22" i="41" s="1"/>
  <c r="X33" i="3"/>
  <c r="R34" i="3" s="1"/>
  <c r="N21" i="58"/>
  <c r="F21" i="58"/>
  <c r="D21" i="58"/>
  <c r="M21" i="58"/>
  <c r="G21" i="58"/>
  <c r="E21" i="58"/>
  <c r="C21" i="58"/>
  <c r="D37" i="60"/>
  <c r="F37" i="60" s="1"/>
  <c r="D37" i="49"/>
  <c r="F37" i="49" s="1"/>
  <c r="E38" i="60"/>
  <c r="E38" i="49"/>
  <c r="F38" i="49" s="1"/>
  <c r="E38" i="40"/>
  <c r="D38" i="60"/>
  <c r="F38" i="60" s="1"/>
  <c r="G21" i="60" s="1"/>
  <c r="D38" i="49"/>
  <c r="E38" i="16"/>
  <c r="C21" i="16" s="1"/>
  <c r="E37" i="43"/>
  <c r="H40" i="17"/>
  <c r="J38" i="17" s="1"/>
  <c r="E38" i="17"/>
  <c r="G21" i="17" s="1"/>
  <c r="M40" i="17"/>
  <c r="P38" i="17" s="1"/>
  <c r="G38" i="50"/>
  <c r="G37" i="50"/>
  <c r="F38" i="40"/>
  <c r="H40" i="43"/>
  <c r="J37" i="43" s="1"/>
  <c r="K21" i="43" s="1"/>
  <c r="F37" i="40"/>
  <c r="F37" i="23"/>
  <c r="N40" i="23"/>
  <c r="H40" i="23"/>
  <c r="N41" i="23"/>
  <c r="H41" i="23"/>
  <c r="F38" i="23"/>
  <c r="C21" i="23" s="1"/>
  <c r="O41" i="23"/>
  <c r="I41" i="23"/>
  <c r="P40" i="23"/>
  <c r="J40" i="23"/>
  <c r="O40" i="23"/>
  <c r="I40" i="23"/>
  <c r="J41" i="23"/>
  <c r="P41" i="23"/>
  <c r="J38" i="16"/>
  <c r="J37" i="16"/>
  <c r="I21" i="16" s="1"/>
  <c r="AJ21" i="41" l="1"/>
  <c r="AJ22" i="41" s="1"/>
  <c r="AG21" i="41"/>
  <c r="AG22" i="41" s="1"/>
  <c r="AH21" i="41"/>
  <c r="AH22" i="41" s="1"/>
  <c r="P37" i="16"/>
  <c r="AU21" i="16" s="1"/>
  <c r="V21" i="41"/>
  <c r="W21" i="41"/>
  <c r="AF21" i="41"/>
  <c r="AF22" i="41" s="1"/>
  <c r="AI21" i="41"/>
  <c r="AI22" i="41" s="1"/>
  <c r="T21" i="41"/>
  <c r="Z21" i="41"/>
  <c r="Y21" i="41"/>
  <c r="P21" i="41"/>
  <c r="S21" i="41"/>
  <c r="Q21" i="41"/>
  <c r="R21" i="41"/>
  <c r="H21" i="41"/>
  <c r="X21" i="41"/>
  <c r="AB21" i="41"/>
  <c r="AB22" i="41" s="1"/>
  <c r="L21" i="41"/>
  <c r="AC21" i="41"/>
  <c r="AC22" i="41" s="1"/>
  <c r="AA21" i="41"/>
  <c r="AA22" i="41" s="1"/>
  <c r="AD21" i="41"/>
  <c r="AD22" i="41" s="1"/>
  <c r="AE21" i="41"/>
  <c r="AE22" i="41" s="1"/>
  <c r="AK21" i="41"/>
  <c r="AK22" i="41" s="1"/>
  <c r="O21" i="41"/>
  <c r="G21" i="16"/>
  <c r="F21" i="16"/>
  <c r="W34" i="3"/>
  <c r="X34" i="3" s="1"/>
  <c r="R35" i="3" s="1"/>
  <c r="D21" i="16"/>
  <c r="E21" i="16"/>
  <c r="Z21" i="49"/>
  <c r="Z22" i="49" s="1"/>
  <c r="O21" i="49"/>
  <c r="O22" i="49" s="1"/>
  <c r="S21" i="49"/>
  <c r="S22" i="49" s="1"/>
  <c r="P21" i="49"/>
  <c r="P22" i="49" s="1"/>
  <c r="R21" i="49"/>
  <c r="R22" i="49" s="1"/>
  <c r="Q21" i="49"/>
  <c r="Q22" i="49" s="1"/>
  <c r="Y21" i="49"/>
  <c r="Y22" i="49" s="1"/>
  <c r="Z21" i="50"/>
  <c r="Z22" i="50" s="1"/>
  <c r="Q21" i="50"/>
  <c r="Q22" i="50" s="1"/>
  <c r="Y21" i="50"/>
  <c r="Y22" i="50" s="1"/>
  <c r="P21" i="50"/>
  <c r="P22" i="50" s="1"/>
  <c r="S21" i="50"/>
  <c r="S22" i="50" s="1"/>
  <c r="O21" i="50"/>
  <c r="O22" i="50" s="1"/>
  <c r="R21" i="50"/>
  <c r="R22" i="50" s="1"/>
  <c r="U21" i="50"/>
  <c r="U22" i="50" s="1"/>
  <c r="X21" i="50"/>
  <c r="X22" i="50" s="1"/>
  <c r="W21" i="50"/>
  <c r="W22" i="50" s="1"/>
  <c r="V21" i="50"/>
  <c r="V22" i="50" s="1"/>
  <c r="T21" i="50"/>
  <c r="T22" i="50" s="1"/>
  <c r="X21" i="49"/>
  <c r="X22" i="49" s="1"/>
  <c r="W21" i="49"/>
  <c r="W22" i="49" s="1"/>
  <c r="V21" i="49"/>
  <c r="V22" i="49" s="1"/>
  <c r="U21" i="49"/>
  <c r="U22" i="49" s="1"/>
  <c r="T21" i="49"/>
  <c r="T22" i="49" s="1"/>
  <c r="C21" i="49"/>
  <c r="C22" i="49" s="1"/>
  <c r="Z21" i="40"/>
  <c r="AL21" i="40"/>
  <c r="AL22" i="40" s="1"/>
  <c r="AB21" i="40"/>
  <c r="AB22" i="40" s="1"/>
  <c r="AE21" i="40"/>
  <c r="AE22" i="40" s="1"/>
  <c r="AD21" i="40"/>
  <c r="AD22" i="40" s="1"/>
  <c r="AC21" i="40"/>
  <c r="AC22" i="40" s="1"/>
  <c r="AA21" i="40"/>
  <c r="AA22" i="40" s="1"/>
  <c r="AK21" i="40"/>
  <c r="AK22" i="40" s="1"/>
  <c r="AI21" i="40"/>
  <c r="AI22" i="40" s="1"/>
  <c r="AH21" i="40"/>
  <c r="AH22" i="40" s="1"/>
  <c r="AG21" i="40"/>
  <c r="AG22" i="40" s="1"/>
  <c r="AF21" i="40"/>
  <c r="AF22" i="40" s="1"/>
  <c r="AJ21" i="40"/>
  <c r="AJ22" i="40" s="1"/>
  <c r="E21" i="17"/>
  <c r="AB21" i="17"/>
  <c r="AX21" i="17"/>
  <c r="AW21" i="17"/>
  <c r="AQ21" i="17"/>
  <c r="AP21" i="17"/>
  <c r="AM21" i="17"/>
  <c r="AO21" i="17"/>
  <c r="AN21" i="17"/>
  <c r="D21" i="17"/>
  <c r="P37" i="17"/>
  <c r="U21" i="17" s="1"/>
  <c r="J37" i="17"/>
  <c r="K21" i="17" s="1"/>
  <c r="F21" i="60"/>
  <c r="M21" i="60"/>
  <c r="E21" i="60"/>
  <c r="D21" i="60"/>
  <c r="C21" i="60"/>
  <c r="N21" i="60"/>
  <c r="D21" i="49"/>
  <c r="D22" i="49" s="1"/>
  <c r="H21" i="60"/>
  <c r="L21" i="60"/>
  <c r="K21" i="60"/>
  <c r="J21" i="60"/>
  <c r="I21" i="60"/>
  <c r="AV21" i="16"/>
  <c r="AT21" i="16"/>
  <c r="AS21" i="16"/>
  <c r="AR21" i="16"/>
  <c r="AX21" i="16"/>
  <c r="AW21" i="16"/>
  <c r="AQ21" i="16"/>
  <c r="AP21" i="16"/>
  <c r="AO21" i="16"/>
  <c r="AN21" i="16"/>
  <c r="AM21" i="16"/>
  <c r="AE21" i="17"/>
  <c r="F21" i="17"/>
  <c r="G21" i="49"/>
  <c r="G22" i="49" s="1"/>
  <c r="E21" i="49"/>
  <c r="E22" i="49" s="1"/>
  <c r="F21" i="49"/>
  <c r="F22" i="49" s="1"/>
  <c r="N21" i="49"/>
  <c r="N22" i="49" s="1"/>
  <c r="M21" i="49"/>
  <c r="M22" i="49" s="1"/>
  <c r="C21" i="17"/>
  <c r="AD21" i="17"/>
  <c r="AC21" i="17"/>
  <c r="AL21" i="17"/>
  <c r="AA21" i="17"/>
  <c r="AK21" i="17"/>
  <c r="K21" i="50"/>
  <c r="K22" i="50" s="1"/>
  <c r="H21" i="50"/>
  <c r="H22" i="50" s="1"/>
  <c r="L21" i="50"/>
  <c r="L22" i="50" s="1"/>
  <c r="J21" i="50"/>
  <c r="J22" i="50" s="1"/>
  <c r="I21" i="50"/>
  <c r="I22" i="50" s="1"/>
  <c r="C21" i="50"/>
  <c r="C22" i="50" s="1"/>
  <c r="F21" i="50"/>
  <c r="F22" i="50" s="1"/>
  <c r="E21" i="50"/>
  <c r="E22" i="50" s="1"/>
  <c r="N21" i="50"/>
  <c r="N22" i="50" s="1"/>
  <c r="D21" i="50"/>
  <c r="D22" i="50" s="1"/>
  <c r="M21" i="50"/>
  <c r="M22" i="50" s="1"/>
  <c r="G21" i="50"/>
  <c r="G22" i="50" s="1"/>
  <c r="Q21" i="40"/>
  <c r="R21" i="40"/>
  <c r="S21" i="40"/>
  <c r="O21" i="40"/>
  <c r="P21" i="40"/>
  <c r="Y21" i="40"/>
  <c r="K21" i="49"/>
  <c r="K22" i="49" s="1"/>
  <c r="H21" i="49"/>
  <c r="H22" i="49" s="1"/>
  <c r="I21" i="49"/>
  <c r="I22" i="49" s="1"/>
  <c r="L21" i="49"/>
  <c r="L22" i="49" s="1"/>
  <c r="J21" i="49"/>
  <c r="J22" i="49" s="1"/>
  <c r="J21" i="16"/>
  <c r="H21" i="16"/>
  <c r="X21" i="40"/>
  <c r="T21" i="40"/>
  <c r="L21" i="40"/>
  <c r="H21" i="40"/>
  <c r="V21" i="40"/>
  <c r="U21" i="40"/>
  <c r="W21" i="40"/>
  <c r="K21" i="16"/>
  <c r="Y21" i="16"/>
  <c r="AL21" i="16"/>
  <c r="AK21" i="16"/>
  <c r="AE21" i="16"/>
  <c r="AD21" i="16"/>
  <c r="AC21" i="16"/>
  <c r="AA21" i="16"/>
  <c r="AB21" i="16"/>
  <c r="V21" i="16"/>
  <c r="AI21" i="16"/>
  <c r="AH21" i="16"/>
  <c r="AG21" i="16"/>
  <c r="AF21" i="16"/>
  <c r="Q21" i="16"/>
  <c r="L21" i="16"/>
  <c r="J21" i="43"/>
  <c r="Z21" i="16"/>
  <c r="N21" i="16"/>
  <c r="O21" i="16"/>
  <c r="M21" i="16"/>
  <c r="P21" i="16"/>
  <c r="I21" i="43"/>
  <c r="R21" i="16"/>
  <c r="G21" i="23"/>
  <c r="S21" i="16"/>
  <c r="L37" i="23"/>
  <c r="S38" i="23"/>
  <c r="S37" i="23"/>
  <c r="L38" i="23"/>
  <c r="D21" i="23"/>
  <c r="F21" i="23"/>
  <c r="E21" i="23"/>
  <c r="K21" i="40"/>
  <c r="J21" i="40"/>
  <c r="I21" i="40"/>
  <c r="F21" i="40"/>
  <c r="M21" i="40"/>
  <c r="D21" i="40"/>
  <c r="E21" i="40"/>
  <c r="C21" i="40"/>
  <c r="N21" i="40"/>
  <c r="G21" i="40"/>
  <c r="U21" i="16"/>
  <c r="T21" i="16"/>
  <c r="X21" i="16"/>
  <c r="W21" i="16"/>
  <c r="N21" i="41"/>
  <c r="F21" i="41"/>
  <c r="E21" i="41"/>
  <c r="D21" i="41"/>
  <c r="C21" i="41"/>
  <c r="G21" i="41"/>
  <c r="M21" i="41"/>
  <c r="J21" i="41"/>
  <c r="I21" i="41"/>
  <c r="K21" i="41"/>
  <c r="N21" i="17"/>
  <c r="M21" i="17"/>
  <c r="S21" i="17"/>
  <c r="R21" i="17"/>
  <c r="P21" i="17"/>
  <c r="O21" i="17"/>
  <c r="Z21" i="17"/>
  <c r="Y21" i="17"/>
  <c r="Q21" i="17"/>
  <c r="AJ21" i="16" l="1"/>
  <c r="AO22" i="41"/>
  <c r="C80" i="52" s="1"/>
  <c r="L21" i="17"/>
  <c r="W35" i="3"/>
  <c r="X35" i="3" s="1"/>
  <c r="R36" i="3" s="1"/>
  <c r="AF21" i="17"/>
  <c r="AB22" i="50"/>
  <c r="D80" i="52" s="1"/>
  <c r="D116" i="52" s="1"/>
  <c r="AB22" i="49"/>
  <c r="D79" i="52" s="1"/>
  <c r="AO22" i="40"/>
  <c r="C79" i="52" s="1"/>
  <c r="G89" i="45" a="1"/>
  <c r="F89" i="45" a="1"/>
  <c r="AV21" i="23"/>
  <c r="AS21" i="23"/>
  <c r="AR21" i="23"/>
  <c r="AU21" i="23"/>
  <c r="AT21" i="23"/>
  <c r="AW21" i="23"/>
  <c r="AQ21" i="23"/>
  <c r="AP21" i="23"/>
  <c r="AO21" i="23"/>
  <c r="AM21" i="23"/>
  <c r="AN21" i="23"/>
  <c r="AX21" i="23"/>
  <c r="T21" i="17"/>
  <c r="I21" i="17"/>
  <c r="AJ21" i="17"/>
  <c r="X21" i="17"/>
  <c r="W21" i="17"/>
  <c r="AV21" i="17"/>
  <c r="AU21" i="17"/>
  <c r="AT21" i="17"/>
  <c r="AS21" i="17"/>
  <c r="AR21" i="17"/>
  <c r="AI21" i="17"/>
  <c r="AG21" i="17"/>
  <c r="V21" i="17"/>
  <c r="AH21" i="17"/>
  <c r="J21" i="17"/>
  <c r="H21" i="17"/>
  <c r="AA22" i="49"/>
  <c r="AA22" i="50"/>
  <c r="X21" i="23"/>
  <c r="AF21" i="23"/>
  <c r="AJ21" i="23"/>
  <c r="T21" i="23"/>
  <c r="W21" i="23"/>
  <c r="AI21" i="23"/>
  <c r="AG21" i="23"/>
  <c r="AH21" i="23"/>
  <c r="N21" i="23"/>
  <c r="AE21" i="23"/>
  <c r="AD21" i="23"/>
  <c r="AA21" i="23"/>
  <c r="AC21" i="23"/>
  <c r="AB21" i="23"/>
  <c r="AL21" i="23"/>
  <c r="AK21" i="23"/>
  <c r="Q21" i="23"/>
  <c r="O21" i="23"/>
  <c r="S21" i="23"/>
  <c r="Z21" i="23"/>
  <c r="P21" i="23"/>
  <c r="R21" i="23"/>
  <c r="M21" i="23"/>
  <c r="Y21" i="23"/>
  <c r="U21" i="23"/>
  <c r="L21" i="23"/>
  <c r="I21" i="23"/>
  <c r="J21" i="23"/>
  <c r="K21" i="23"/>
  <c r="V21" i="23"/>
  <c r="H21" i="23"/>
  <c r="B38" i="43"/>
  <c r="A18" i="45"/>
  <c r="A19" i="45" s="1"/>
  <c r="A20" i="45" s="1"/>
  <c r="A21" i="45" s="1"/>
  <c r="A22" i="45" s="1"/>
  <c r="A23" i="45" s="1"/>
  <c r="A24" i="45" s="1"/>
  <c r="A25" i="45" s="1"/>
  <c r="A26" i="45" s="1"/>
  <c r="A27" i="45" s="1"/>
  <c r="A28" i="45" s="1"/>
  <c r="W36" i="3" l="1"/>
  <c r="X36" i="3"/>
  <c r="R37" i="3" s="1"/>
  <c r="D83" i="52"/>
  <c r="D118" i="52" s="1"/>
  <c r="D115" i="52"/>
  <c r="C83" i="52"/>
  <c r="G89" i="45"/>
  <c r="G105" i="45"/>
  <c r="G107" i="45"/>
  <c r="G90" i="45"/>
  <c r="G106" i="45"/>
  <c r="G91" i="45"/>
  <c r="G92" i="45"/>
  <c r="G108" i="45"/>
  <c r="G94" i="45"/>
  <c r="G93" i="45"/>
  <c r="G109" i="45"/>
  <c r="G110" i="45"/>
  <c r="G95" i="45"/>
  <c r="G111" i="45"/>
  <c r="G96" i="45"/>
  <c r="G112" i="45"/>
  <c r="G97" i="45"/>
  <c r="G103" i="45"/>
  <c r="G98" i="45"/>
  <c r="G104" i="45"/>
  <c r="G99" i="45"/>
  <c r="G100" i="45"/>
  <c r="G101" i="45"/>
  <c r="G102" i="45"/>
  <c r="F90" i="45"/>
  <c r="F106" i="45"/>
  <c r="F91" i="45"/>
  <c r="F107" i="45"/>
  <c r="F93" i="45"/>
  <c r="F103" i="45"/>
  <c r="F92" i="45"/>
  <c r="F108" i="45"/>
  <c r="F109" i="45"/>
  <c r="F94" i="45"/>
  <c r="F110" i="45"/>
  <c r="F95" i="45"/>
  <c r="F111" i="45"/>
  <c r="F101" i="45"/>
  <c r="F96" i="45"/>
  <c r="F112" i="45"/>
  <c r="F102" i="45"/>
  <c r="F104" i="45"/>
  <c r="F97" i="45"/>
  <c r="F89" i="45"/>
  <c r="F98" i="45"/>
  <c r="F105" i="45"/>
  <c r="F99" i="45"/>
  <c r="F100" i="45"/>
  <c r="O24" i="50"/>
  <c r="D71" i="52"/>
  <c r="D107" i="52" s="1"/>
  <c r="O24" i="49"/>
  <c r="D70" i="52"/>
  <c r="N37" i="43"/>
  <c r="W37" i="3" l="1"/>
  <c r="X37" i="3" s="1"/>
  <c r="R38" i="3" s="1"/>
  <c r="F117" i="45"/>
  <c r="G117" i="45"/>
  <c r="G116" i="45"/>
  <c r="G118" i="45" s="1"/>
  <c r="G119" i="45" s="1"/>
  <c r="F116" i="45"/>
  <c r="D37" i="57"/>
  <c r="D37" i="56"/>
  <c r="D37" i="47"/>
  <c r="D37" i="48"/>
  <c r="D106" i="52"/>
  <c r="D74" i="52"/>
  <c r="D110" i="52" s="1"/>
  <c r="D37" i="44"/>
  <c r="D37" i="39"/>
  <c r="P37" i="43"/>
  <c r="O38" i="43"/>
  <c r="I38" i="43"/>
  <c r="W38" i="3" l="1"/>
  <c r="X38" i="3"/>
  <c r="R39" i="3" s="1"/>
  <c r="F118" i="45"/>
  <c r="F119" i="45" s="1"/>
  <c r="D38" i="47"/>
  <c r="F38" i="47" s="1"/>
  <c r="F37" i="47"/>
  <c r="D38" i="56"/>
  <c r="F38" i="56" s="1"/>
  <c r="F37" i="56"/>
  <c r="D38" i="48"/>
  <c r="F38" i="48" s="1"/>
  <c r="F37" i="48"/>
  <c r="V21" i="43"/>
  <c r="AU21" i="43"/>
  <c r="AT21" i="43"/>
  <c r="AS21" i="43"/>
  <c r="D38" i="57"/>
  <c r="F38" i="57" s="1"/>
  <c r="F37" i="57"/>
  <c r="U21" i="43"/>
  <c r="AG21" i="43"/>
  <c r="AI21" i="43"/>
  <c r="AH21" i="43"/>
  <c r="W21" i="43"/>
  <c r="F37" i="39"/>
  <c r="D38" i="39"/>
  <c r="F38" i="39" s="1"/>
  <c r="J38" i="43"/>
  <c r="L21" i="43" s="1"/>
  <c r="F37" i="44"/>
  <c r="D38" i="44"/>
  <c r="F38" i="44" s="1"/>
  <c r="C30" i="8"/>
  <c r="N38" i="43"/>
  <c r="P38" i="43" s="1"/>
  <c r="K19" i="38"/>
  <c r="I19" i="38"/>
  <c r="J19" i="38"/>
  <c r="W39" i="3" l="1"/>
  <c r="X39" i="3"/>
  <c r="R40" i="3" s="1"/>
  <c r="Q21" i="48"/>
  <c r="Q22" i="48" s="1"/>
  <c r="Z21" i="48"/>
  <c r="Z22" i="48" s="1"/>
  <c r="S21" i="48"/>
  <c r="S22" i="48" s="1"/>
  <c r="R21" i="48"/>
  <c r="R22" i="48" s="1"/>
  <c r="P21" i="48"/>
  <c r="P22" i="48" s="1"/>
  <c r="O21" i="48"/>
  <c r="O22" i="48" s="1"/>
  <c r="Y21" i="48"/>
  <c r="Y22" i="48" s="1"/>
  <c r="T21" i="48"/>
  <c r="T22" i="48" s="1"/>
  <c r="U21" i="48"/>
  <c r="U22" i="48" s="1"/>
  <c r="X21" i="48"/>
  <c r="X22" i="48" s="1"/>
  <c r="V21" i="48"/>
  <c r="V22" i="48" s="1"/>
  <c r="W21" i="48"/>
  <c r="W22" i="48" s="1"/>
  <c r="V21" i="47"/>
  <c r="V22" i="47" s="1"/>
  <c r="T21" i="47"/>
  <c r="T22" i="47" s="1"/>
  <c r="U21" i="47"/>
  <c r="U22" i="47" s="1"/>
  <c r="X21" i="47"/>
  <c r="X22" i="47" s="1"/>
  <c r="W21" i="47"/>
  <c r="W22" i="47" s="1"/>
  <c r="S21" i="47"/>
  <c r="S22" i="47" s="1"/>
  <c r="R21" i="47"/>
  <c r="R22" i="47" s="1"/>
  <c r="Q21" i="47"/>
  <c r="Q22" i="47" s="1"/>
  <c r="P21" i="47"/>
  <c r="P22" i="47" s="1"/>
  <c r="O21" i="47"/>
  <c r="O22" i="47" s="1"/>
  <c r="Z21" i="47"/>
  <c r="Z22" i="47" s="1"/>
  <c r="Y21" i="47"/>
  <c r="Y22" i="47" s="1"/>
  <c r="AL21" i="39"/>
  <c r="AL22" i="39" s="1"/>
  <c r="AK21" i="39"/>
  <c r="AK22" i="39" s="1"/>
  <c r="AB21" i="39"/>
  <c r="AB22" i="39" s="1"/>
  <c r="AE21" i="39"/>
  <c r="AE22" i="39" s="1"/>
  <c r="AA21" i="39"/>
  <c r="AA22" i="39" s="1"/>
  <c r="AD21" i="39"/>
  <c r="AD22" i="39" s="1"/>
  <c r="AC21" i="39"/>
  <c r="AC22" i="39" s="1"/>
  <c r="AF21" i="39"/>
  <c r="AF22" i="39" s="1"/>
  <c r="AH21" i="39"/>
  <c r="AH22" i="39" s="1"/>
  <c r="AG21" i="39"/>
  <c r="AG22" i="39" s="1"/>
  <c r="AJ21" i="39"/>
  <c r="AJ22" i="39" s="1"/>
  <c r="AI21" i="39"/>
  <c r="AI22" i="39" s="1"/>
  <c r="AG21" i="44"/>
  <c r="AG22" i="44" s="1"/>
  <c r="AF21" i="44"/>
  <c r="AF22" i="44" s="1"/>
  <c r="AH21" i="44"/>
  <c r="AH22" i="44" s="1"/>
  <c r="AJ21" i="44"/>
  <c r="AJ22" i="44" s="1"/>
  <c r="AI21" i="44"/>
  <c r="AI22" i="44" s="1"/>
  <c r="AL21" i="44"/>
  <c r="AL22" i="44" s="1"/>
  <c r="AK21" i="44"/>
  <c r="AK22" i="44" s="1"/>
  <c r="AE21" i="44"/>
  <c r="AE22" i="44" s="1"/>
  <c r="AD21" i="44"/>
  <c r="AD22" i="44" s="1"/>
  <c r="AA21" i="44"/>
  <c r="AA22" i="44" s="1"/>
  <c r="AC21" i="44"/>
  <c r="AC22" i="44" s="1"/>
  <c r="AB21" i="44"/>
  <c r="AB22" i="44" s="1"/>
  <c r="AX21" i="43"/>
  <c r="AW21" i="43"/>
  <c r="AQ21" i="43"/>
  <c r="AP21" i="43"/>
  <c r="AO21" i="43"/>
  <c r="AN21" i="43"/>
  <c r="AM21" i="43"/>
  <c r="F21" i="56"/>
  <c r="F22" i="56" s="1"/>
  <c r="E21" i="56"/>
  <c r="E22" i="56" s="1"/>
  <c r="G21" i="56"/>
  <c r="G22" i="56" s="1"/>
  <c r="C21" i="56"/>
  <c r="C22" i="56" s="1"/>
  <c r="M21" i="56"/>
  <c r="M22" i="56" s="1"/>
  <c r="N21" i="56"/>
  <c r="N22" i="56" s="1"/>
  <c r="D21" i="56"/>
  <c r="D22" i="56" s="1"/>
  <c r="D21" i="57"/>
  <c r="G21" i="57"/>
  <c r="C21" i="57"/>
  <c r="N21" i="57"/>
  <c r="F21" i="57"/>
  <c r="M21" i="57"/>
  <c r="E21" i="57"/>
  <c r="J21" i="47"/>
  <c r="J22" i="47" s="1"/>
  <c r="I21" i="47"/>
  <c r="I22" i="47" s="1"/>
  <c r="L21" i="47"/>
  <c r="L22" i="47" s="1"/>
  <c r="K21" i="47"/>
  <c r="K22" i="47" s="1"/>
  <c r="H21" i="47"/>
  <c r="H22" i="47" s="1"/>
  <c r="J21" i="57"/>
  <c r="I21" i="57"/>
  <c r="H21" i="57"/>
  <c r="K21" i="57"/>
  <c r="L21" i="57"/>
  <c r="AR21" i="43"/>
  <c r="AV21" i="43"/>
  <c r="J21" i="48"/>
  <c r="J22" i="48" s="1"/>
  <c r="H21" i="48"/>
  <c r="H22" i="48" s="1"/>
  <c r="I21" i="48"/>
  <c r="I22" i="48" s="1"/>
  <c r="K21" i="48"/>
  <c r="K22" i="48" s="1"/>
  <c r="L21" i="48"/>
  <c r="L22" i="48" s="1"/>
  <c r="E21" i="48"/>
  <c r="E22" i="48" s="1"/>
  <c r="F21" i="48"/>
  <c r="F22" i="48" s="1"/>
  <c r="N21" i="48"/>
  <c r="N22" i="48" s="1"/>
  <c r="M21" i="48"/>
  <c r="M22" i="48" s="1"/>
  <c r="D21" i="48"/>
  <c r="D22" i="48" s="1"/>
  <c r="G21" i="48"/>
  <c r="G22" i="48" s="1"/>
  <c r="C21" i="48"/>
  <c r="C22" i="48" s="1"/>
  <c r="J21" i="56"/>
  <c r="J22" i="56" s="1"/>
  <c r="I21" i="56"/>
  <c r="I22" i="56" s="1"/>
  <c r="H21" i="56"/>
  <c r="H22" i="56" s="1"/>
  <c r="L21" i="56"/>
  <c r="L22" i="56" s="1"/>
  <c r="K21" i="56"/>
  <c r="K22" i="56" s="1"/>
  <c r="G21" i="47"/>
  <c r="G22" i="47" s="1"/>
  <c r="C21" i="47"/>
  <c r="C22" i="47" s="1"/>
  <c r="M21" i="47"/>
  <c r="M22" i="47" s="1"/>
  <c r="D21" i="47"/>
  <c r="D22" i="47" s="1"/>
  <c r="E21" i="47"/>
  <c r="E22" i="47" s="1"/>
  <c r="F21" i="47"/>
  <c r="F22" i="47" s="1"/>
  <c r="N21" i="47"/>
  <c r="N22" i="47" s="1"/>
  <c r="L21" i="44"/>
  <c r="H21" i="44"/>
  <c r="X21" i="44"/>
  <c r="T21" i="44"/>
  <c r="Z21" i="39"/>
  <c r="S21" i="39"/>
  <c r="R21" i="39"/>
  <c r="Q21" i="39"/>
  <c r="P21" i="39"/>
  <c r="Y21" i="39"/>
  <c r="O21" i="39"/>
  <c r="L21" i="39"/>
  <c r="H21" i="39"/>
  <c r="W21" i="39"/>
  <c r="V21" i="39"/>
  <c r="U21" i="39"/>
  <c r="T21" i="39"/>
  <c r="X21" i="39"/>
  <c r="S21" i="44"/>
  <c r="Q21" i="44"/>
  <c r="P21" i="44"/>
  <c r="R21" i="44"/>
  <c r="O21" i="44"/>
  <c r="Z21" i="44"/>
  <c r="Y21" i="44"/>
  <c r="W21" i="44"/>
  <c r="V21" i="44"/>
  <c r="U21" i="44"/>
  <c r="AE21" i="43"/>
  <c r="AA21" i="43"/>
  <c r="AD21" i="43"/>
  <c r="AB21" i="43"/>
  <c r="AC21" i="43"/>
  <c r="AK21" i="43"/>
  <c r="AL21" i="43"/>
  <c r="AF21" i="43"/>
  <c r="AJ21" i="43"/>
  <c r="N21" i="44"/>
  <c r="C21" i="44"/>
  <c r="F21" i="44"/>
  <c r="G21" i="44"/>
  <c r="E21" i="44"/>
  <c r="D21" i="44"/>
  <c r="M21" i="44"/>
  <c r="I21" i="39"/>
  <c r="K21" i="39"/>
  <c r="K21" i="44"/>
  <c r="J21" i="44"/>
  <c r="I21" i="44"/>
  <c r="G21" i="39"/>
  <c r="C21" i="39"/>
  <c r="F21" i="39"/>
  <c r="D21" i="39"/>
  <c r="N21" i="39"/>
  <c r="E21" i="39"/>
  <c r="M21" i="39"/>
  <c r="J21" i="39"/>
  <c r="B32" i="14"/>
  <c r="D30" i="8"/>
  <c r="B30" i="8" s="1"/>
  <c r="O21" i="43"/>
  <c r="P21" i="43"/>
  <c r="Q21" i="43"/>
  <c r="R21" i="43"/>
  <c r="S21" i="43"/>
  <c r="M21" i="43"/>
  <c r="Z21" i="43"/>
  <c r="Y21" i="43"/>
  <c r="N21" i="43"/>
  <c r="X21" i="43"/>
  <c r="T21" i="43"/>
  <c r="W40" i="3" l="1"/>
  <c r="W45" i="3" s="1"/>
  <c r="X40" i="3"/>
  <c r="H41" i="45" a="1"/>
  <c r="AB22" i="48"/>
  <c r="D78" i="52" s="1"/>
  <c r="D114" i="52" s="1"/>
  <c r="AO22" i="44"/>
  <c r="C77" i="52" s="1"/>
  <c r="AO22" i="39"/>
  <c r="C78" i="52" s="1"/>
  <c r="F29" i="45" a="1"/>
  <c r="G29" i="45" a="1"/>
  <c r="AB22" i="47"/>
  <c r="D77" i="52" s="1"/>
  <c r="D113" i="52" s="1"/>
  <c r="AA22" i="48"/>
  <c r="O22" i="56"/>
  <c r="O24" i="56" s="1"/>
  <c r="AA22" i="47"/>
  <c r="P16" i="39"/>
  <c r="Q16" i="39"/>
  <c r="R16" i="39"/>
  <c r="S16" i="39"/>
  <c r="T16" i="39"/>
  <c r="W16" i="39"/>
  <c r="V16" i="39"/>
  <c r="X16" i="39"/>
  <c r="Y16" i="39"/>
  <c r="U16" i="39"/>
  <c r="Z16" i="39"/>
  <c r="O16" i="39"/>
  <c r="W11" i="39"/>
  <c r="X11" i="39"/>
  <c r="Y11" i="39"/>
  <c r="Z11" i="39"/>
  <c r="U11" i="39"/>
  <c r="P11" i="39"/>
  <c r="Q11" i="39"/>
  <c r="O11" i="39"/>
  <c r="R11" i="39"/>
  <c r="V11" i="39"/>
  <c r="S11" i="39"/>
  <c r="T11" i="39"/>
  <c r="Q6" i="39"/>
  <c r="T6" i="39"/>
  <c r="O6" i="39"/>
  <c r="P6" i="39"/>
  <c r="S6" i="39"/>
  <c r="U6" i="39"/>
  <c r="V6" i="39"/>
  <c r="W6" i="39"/>
  <c r="X6" i="39"/>
  <c r="Y6" i="39"/>
  <c r="Z6" i="39"/>
  <c r="R6" i="39"/>
  <c r="V14" i="39"/>
  <c r="Y14" i="39"/>
  <c r="W14" i="39"/>
  <c r="X14" i="39"/>
  <c r="Z14" i="39"/>
  <c r="P14" i="39"/>
  <c r="T14" i="39"/>
  <c r="Q14" i="39"/>
  <c r="U14" i="39"/>
  <c r="R14" i="39"/>
  <c r="S14" i="39"/>
  <c r="O14" i="39"/>
  <c r="R10" i="39"/>
  <c r="W10" i="39"/>
  <c r="S10" i="39"/>
  <c r="U10" i="39"/>
  <c r="T10" i="39"/>
  <c r="Y10" i="39"/>
  <c r="P10" i="39"/>
  <c r="Z10" i="39"/>
  <c r="V10" i="39"/>
  <c r="O10" i="39"/>
  <c r="X10" i="39"/>
  <c r="Q10" i="39"/>
  <c r="Q15" i="39"/>
  <c r="R15" i="39"/>
  <c r="S15" i="39"/>
  <c r="Z15" i="39"/>
  <c r="T15" i="39"/>
  <c r="U15" i="39"/>
  <c r="V15" i="39"/>
  <c r="P15" i="39"/>
  <c r="W15" i="39"/>
  <c r="Y15" i="39"/>
  <c r="O15" i="39"/>
  <c r="X15" i="39"/>
  <c r="P9" i="39"/>
  <c r="S9" i="39"/>
  <c r="T9" i="39"/>
  <c r="U9" i="39"/>
  <c r="O9" i="39"/>
  <c r="R9" i="39"/>
  <c r="V9" i="39"/>
  <c r="W9" i="39"/>
  <c r="X9" i="39"/>
  <c r="Q9" i="39"/>
  <c r="Y9" i="39"/>
  <c r="Z9" i="39"/>
  <c r="Q13" i="39"/>
  <c r="R13" i="39"/>
  <c r="T13" i="39"/>
  <c r="S13" i="39"/>
  <c r="X13" i="39"/>
  <c r="Y13" i="39"/>
  <c r="Z13" i="39"/>
  <c r="P13" i="39"/>
  <c r="U13" i="39"/>
  <c r="V13" i="39"/>
  <c r="W13" i="39"/>
  <c r="O13" i="39"/>
  <c r="X8" i="39"/>
  <c r="Y8" i="39"/>
  <c r="Z8" i="39"/>
  <c r="O8" i="39"/>
  <c r="W8" i="39"/>
  <c r="P8" i="39"/>
  <c r="Q8" i="39"/>
  <c r="V8" i="39"/>
  <c r="R8" i="39"/>
  <c r="S8" i="39"/>
  <c r="T8" i="39"/>
  <c r="U8" i="39"/>
  <c r="U17" i="39"/>
  <c r="O17" i="39"/>
  <c r="V17" i="39"/>
  <c r="X17" i="39"/>
  <c r="Y17" i="39"/>
  <c r="W17" i="39"/>
  <c r="Z17" i="39"/>
  <c r="P17" i="39"/>
  <c r="T17" i="39"/>
  <c r="Q17" i="39"/>
  <c r="R17" i="39"/>
  <c r="S17" i="39"/>
  <c r="S12" i="39"/>
  <c r="T12" i="39"/>
  <c r="R12" i="39"/>
  <c r="U12" i="39"/>
  <c r="V12" i="39"/>
  <c r="W12" i="39"/>
  <c r="O12" i="39"/>
  <c r="X12" i="39"/>
  <c r="Z12" i="39"/>
  <c r="P12" i="39"/>
  <c r="Y12" i="39"/>
  <c r="Q12" i="39"/>
  <c r="S7" i="39"/>
  <c r="T7" i="39"/>
  <c r="V7" i="39"/>
  <c r="U7" i="39"/>
  <c r="Z7" i="39"/>
  <c r="X7" i="39"/>
  <c r="R7" i="39"/>
  <c r="O7" i="39"/>
  <c r="Q7" i="39"/>
  <c r="W7" i="39"/>
  <c r="Y7" i="39"/>
  <c r="P7" i="39"/>
  <c r="U8" i="44"/>
  <c r="O8" i="44"/>
  <c r="W8" i="44"/>
  <c r="V8" i="44"/>
  <c r="X8" i="44"/>
  <c r="S8" i="44"/>
  <c r="T8" i="44"/>
  <c r="P8" i="44"/>
  <c r="Y8" i="44"/>
  <c r="Q8" i="44"/>
  <c r="Z8" i="44"/>
  <c r="R8" i="44"/>
  <c r="P17" i="44"/>
  <c r="Z17" i="44"/>
  <c r="Q17" i="44"/>
  <c r="R17" i="44"/>
  <c r="S17" i="44"/>
  <c r="T17" i="44"/>
  <c r="O17" i="44"/>
  <c r="U17" i="44"/>
  <c r="Y17" i="44"/>
  <c r="V17" i="44"/>
  <c r="W17" i="44"/>
  <c r="X17" i="44"/>
  <c r="Q10" i="44"/>
  <c r="S10" i="44"/>
  <c r="O10" i="44"/>
  <c r="R10" i="44"/>
  <c r="T10" i="44"/>
  <c r="W10" i="44"/>
  <c r="X10" i="44"/>
  <c r="P10" i="44"/>
  <c r="V10" i="44"/>
  <c r="Y10" i="44"/>
  <c r="U10" i="44"/>
  <c r="Z10" i="44"/>
  <c r="R7" i="44"/>
  <c r="P7" i="44"/>
  <c r="Q7" i="44"/>
  <c r="U7" i="44"/>
  <c r="V7" i="44"/>
  <c r="S7" i="44"/>
  <c r="W7" i="44"/>
  <c r="T7" i="44"/>
  <c r="X7" i="44"/>
  <c r="Y7" i="44"/>
  <c r="O7" i="44"/>
  <c r="Z7" i="44"/>
  <c r="Q15" i="44"/>
  <c r="R15" i="44"/>
  <c r="P15" i="44"/>
  <c r="T15" i="44"/>
  <c r="U15" i="44"/>
  <c r="V15" i="44"/>
  <c r="O15" i="44"/>
  <c r="W15" i="44"/>
  <c r="Z15" i="44"/>
  <c r="X15" i="44"/>
  <c r="Y15" i="44"/>
  <c r="S15" i="44"/>
  <c r="P12" i="44"/>
  <c r="Z12" i="44"/>
  <c r="S12" i="44"/>
  <c r="T12" i="44"/>
  <c r="U12" i="44"/>
  <c r="V12" i="44"/>
  <c r="O12" i="44"/>
  <c r="W12" i="44"/>
  <c r="R12" i="44"/>
  <c r="X12" i="44"/>
  <c r="Y12" i="44"/>
  <c r="Q12" i="44"/>
  <c r="P9" i="44"/>
  <c r="O9" i="44"/>
  <c r="Q9" i="44"/>
  <c r="R9" i="44"/>
  <c r="S9" i="44"/>
  <c r="T9" i="44"/>
  <c r="U9" i="44"/>
  <c r="Z9" i="44"/>
  <c r="V9" i="44"/>
  <c r="Y9" i="44"/>
  <c r="W9" i="44"/>
  <c r="X9" i="44"/>
  <c r="Y6" i="44"/>
  <c r="P6" i="44"/>
  <c r="Q6" i="44"/>
  <c r="R6" i="44"/>
  <c r="W6" i="44"/>
  <c r="X6" i="44"/>
  <c r="S6" i="44"/>
  <c r="O6" i="44"/>
  <c r="Z6" i="44"/>
  <c r="T6" i="44"/>
  <c r="U6" i="44"/>
  <c r="V6" i="44"/>
  <c r="U16" i="44"/>
  <c r="V16" i="44"/>
  <c r="W16" i="44"/>
  <c r="X16" i="44"/>
  <c r="O16" i="44"/>
  <c r="T16" i="44"/>
  <c r="P16" i="44"/>
  <c r="S16" i="44"/>
  <c r="Y16" i="44"/>
  <c r="Z16" i="44"/>
  <c r="Q16" i="44"/>
  <c r="R16" i="44"/>
  <c r="Y14" i="44"/>
  <c r="Z14" i="44"/>
  <c r="O14" i="44"/>
  <c r="P14" i="44"/>
  <c r="Q14" i="44"/>
  <c r="W14" i="44"/>
  <c r="R14" i="44"/>
  <c r="S14" i="44"/>
  <c r="T14" i="44"/>
  <c r="U14" i="44"/>
  <c r="V14" i="44"/>
  <c r="X14" i="44"/>
  <c r="S13" i="44"/>
  <c r="Z13" i="44"/>
  <c r="U13" i="44"/>
  <c r="T13" i="44"/>
  <c r="V13" i="44"/>
  <c r="X13" i="44"/>
  <c r="Y13" i="44"/>
  <c r="Q13" i="44"/>
  <c r="R13" i="44"/>
  <c r="W13" i="44"/>
  <c r="O13" i="44"/>
  <c r="P13" i="44"/>
  <c r="Z11" i="44"/>
  <c r="W11" i="44"/>
  <c r="O11" i="44"/>
  <c r="X11" i="44"/>
  <c r="Y11" i="44"/>
  <c r="P11" i="44"/>
  <c r="Q11" i="44"/>
  <c r="V11" i="44"/>
  <c r="R11" i="44"/>
  <c r="S11" i="44"/>
  <c r="T11" i="44"/>
  <c r="U11" i="44"/>
  <c r="F7" i="44"/>
  <c r="G8" i="44"/>
  <c r="N15" i="44"/>
  <c r="B19" i="44"/>
  <c r="C5" i="52" s="1"/>
  <c r="F5" i="52" s="1"/>
  <c r="K13" i="44"/>
  <c r="D38" i="43"/>
  <c r="E38" i="43" s="1"/>
  <c r="C30" i="43" a="1"/>
  <c r="C30" i="43" s="1"/>
  <c r="O30" i="43" s="1"/>
  <c r="AA30" i="43" s="1"/>
  <c r="AM30" i="43" s="1"/>
  <c r="M17" i="14"/>
  <c r="L17" i="14"/>
  <c r="K17" i="14"/>
  <c r="J17" i="14"/>
  <c r="M12" i="14"/>
  <c r="L12" i="14"/>
  <c r="K12" i="14"/>
  <c r="J12" i="14"/>
  <c r="M11" i="14"/>
  <c r="L11" i="14"/>
  <c r="K11" i="14"/>
  <c r="J11" i="14"/>
  <c r="N16" i="14"/>
  <c r="N15" i="14"/>
  <c r="N14" i="14"/>
  <c r="N13" i="14"/>
  <c r="N6" i="14"/>
  <c r="N7" i="14"/>
  <c r="N8" i="14"/>
  <c r="N9" i="14"/>
  <c r="N10" i="14"/>
  <c r="N5" i="14"/>
  <c r="X45" i="3" l="1"/>
  <c r="X96" i="3" s="1"/>
  <c r="X42" i="3"/>
  <c r="E77" i="52"/>
  <c r="E113" i="52" s="1"/>
  <c r="H41" i="45"/>
  <c r="H46" i="45"/>
  <c r="H49" i="45"/>
  <c r="H45" i="45"/>
  <c r="H50" i="45"/>
  <c r="H48" i="45"/>
  <c r="H44" i="45"/>
  <c r="H42" i="45"/>
  <c r="H43" i="45"/>
  <c r="H52" i="45"/>
  <c r="H51" i="45"/>
  <c r="H47" i="45"/>
  <c r="C82" i="52"/>
  <c r="C81" i="52"/>
  <c r="D81" i="52"/>
  <c r="D82" i="52"/>
  <c r="F29" i="45"/>
  <c r="F32" i="45"/>
  <c r="F51" i="45"/>
  <c r="F34" i="45"/>
  <c r="F39" i="45"/>
  <c r="F41" i="45"/>
  <c r="F33" i="45"/>
  <c r="F52" i="45"/>
  <c r="F38" i="45"/>
  <c r="F40" i="45"/>
  <c r="F42" i="45"/>
  <c r="F44" i="45"/>
  <c r="F43" i="45"/>
  <c r="F48" i="45"/>
  <c r="F30" i="45"/>
  <c r="F31" i="45"/>
  <c r="F45" i="45"/>
  <c r="F47" i="45"/>
  <c r="F49" i="45"/>
  <c r="F46" i="45"/>
  <c r="F50" i="45"/>
  <c r="F35" i="45"/>
  <c r="F37" i="45"/>
  <c r="F36" i="45"/>
  <c r="G44" i="45"/>
  <c r="G29" i="45"/>
  <c r="G45" i="45"/>
  <c r="G43" i="45"/>
  <c r="G30" i="45"/>
  <c r="G46" i="45"/>
  <c r="G31" i="45"/>
  <c r="G47" i="45"/>
  <c r="G32" i="45"/>
  <c r="G48" i="45"/>
  <c r="G33" i="45"/>
  <c r="G49" i="45"/>
  <c r="G34" i="45"/>
  <c r="G50" i="45"/>
  <c r="G41" i="45"/>
  <c r="G35" i="45"/>
  <c r="G51" i="45"/>
  <c r="G42" i="45"/>
  <c r="G36" i="45"/>
  <c r="G52" i="45"/>
  <c r="G37" i="45"/>
  <c r="G38" i="45"/>
  <c r="G39" i="45"/>
  <c r="G40" i="45"/>
  <c r="M18" i="14"/>
  <c r="O24" i="47"/>
  <c r="D68" i="52"/>
  <c r="O24" i="48"/>
  <c r="D69" i="52"/>
  <c r="D105" i="52" s="1"/>
  <c r="AN16" i="39"/>
  <c r="AN13" i="39"/>
  <c r="AN14" i="39"/>
  <c r="V19" i="44"/>
  <c r="V22" i="44" s="1"/>
  <c r="W19" i="39"/>
  <c r="W22" i="39" s="1"/>
  <c r="V19" i="39"/>
  <c r="V22" i="39" s="1"/>
  <c r="AN7" i="44"/>
  <c r="AN6" i="44"/>
  <c r="AN10" i="44"/>
  <c r="AN9" i="44"/>
  <c r="AN11" i="44"/>
  <c r="AN15" i="44"/>
  <c r="AN14" i="44"/>
  <c r="AN16" i="44"/>
  <c r="AN13" i="44"/>
  <c r="AN12" i="44"/>
  <c r="AN17" i="44"/>
  <c r="AN8" i="44"/>
  <c r="U19" i="39"/>
  <c r="U22" i="39" s="1"/>
  <c r="S19" i="39"/>
  <c r="S22" i="39" s="1"/>
  <c r="P19" i="39"/>
  <c r="P22" i="39" s="1"/>
  <c r="AN6" i="39"/>
  <c r="O19" i="39"/>
  <c r="O22" i="39" s="1"/>
  <c r="AN10" i="39"/>
  <c r="T19" i="39"/>
  <c r="T22" i="39" s="1"/>
  <c r="AN9" i="39"/>
  <c r="Q19" i="39"/>
  <c r="Q22" i="39" s="1"/>
  <c r="AN15" i="39"/>
  <c r="AN12" i="39"/>
  <c r="AN8" i="39"/>
  <c r="R19" i="39"/>
  <c r="R22" i="39" s="1"/>
  <c r="AN11" i="39"/>
  <c r="AN17" i="39"/>
  <c r="AN7" i="39"/>
  <c r="Z19" i="39"/>
  <c r="Z22" i="39" s="1"/>
  <c r="Y19" i="39"/>
  <c r="Y22" i="39" s="1"/>
  <c r="X19" i="39"/>
  <c r="X22" i="39" s="1"/>
  <c r="T19" i="44"/>
  <c r="T22" i="44" s="1"/>
  <c r="R19" i="44"/>
  <c r="R22" i="44" s="1"/>
  <c r="S19" i="44"/>
  <c r="S22" i="44" s="1"/>
  <c r="Q19" i="44"/>
  <c r="Q22" i="44" s="1"/>
  <c r="U19" i="44"/>
  <c r="U22" i="44" s="1"/>
  <c r="P19" i="44"/>
  <c r="P22" i="44" s="1"/>
  <c r="X19" i="44"/>
  <c r="X22" i="44" s="1"/>
  <c r="O19" i="44"/>
  <c r="O22" i="44" s="1"/>
  <c r="W19" i="44"/>
  <c r="W22" i="44" s="1"/>
  <c r="Z19" i="44"/>
  <c r="Z22" i="44" s="1"/>
  <c r="Y19" i="44"/>
  <c r="Y22" i="44" s="1"/>
  <c r="L18" i="14"/>
  <c r="J18" i="14"/>
  <c r="N17" i="14"/>
  <c r="N12" i="14"/>
  <c r="N11" i="14"/>
  <c r="K18" i="14"/>
  <c r="M8" i="44"/>
  <c r="J11" i="44"/>
  <c r="E8" i="44"/>
  <c r="L14" i="44"/>
  <c r="H7" i="44"/>
  <c r="H6" i="44"/>
  <c r="F8" i="44"/>
  <c r="N8" i="44"/>
  <c r="H11" i="44"/>
  <c r="C6" i="44"/>
  <c r="J8" i="44"/>
  <c r="M15" i="44"/>
  <c r="J12" i="44"/>
  <c r="E7" i="44"/>
  <c r="L7" i="44"/>
  <c r="L13" i="44"/>
  <c r="D7" i="44"/>
  <c r="L6" i="38"/>
  <c r="L15" i="38"/>
  <c r="L17" i="38"/>
  <c r="L9" i="38"/>
  <c r="L8" i="38"/>
  <c r="L14" i="38"/>
  <c r="L16" i="38"/>
  <c r="L11" i="38"/>
  <c r="L12" i="38"/>
  <c r="L7" i="38"/>
  <c r="L10" i="38"/>
  <c r="L13" i="38"/>
  <c r="B19" i="43"/>
  <c r="B5" i="52" s="1"/>
  <c r="D19" i="38"/>
  <c r="K7" i="44"/>
  <c r="N13" i="44"/>
  <c r="M11" i="44"/>
  <c r="L15" i="44"/>
  <c r="I12" i="44"/>
  <c r="I9" i="44"/>
  <c r="I10" i="44"/>
  <c r="I7" i="44"/>
  <c r="H10" i="44"/>
  <c r="H9" i="44"/>
  <c r="L8" i="44"/>
  <c r="N7" i="44"/>
  <c r="N17" i="44"/>
  <c r="AM17" i="44" s="1"/>
  <c r="N14" i="44"/>
  <c r="N12" i="44"/>
  <c r="N10" i="44"/>
  <c r="N16" i="44"/>
  <c r="N9" i="44"/>
  <c r="N6" i="44"/>
  <c r="K12" i="44"/>
  <c r="K6" i="44"/>
  <c r="K9" i="44"/>
  <c r="G9" i="44"/>
  <c r="G10" i="44"/>
  <c r="K8" i="44"/>
  <c r="G7" i="44"/>
  <c r="H8" i="44"/>
  <c r="K10" i="44"/>
  <c r="E6" i="44"/>
  <c r="J10" i="44"/>
  <c r="J9" i="44"/>
  <c r="J6" i="44"/>
  <c r="D6" i="44"/>
  <c r="M6" i="44"/>
  <c r="M12" i="44"/>
  <c r="M16" i="44"/>
  <c r="M9" i="44"/>
  <c r="M10" i="44"/>
  <c r="M7" i="44"/>
  <c r="K14" i="44"/>
  <c r="K11" i="44"/>
  <c r="M14" i="44"/>
  <c r="L10" i="44"/>
  <c r="L6" i="44"/>
  <c r="L12" i="44"/>
  <c r="L9" i="44"/>
  <c r="J7" i="44"/>
  <c r="M13" i="44"/>
  <c r="J13" i="44"/>
  <c r="N11" i="44"/>
  <c r="I8" i="44"/>
  <c r="F6" i="44"/>
  <c r="F9" i="44"/>
  <c r="G6" i="44"/>
  <c r="L11" i="44"/>
  <c r="I11" i="44"/>
  <c r="I6" i="44"/>
  <c r="H31" i="43"/>
  <c r="I31" i="43"/>
  <c r="U31" i="43" s="1"/>
  <c r="AG31" i="43" s="1"/>
  <c r="AS31" i="43" s="1"/>
  <c r="F30" i="43"/>
  <c r="R30" i="43" s="1"/>
  <c r="AD30" i="43" s="1"/>
  <c r="K31" i="43"/>
  <c r="W31" i="43" s="1"/>
  <c r="AI31" i="43" s="1"/>
  <c r="AU31" i="43" s="1"/>
  <c r="H30" i="43"/>
  <c r="T30" i="43" s="1"/>
  <c r="AF30" i="43" s="1"/>
  <c r="AR30" i="43" s="1"/>
  <c r="L31" i="43"/>
  <c r="X31" i="43" s="1"/>
  <c r="AJ31" i="43" s="1"/>
  <c r="AV31" i="43" s="1"/>
  <c r="I32" i="43"/>
  <c r="F31" i="43"/>
  <c r="R31" i="43" s="1"/>
  <c r="AD31" i="43" s="1"/>
  <c r="AP31" i="43" s="1"/>
  <c r="E30" i="43"/>
  <c r="M32" i="43"/>
  <c r="N32" i="43"/>
  <c r="I30" i="43"/>
  <c r="U30" i="43" s="1"/>
  <c r="AG30" i="43" s="1"/>
  <c r="AS30" i="43" s="1"/>
  <c r="M31" i="43"/>
  <c r="E31" i="43"/>
  <c r="Q31" i="43" s="1"/>
  <c r="AC31" i="43" s="1"/>
  <c r="AO31" i="43" s="1"/>
  <c r="J32" i="43"/>
  <c r="V32" i="43" s="1"/>
  <c r="AH32" i="43" s="1"/>
  <c r="AT32" i="43" s="1"/>
  <c r="J31" i="43"/>
  <c r="G30" i="43"/>
  <c r="J30" i="43"/>
  <c r="V30" i="43" s="1"/>
  <c r="AH30" i="43" s="1"/>
  <c r="AT30" i="43" s="1"/>
  <c r="N31" i="43"/>
  <c r="Z31" i="43" s="1"/>
  <c r="AL31" i="43" s="1"/>
  <c r="AX31" i="43" s="1"/>
  <c r="L32" i="43"/>
  <c r="X32" i="43" s="1"/>
  <c r="AJ32" i="43" s="1"/>
  <c r="AV32" i="43" s="1"/>
  <c r="K32" i="43"/>
  <c r="W32" i="43" s="1"/>
  <c r="AI32" i="43" s="1"/>
  <c r="AU32" i="43" s="1"/>
  <c r="D30" i="43"/>
  <c r="P30" i="43" s="1"/>
  <c r="AB30" i="43" s="1"/>
  <c r="AN30" i="43" s="1"/>
  <c r="K30" i="43"/>
  <c r="C32" i="43"/>
  <c r="O32" i="43" s="1"/>
  <c r="AA32" i="43" s="1"/>
  <c r="AM32" i="43" s="1"/>
  <c r="L30" i="43"/>
  <c r="D32" i="43"/>
  <c r="P32" i="43" s="1"/>
  <c r="AB32" i="43" s="1"/>
  <c r="AN32" i="43" s="1"/>
  <c r="M30" i="43"/>
  <c r="Y30" i="43" s="1"/>
  <c r="AK30" i="43" s="1"/>
  <c r="AW30" i="43" s="1"/>
  <c r="E32" i="43"/>
  <c r="Q32" i="43" s="1"/>
  <c r="AC32" i="43" s="1"/>
  <c r="AO32" i="43" s="1"/>
  <c r="G31" i="43"/>
  <c r="S31" i="43" s="1"/>
  <c r="AE31" i="43" s="1"/>
  <c r="AQ31" i="43" s="1"/>
  <c r="N30" i="43"/>
  <c r="Z30" i="43" s="1"/>
  <c r="AL30" i="43" s="1"/>
  <c r="AX30" i="43" s="1"/>
  <c r="F32" i="43"/>
  <c r="R32" i="43" s="1"/>
  <c r="AD32" i="43" s="1"/>
  <c r="AP32" i="43" s="1"/>
  <c r="C31" i="43"/>
  <c r="G32" i="43"/>
  <c r="S32" i="43" s="1"/>
  <c r="AE32" i="43" s="1"/>
  <c r="AQ32" i="43" s="1"/>
  <c r="D31" i="43"/>
  <c r="P31" i="43" s="1"/>
  <c r="AB31" i="43" s="1"/>
  <c r="H32" i="43"/>
  <c r="T32" i="43" s="1"/>
  <c r="AF32" i="43" s="1"/>
  <c r="AR32" i="43" s="1"/>
  <c r="F19" i="38"/>
  <c r="D16" i="14"/>
  <c r="D15" i="14"/>
  <c r="D14" i="14"/>
  <c r="D13" i="14"/>
  <c r="C10" i="14"/>
  <c r="C9" i="14"/>
  <c r="C8" i="14"/>
  <c r="C7" i="14"/>
  <c r="C6" i="14"/>
  <c r="C21" i="8" l="1"/>
  <c r="X93" i="3"/>
  <c r="H57" i="45"/>
  <c r="F56" i="45"/>
  <c r="F123" i="45" s="1"/>
  <c r="I83" i="52"/>
  <c r="D117" i="52"/>
  <c r="J81" i="52"/>
  <c r="G56" i="45"/>
  <c r="G123" i="45" s="1"/>
  <c r="F57" i="45"/>
  <c r="F124" i="45" s="1"/>
  <c r="G57" i="45"/>
  <c r="G124" i="45" s="1"/>
  <c r="J83" i="52"/>
  <c r="AO19" i="39"/>
  <c r="C42" i="52" s="1"/>
  <c r="AO19" i="44"/>
  <c r="C41" i="52" s="1"/>
  <c r="F41" i="52" s="1"/>
  <c r="D73" i="52"/>
  <c r="D109" i="52" s="1"/>
  <c r="D72" i="52"/>
  <c r="D104" i="52"/>
  <c r="AN15" i="43"/>
  <c r="AB6" i="43"/>
  <c r="AN31" i="43"/>
  <c r="AN10" i="43" s="1"/>
  <c r="AD9" i="43"/>
  <c r="AP30" i="43"/>
  <c r="AM13" i="44"/>
  <c r="N18" i="14"/>
  <c r="AM11" i="44"/>
  <c r="AM10" i="44"/>
  <c r="AM9" i="44"/>
  <c r="AM12" i="44"/>
  <c r="AM16" i="44"/>
  <c r="AM15" i="44"/>
  <c r="AM8" i="44"/>
  <c r="AM14" i="44"/>
  <c r="AN19" i="44"/>
  <c r="AM7" i="44"/>
  <c r="AN22" i="39"/>
  <c r="C69" i="52" s="1"/>
  <c r="AN19" i="39"/>
  <c r="C33" i="52" s="1"/>
  <c r="F33" i="52" s="1"/>
  <c r="AN22" i="44"/>
  <c r="C19" i="44"/>
  <c r="C22" i="44" s="1"/>
  <c r="AM6" i="44"/>
  <c r="AD7" i="43"/>
  <c r="AB9" i="43"/>
  <c r="AD8" i="43"/>
  <c r="AD10" i="43"/>
  <c r="AD16" i="43"/>
  <c r="AB12" i="43"/>
  <c r="AD11" i="43"/>
  <c r="AB10" i="43"/>
  <c r="AD17" i="43"/>
  <c r="AB11" i="43"/>
  <c r="AB8" i="43"/>
  <c r="AD13" i="43"/>
  <c r="AD12" i="43"/>
  <c r="AD6" i="43"/>
  <c r="AB7" i="43"/>
  <c r="AB13" i="43"/>
  <c r="AB17" i="43"/>
  <c r="AD15" i="43"/>
  <c r="AB16" i="43"/>
  <c r="AB14" i="43"/>
  <c r="AB15" i="43"/>
  <c r="AD14" i="43"/>
  <c r="K8" i="43"/>
  <c r="L8" i="43"/>
  <c r="P12" i="43"/>
  <c r="L15" i="43"/>
  <c r="D19" i="44"/>
  <c r="D22" i="44" s="1"/>
  <c r="E19" i="44"/>
  <c r="E22" i="44" s="1"/>
  <c r="I12" i="43"/>
  <c r="N13" i="43"/>
  <c r="I9" i="43"/>
  <c r="P15" i="43"/>
  <c r="P8" i="43"/>
  <c r="P16" i="43"/>
  <c r="R6" i="43"/>
  <c r="R17" i="43"/>
  <c r="G8" i="43"/>
  <c r="S30" i="43"/>
  <c r="AE30" i="43" s="1"/>
  <c r="AQ30" i="43" s="1"/>
  <c r="F8" i="43"/>
  <c r="P13" i="43"/>
  <c r="J8" i="43"/>
  <c r="V31" i="43"/>
  <c r="P6" i="43"/>
  <c r="P7" i="43"/>
  <c r="R16" i="43"/>
  <c r="R15" i="43"/>
  <c r="R13" i="43"/>
  <c r="R7" i="43"/>
  <c r="N8" i="43"/>
  <c r="Z32" i="43"/>
  <c r="J10" i="43"/>
  <c r="M15" i="43"/>
  <c r="R8" i="43"/>
  <c r="P11" i="43"/>
  <c r="P17" i="43"/>
  <c r="H6" i="43"/>
  <c r="T31" i="43"/>
  <c r="AF31" i="43" s="1"/>
  <c r="AR31" i="43" s="1"/>
  <c r="AR13" i="43" s="1"/>
  <c r="L9" i="43"/>
  <c r="X30" i="43"/>
  <c r="AJ30" i="43" s="1"/>
  <c r="F9" i="43"/>
  <c r="R12" i="43"/>
  <c r="R11" i="43"/>
  <c r="R14" i="43"/>
  <c r="R10" i="43"/>
  <c r="M9" i="43"/>
  <c r="Y31" i="43"/>
  <c r="AK31" i="43" s="1"/>
  <c r="AW31" i="43" s="1"/>
  <c r="K13" i="43"/>
  <c r="W30" i="43"/>
  <c r="AI30" i="43" s="1"/>
  <c r="M11" i="43"/>
  <c r="Y32" i="43"/>
  <c r="AK32" i="43" s="1"/>
  <c r="E6" i="43"/>
  <c r="Q30" i="43"/>
  <c r="AC30" i="43" s="1"/>
  <c r="AO30" i="43" s="1"/>
  <c r="P14" i="43"/>
  <c r="R9" i="43"/>
  <c r="P10" i="43"/>
  <c r="G9" i="43"/>
  <c r="I11" i="43"/>
  <c r="U32" i="43"/>
  <c r="C6" i="43"/>
  <c r="O31" i="43"/>
  <c r="AA31" i="43" s="1"/>
  <c r="AM31" i="43" s="1"/>
  <c r="P9" i="43"/>
  <c r="I8" i="43"/>
  <c r="E7" i="43"/>
  <c r="D21" i="43"/>
  <c r="G21" i="43"/>
  <c r="H21" i="43"/>
  <c r="E21" i="43"/>
  <c r="F21" i="43"/>
  <c r="C21" i="43"/>
  <c r="I19" i="44"/>
  <c r="I22" i="44" s="1"/>
  <c r="H19" i="44"/>
  <c r="H22" i="44" s="1"/>
  <c r="J19" i="44"/>
  <c r="J22" i="44" s="1"/>
  <c r="K19" i="44"/>
  <c r="K22" i="44" s="1"/>
  <c r="F19" i="44"/>
  <c r="F22" i="44" s="1"/>
  <c r="N19" i="44"/>
  <c r="N22" i="44" s="1"/>
  <c r="M19" i="44"/>
  <c r="M22" i="44" s="1"/>
  <c r="G19" i="44"/>
  <c r="G22" i="44" s="1"/>
  <c r="L19" i="44"/>
  <c r="L22" i="44" s="1"/>
  <c r="N15" i="43"/>
  <c r="J13" i="43"/>
  <c r="H11" i="43"/>
  <c r="J9" i="43"/>
  <c r="H10" i="43"/>
  <c r="H7" i="43"/>
  <c r="D6" i="43"/>
  <c r="D7" i="43"/>
  <c r="I10" i="43"/>
  <c r="I7" i="43"/>
  <c r="I6" i="43"/>
  <c r="N17" i="43"/>
  <c r="AY17" i="43" s="1"/>
  <c r="N16" i="43"/>
  <c r="N6" i="43"/>
  <c r="N10" i="43"/>
  <c r="N12" i="43"/>
  <c r="N7" i="43"/>
  <c r="N14" i="43"/>
  <c r="N11" i="43"/>
  <c r="G6" i="43"/>
  <c r="G7" i="43"/>
  <c r="H9" i="43"/>
  <c r="K6" i="43"/>
  <c r="K10" i="43"/>
  <c r="K12" i="43"/>
  <c r="K14" i="43"/>
  <c r="J7" i="43"/>
  <c r="J12" i="43"/>
  <c r="J6" i="43"/>
  <c r="J11" i="43"/>
  <c r="L6" i="43"/>
  <c r="L12" i="43"/>
  <c r="L11" i="43"/>
  <c r="L10" i="43"/>
  <c r="L7" i="43"/>
  <c r="L13" i="43"/>
  <c r="F6" i="43"/>
  <c r="F7" i="43"/>
  <c r="M8" i="43"/>
  <c r="M13" i="43"/>
  <c r="M10" i="43"/>
  <c r="M7" i="43"/>
  <c r="M6" i="43"/>
  <c r="M14" i="43"/>
  <c r="M12" i="43"/>
  <c r="K11" i="43"/>
  <c r="H8" i="43"/>
  <c r="E8" i="43"/>
  <c r="L14" i="43"/>
  <c r="K7" i="43"/>
  <c r="G10" i="43"/>
  <c r="N9" i="43"/>
  <c r="K9" i="43"/>
  <c r="M16" i="43"/>
  <c r="K26" i="14"/>
  <c r="I26" i="14"/>
  <c r="K31" i="14"/>
  <c r="I31" i="14"/>
  <c r="C30" i="23" a="1"/>
  <c r="N32" i="23" s="1"/>
  <c r="Z32" i="23" s="1"/>
  <c r="AL32" i="23" s="1"/>
  <c r="AX32" i="23" s="1"/>
  <c r="C30" i="17" a="1"/>
  <c r="M32" i="17" s="1"/>
  <c r="Y32" i="17" s="1"/>
  <c r="AK32" i="17" s="1"/>
  <c r="AW32" i="17" s="1"/>
  <c r="D18" i="14"/>
  <c r="G11" i="14"/>
  <c r="G12" i="14"/>
  <c r="F10" i="14"/>
  <c r="G10" i="14" s="1"/>
  <c r="E8" i="14"/>
  <c r="G8" i="14" s="1"/>
  <c r="H58" i="45" l="1"/>
  <c r="H59" i="45" s="1"/>
  <c r="G125" i="45"/>
  <c r="D17" i="45" a="1"/>
  <c r="F125" i="45"/>
  <c r="C114" i="52"/>
  <c r="F58" i="45"/>
  <c r="F59" i="45" s="1"/>
  <c r="M41" i="52"/>
  <c r="C46" i="52"/>
  <c r="C118" i="52" s="1"/>
  <c r="C113" i="52"/>
  <c r="G58" i="45"/>
  <c r="G59" i="45" s="1"/>
  <c r="AO24" i="39"/>
  <c r="AO24" i="44"/>
  <c r="C32" i="52"/>
  <c r="AF17" i="43"/>
  <c r="AN11" i="43"/>
  <c r="AF15" i="43"/>
  <c r="AN12" i="43"/>
  <c r="T15" i="43"/>
  <c r="AN7" i="43"/>
  <c r="AF14" i="43"/>
  <c r="AR9" i="43"/>
  <c r="AR17" i="43"/>
  <c r="AF8" i="43"/>
  <c r="AQ12" i="43"/>
  <c r="AQ14" i="43"/>
  <c r="AQ15" i="43"/>
  <c r="AQ9" i="43"/>
  <c r="AQ16" i="43"/>
  <c r="AQ10" i="43"/>
  <c r="AQ17" i="43"/>
  <c r="AQ13" i="43"/>
  <c r="AQ6" i="43"/>
  <c r="AQ19" i="43" s="1"/>
  <c r="AQ22" i="43" s="1"/>
  <c r="AQ8" i="43"/>
  <c r="AQ7" i="43"/>
  <c r="AQ11" i="43"/>
  <c r="AR16" i="43"/>
  <c r="AK16" i="43"/>
  <c r="AW32" i="43"/>
  <c r="AW15" i="43" s="1"/>
  <c r="AM6" i="43"/>
  <c r="AM14" i="43"/>
  <c r="AM7" i="43"/>
  <c r="AM11" i="43"/>
  <c r="AM12" i="43"/>
  <c r="AM9" i="43"/>
  <c r="AM15" i="43"/>
  <c r="AM10" i="43"/>
  <c r="AM8" i="43"/>
  <c r="AM13" i="43"/>
  <c r="AM16" i="43"/>
  <c r="AM17" i="43"/>
  <c r="AR12" i="43"/>
  <c r="AN16" i="43"/>
  <c r="AR6" i="43"/>
  <c r="AW11" i="43"/>
  <c r="AN13" i="43"/>
  <c r="AR7" i="43"/>
  <c r="AW16" i="43"/>
  <c r="AP17" i="43"/>
  <c r="AP16" i="43"/>
  <c r="AP15" i="43"/>
  <c r="AP10" i="43"/>
  <c r="AP11" i="43"/>
  <c r="AP13" i="43"/>
  <c r="AP9" i="43"/>
  <c r="AP8" i="43"/>
  <c r="AP7" i="43"/>
  <c r="AP6" i="43"/>
  <c r="AP12" i="43"/>
  <c r="AP14" i="43"/>
  <c r="AN14" i="43"/>
  <c r="AR14" i="43"/>
  <c r="AW14" i="43"/>
  <c r="AN8" i="43"/>
  <c r="AR8" i="43"/>
  <c r="AW8" i="43"/>
  <c r="AF9" i="43"/>
  <c r="AN9" i="43"/>
  <c r="AR15" i="43"/>
  <c r="AJ14" i="43"/>
  <c r="AV30" i="43"/>
  <c r="AN6" i="43"/>
  <c r="AR10" i="43"/>
  <c r="AN17" i="43"/>
  <c r="AR11" i="43"/>
  <c r="J74" i="52"/>
  <c r="D108" i="52"/>
  <c r="J72" i="52"/>
  <c r="AI9" i="43"/>
  <c r="AU30" i="43"/>
  <c r="AO6" i="43"/>
  <c r="AO11" i="43"/>
  <c r="AO14" i="43"/>
  <c r="AO15" i="43"/>
  <c r="AO17" i="43"/>
  <c r="AO12" i="43"/>
  <c r="AO13" i="43"/>
  <c r="AO8" i="43"/>
  <c r="AO9" i="43"/>
  <c r="AO10" i="43"/>
  <c r="AO16" i="43"/>
  <c r="AO7" i="43"/>
  <c r="C105" i="52"/>
  <c r="AN24" i="44"/>
  <c r="C68" i="52"/>
  <c r="C73" i="52" s="1"/>
  <c r="AY13" i="43"/>
  <c r="AN24" i="39"/>
  <c r="AM22" i="44"/>
  <c r="C59" i="52" s="1"/>
  <c r="AY8" i="43"/>
  <c r="AY14" i="43"/>
  <c r="AY12" i="43"/>
  <c r="AY9" i="43"/>
  <c r="AY7" i="43"/>
  <c r="AY15" i="43"/>
  <c r="AY16" i="43"/>
  <c r="AY10" i="43"/>
  <c r="AY11" i="43"/>
  <c r="C19" i="43"/>
  <c r="AY6" i="43"/>
  <c r="Q9" i="41"/>
  <c r="R9" i="41"/>
  <c r="S9" i="41"/>
  <c r="T9" i="41"/>
  <c r="U9" i="41"/>
  <c r="O9" i="41"/>
  <c r="V9" i="41"/>
  <c r="Y9" i="41"/>
  <c r="W9" i="41"/>
  <c r="X9" i="41"/>
  <c r="Z9" i="41"/>
  <c r="P9" i="41"/>
  <c r="W7" i="41"/>
  <c r="X7" i="41"/>
  <c r="Y7" i="41"/>
  <c r="O7" i="41"/>
  <c r="Z7" i="41"/>
  <c r="P7" i="41"/>
  <c r="Q7" i="41"/>
  <c r="T7" i="41"/>
  <c r="R7" i="41"/>
  <c r="S7" i="41"/>
  <c r="U7" i="41"/>
  <c r="V7" i="41"/>
  <c r="R6" i="41"/>
  <c r="S6" i="41"/>
  <c r="V6" i="41"/>
  <c r="T6" i="41"/>
  <c r="U6" i="41"/>
  <c r="W6" i="41"/>
  <c r="Z6" i="41"/>
  <c r="X6" i="41"/>
  <c r="Y6" i="41"/>
  <c r="O6" i="41"/>
  <c r="P6" i="41"/>
  <c r="Q6" i="41"/>
  <c r="P8" i="41"/>
  <c r="O8" i="41"/>
  <c r="Q8" i="41"/>
  <c r="R8" i="41"/>
  <c r="S8" i="41"/>
  <c r="T8" i="41"/>
  <c r="U8" i="41"/>
  <c r="Y8" i="41"/>
  <c r="V8" i="41"/>
  <c r="W8" i="41"/>
  <c r="X8" i="41"/>
  <c r="Z8" i="41"/>
  <c r="Z17" i="41"/>
  <c r="Q17" i="41"/>
  <c r="Y17" i="41"/>
  <c r="P17" i="41"/>
  <c r="R17" i="41"/>
  <c r="S17" i="41"/>
  <c r="T17" i="41"/>
  <c r="U17" i="41"/>
  <c r="O17" i="41"/>
  <c r="V17" i="41"/>
  <c r="W17" i="41"/>
  <c r="X17" i="41"/>
  <c r="U16" i="41"/>
  <c r="X16" i="41"/>
  <c r="V16" i="41"/>
  <c r="T16" i="41"/>
  <c r="W16" i="41"/>
  <c r="Y16" i="41"/>
  <c r="Z16" i="41"/>
  <c r="Q16" i="41"/>
  <c r="O16" i="41"/>
  <c r="P16" i="41"/>
  <c r="R16" i="41"/>
  <c r="S16" i="41"/>
  <c r="P15" i="41"/>
  <c r="Q15" i="41"/>
  <c r="S15" i="41"/>
  <c r="R15" i="41"/>
  <c r="T15" i="41"/>
  <c r="W15" i="41"/>
  <c r="U15" i="41"/>
  <c r="V15" i="41"/>
  <c r="X15" i="41"/>
  <c r="Y15" i="41"/>
  <c r="O15" i="41"/>
  <c r="Z15" i="41"/>
  <c r="P14" i="41"/>
  <c r="R14" i="41"/>
  <c r="Q14" i="41"/>
  <c r="S14" i="41"/>
  <c r="O14" i="41"/>
  <c r="T14" i="41"/>
  <c r="U14" i="41"/>
  <c r="W14" i="41"/>
  <c r="V14" i="41"/>
  <c r="Z14" i="41"/>
  <c r="X14" i="41"/>
  <c r="Y14" i="41"/>
  <c r="V13" i="41"/>
  <c r="W13" i="41"/>
  <c r="X13" i="41"/>
  <c r="Y13" i="41"/>
  <c r="Z13" i="41"/>
  <c r="O13" i="41"/>
  <c r="R13" i="41"/>
  <c r="P13" i="41"/>
  <c r="U13" i="41"/>
  <c r="Q13" i="41"/>
  <c r="S13" i="41"/>
  <c r="T13" i="41"/>
  <c r="Q12" i="41"/>
  <c r="T12" i="41"/>
  <c r="R12" i="41"/>
  <c r="S12" i="41"/>
  <c r="U12" i="41"/>
  <c r="X12" i="41"/>
  <c r="V12" i="41"/>
  <c r="W12" i="41"/>
  <c r="O12" i="41"/>
  <c r="Y12" i="41"/>
  <c r="Z12" i="41"/>
  <c r="P12" i="41"/>
  <c r="P11" i="41"/>
  <c r="Q11" i="41"/>
  <c r="O11" i="41"/>
  <c r="S11" i="41"/>
  <c r="R11" i="41"/>
  <c r="T11" i="41"/>
  <c r="X11" i="41"/>
  <c r="U11" i="41"/>
  <c r="V11" i="41"/>
  <c r="W11" i="41"/>
  <c r="Y11" i="41"/>
  <c r="Z11" i="41"/>
  <c r="V10" i="41"/>
  <c r="W10" i="41"/>
  <c r="X10" i="41"/>
  <c r="Z10" i="41"/>
  <c r="Y10" i="41"/>
  <c r="O10" i="41"/>
  <c r="P10" i="41"/>
  <c r="Q10" i="41"/>
  <c r="R10" i="41"/>
  <c r="S10" i="41"/>
  <c r="T10" i="41"/>
  <c r="U10" i="41"/>
  <c r="V10" i="40"/>
  <c r="W10" i="40"/>
  <c r="X10" i="40"/>
  <c r="Y10" i="40"/>
  <c r="Z10" i="40"/>
  <c r="O10" i="40"/>
  <c r="P10" i="40"/>
  <c r="R10" i="40"/>
  <c r="Q10" i="40"/>
  <c r="S10" i="40"/>
  <c r="T10" i="40"/>
  <c r="U10" i="40"/>
  <c r="R6" i="40"/>
  <c r="S6" i="40"/>
  <c r="T6" i="40"/>
  <c r="U6" i="40"/>
  <c r="V6" i="40"/>
  <c r="W6" i="40"/>
  <c r="Y6" i="40"/>
  <c r="Z6" i="40"/>
  <c r="O6" i="40"/>
  <c r="P6" i="40"/>
  <c r="Q6" i="40"/>
  <c r="X6" i="40"/>
  <c r="W7" i="40"/>
  <c r="X7" i="40"/>
  <c r="Y7" i="40"/>
  <c r="O7" i="40"/>
  <c r="Z7" i="40"/>
  <c r="P7" i="40"/>
  <c r="Q7" i="40"/>
  <c r="S7" i="40"/>
  <c r="R7" i="40"/>
  <c r="T7" i="40"/>
  <c r="U7" i="40"/>
  <c r="V7" i="40"/>
  <c r="Y17" i="40"/>
  <c r="Z17" i="40"/>
  <c r="P17" i="40"/>
  <c r="Q17" i="40"/>
  <c r="R17" i="40"/>
  <c r="S17" i="40"/>
  <c r="U17" i="40"/>
  <c r="O17" i="40"/>
  <c r="T17" i="40"/>
  <c r="V17" i="40"/>
  <c r="W17" i="40"/>
  <c r="X17" i="40"/>
  <c r="T16" i="40"/>
  <c r="U16" i="40"/>
  <c r="V16" i="40"/>
  <c r="W16" i="40"/>
  <c r="X16" i="40"/>
  <c r="Y16" i="40"/>
  <c r="Z16" i="40"/>
  <c r="O16" i="40"/>
  <c r="P16" i="40"/>
  <c r="Q16" i="40"/>
  <c r="R16" i="40"/>
  <c r="S16" i="40"/>
  <c r="P11" i="40"/>
  <c r="R11" i="40"/>
  <c r="Q11" i="40"/>
  <c r="S11" i="40"/>
  <c r="T11" i="40"/>
  <c r="U11" i="40"/>
  <c r="V11" i="40"/>
  <c r="W11" i="40"/>
  <c r="O11" i="40"/>
  <c r="X11" i="40"/>
  <c r="Y11" i="40"/>
  <c r="Z11" i="40"/>
  <c r="O8" i="40"/>
  <c r="P8" i="40"/>
  <c r="Q8" i="40"/>
  <c r="S8" i="40"/>
  <c r="T8" i="40"/>
  <c r="U8" i="40"/>
  <c r="V8" i="40"/>
  <c r="R8" i="40"/>
  <c r="W8" i="40"/>
  <c r="X8" i="40"/>
  <c r="Y8" i="40"/>
  <c r="Z8" i="40"/>
  <c r="P15" i="40"/>
  <c r="Q15" i="40"/>
  <c r="R15" i="40"/>
  <c r="S15" i="40"/>
  <c r="T15" i="40"/>
  <c r="U15" i="40"/>
  <c r="V15" i="40"/>
  <c r="X15" i="40"/>
  <c r="W15" i="40"/>
  <c r="Y15" i="40"/>
  <c r="O15" i="40"/>
  <c r="Z15" i="40"/>
  <c r="Z14" i="40"/>
  <c r="Q14" i="40"/>
  <c r="O14" i="40"/>
  <c r="R14" i="40"/>
  <c r="S14" i="40"/>
  <c r="P14" i="40"/>
  <c r="T14" i="40"/>
  <c r="V14" i="40"/>
  <c r="U14" i="40"/>
  <c r="W14" i="40"/>
  <c r="X14" i="40"/>
  <c r="Y14" i="40"/>
  <c r="U13" i="40"/>
  <c r="V13" i="40"/>
  <c r="W13" i="40"/>
  <c r="X13" i="40"/>
  <c r="Y13" i="40"/>
  <c r="Z13" i="40"/>
  <c r="O13" i="40"/>
  <c r="P13" i="40"/>
  <c r="Q13" i="40"/>
  <c r="R13" i="40"/>
  <c r="T13" i="40"/>
  <c r="S13" i="40"/>
  <c r="Q9" i="40"/>
  <c r="R9" i="40"/>
  <c r="S9" i="40"/>
  <c r="T9" i="40"/>
  <c r="W9" i="40"/>
  <c r="U9" i="40"/>
  <c r="O9" i="40"/>
  <c r="V9" i="40"/>
  <c r="X9" i="40"/>
  <c r="Z9" i="40"/>
  <c r="Y9" i="40"/>
  <c r="P9" i="40"/>
  <c r="P12" i="40"/>
  <c r="Q12" i="40"/>
  <c r="R12" i="40"/>
  <c r="S12" i="40"/>
  <c r="T12" i="40"/>
  <c r="U12" i="40"/>
  <c r="W12" i="40"/>
  <c r="O12" i="40"/>
  <c r="Y12" i="40"/>
  <c r="X12" i="40"/>
  <c r="Z12" i="40"/>
  <c r="V12" i="40"/>
  <c r="AM19" i="44"/>
  <c r="C23" i="52" s="1"/>
  <c r="F23" i="52" s="1"/>
  <c r="AB19" i="43"/>
  <c r="AB22" i="43" s="1"/>
  <c r="AK17" i="43"/>
  <c r="AK10" i="43"/>
  <c r="AK12" i="43"/>
  <c r="AK15" i="43"/>
  <c r="AK7" i="43"/>
  <c r="AK14" i="43"/>
  <c r="Z13" i="43"/>
  <c r="AL32" i="43"/>
  <c r="AX32" i="43" s="1"/>
  <c r="AK11" i="43"/>
  <c r="AK8" i="43"/>
  <c r="AE14" i="43"/>
  <c r="AE9" i="43"/>
  <c r="AE12" i="43"/>
  <c r="AE17" i="43"/>
  <c r="AE7" i="43"/>
  <c r="AE16" i="43"/>
  <c r="AE15" i="43"/>
  <c r="AE8" i="43"/>
  <c r="AE10" i="43"/>
  <c r="AE13" i="43"/>
  <c r="AE11" i="43"/>
  <c r="AE6" i="43"/>
  <c r="AD19" i="43"/>
  <c r="AD22" i="43" s="1"/>
  <c r="U16" i="43"/>
  <c r="AG32" i="43"/>
  <c r="AS32" i="43" s="1"/>
  <c r="AJ15" i="43"/>
  <c r="AJ7" i="43"/>
  <c r="AJ16" i="43"/>
  <c r="AJ8" i="43"/>
  <c r="AJ12" i="43"/>
  <c r="AJ10" i="43"/>
  <c r="AJ9" i="43"/>
  <c r="AJ11" i="43"/>
  <c r="AJ17" i="43"/>
  <c r="AJ13" i="43"/>
  <c r="AJ6" i="43"/>
  <c r="AK9" i="43"/>
  <c r="AI15" i="43"/>
  <c r="AI8" i="43"/>
  <c r="AI13" i="43"/>
  <c r="AI16" i="43"/>
  <c r="AI6" i="43"/>
  <c r="AI10" i="43"/>
  <c r="AI12" i="43"/>
  <c r="AI7" i="43"/>
  <c r="AI17" i="43"/>
  <c r="AI14" i="43"/>
  <c r="AI11" i="43"/>
  <c r="V8" i="43"/>
  <c r="AH31" i="43"/>
  <c r="AT31" i="43" s="1"/>
  <c r="AK13" i="43"/>
  <c r="AA13" i="43"/>
  <c r="AA15" i="43"/>
  <c r="AA14" i="43"/>
  <c r="AA7" i="43"/>
  <c r="AA10" i="43"/>
  <c r="AA8" i="43"/>
  <c r="AA12" i="43"/>
  <c r="AA11" i="43"/>
  <c r="AA6" i="43"/>
  <c r="AA9" i="43"/>
  <c r="AA17" i="43"/>
  <c r="AA16" i="43"/>
  <c r="AF13" i="43"/>
  <c r="AF12" i="43"/>
  <c r="AF10" i="43"/>
  <c r="AF7" i="43"/>
  <c r="AF16" i="43"/>
  <c r="AF6" i="43"/>
  <c r="AF11" i="43"/>
  <c r="AC10" i="43"/>
  <c r="AC14" i="43"/>
  <c r="AC13" i="43"/>
  <c r="AC8" i="43"/>
  <c r="AC9" i="43"/>
  <c r="AC15" i="43"/>
  <c r="AC6" i="43"/>
  <c r="AC7" i="43"/>
  <c r="AC12" i="43"/>
  <c r="AC17" i="43"/>
  <c r="AC11" i="43"/>
  <c r="AC16" i="43"/>
  <c r="AK6" i="43"/>
  <c r="U12" i="43"/>
  <c r="Y8" i="43"/>
  <c r="V7" i="43"/>
  <c r="Z16" i="43"/>
  <c r="Z8" i="43"/>
  <c r="Y15" i="43"/>
  <c r="Y10" i="43"/>
  <c r="R19" i="43"/>
  <c r="R22" i="43" s="1"/>
  <c r="Z12" i="43"/>
  <c r="Z15" i="43"/>
  <c r="Z6" i="43"/>
  <c r="V14" i="43"/>
  <c r="V13" i="43"/>
  <c r="V17" i="43"/>
  <c r="V6" i="43"/>
  <c r="V15" i="43"/>
  <c r="V12" i="43"/>
  <c r="T16" i="43"/>
  <c r="T11" i="43"/>
  <c r="T8" i="43"/>
  <c r="T12" i="43"/>
  <c r="T7" i="43"/>
  <c r="T13" i="43"/>
  <c r="T9" i="43"/>
  <c r="T17" i="43"/>
  <c r="W16" i="43"/>
  <c r="W11" i="43"/>
  <c r="W7" i="43"/>
  <c r="W9" i="43"/>
  <c r="W10" i="43"/>
  <c r="W17" i="43"/>
  <c r="W14" i="43"/>
  <c r="W13" i="43"/>
  <c r="W15" i="43"/>
  <c r="W12" i="43"/>
  <c r="W8" i="43"/>
  <c r="W6" i="43"/>
  <c r="Z7" i="43"/>
  <c r="Z10" i="43"/>
  <c r="U14" i="43"/>
  <c r="U11" i="43"/>
  <c r="Y9" i="43"/>
  <c r="Y16" i="43"/>
  <c r="Q14" i="43"/>
  <c r="Q7" i="43"/>
  <c r="Q15" i="43"/>
  <c r="Q13" i="43"/>
  <c r="Q8" i="43"/>
  <c r="Q17" i="43"/>
  <c r="Q6" i="43"/>
  <c r="Q10" i="43"/>
  <c r="Q12" i="43"/>
  <c r="Q11" i="43"/>
  <c r="Q16" i="43"/>
  <c r="Q9" i="43"/>
  <c r="S8" i="43"/>
  <c r="S10" i="43"/>
  <c r="S12" i="43"/>
  <c r="S6" i="43"/>
  <c r="S9" i="43"/>
  <c r="S11" i="43"/>
  <c r="S14" i="43"/>
  <c r="S16" i="43"/>
  <c r="S7" i="43"/>
  <c r="S13" i="43"/>
  <c r="S17" i="43"/>
  <c r="S15" i="43"/>
  <c r="O6" i="43"/>
  <c r="O14" i="43"/>
  <c r="O10" i="43"/>
  <c r="O13" i="43"/>
  <c r="O17" i="43"/>
  <c r="O16" i="43"/>
  <c r="O11" i="43"/>
  <c r="O9" i="43"/>
  <c r="O15" i="43"/>
  <c r="O7" i="43"/>
  <c r="O8" i="43"/>
  <c r="O12" i="43"/>
  <c r="Y6" i="43"/>
  <c r="V10" i="43"/>
  <c r="Z14" i="43"/>
  <c r="U8" i="43"/>
  <c r="Z17" i="43"/>
  <c r="U9" i="43"/>
  <c r="U10" i="43"/>
  <c r="T10" i="43"/>
  <c r="E19" i="43"/>
  <c r="E22" i="43" s="1"/>
  <c r="T6" i="43"/>
  <c r="Y17" i="43"/>
  <c r="V9" i="43"/>
  <c r="T14" i="43"/>
  <c r="V11" i="43"/>
  <c r="U15" i="43"/>
  <c r="Z9" i="43"/>
  <c r="X10" i="43"/>
  <c r="X15" i="43"/>
  <c r="X14" i="43"/>
  <c r="X6" i="43"/>
  <c r="X8" i="43"/>
  <c r="X13" i="43"/>
  <c r="X17" i="43"/>
  <c r="X11" i="43"/>
  <c r="X12" i="43"/>
  <c r="X16" i="43"/>
  <c r="X9" i="43"/>
  <c r="X7" i="43"/>
  <c r="Y13" i="43"/>
  <c r="Y12" i="43"/>
  <c r="V16" i="43"/>
  <c r="U13" i="43"/>
  <c r="U6" i="43"/>
  <c r="U7" i="43"/>
  <c r="U17" i="43"/>
  <c r="Y7" i="43"/>
  <c r="Z11" i="43"/>
  <c r="Y11" i="43"/>
  <c r="Y14" i="43"/>
  <c r="P19" i="43"/>
  <c r="P22" i="43" s="1"/>
  <c r="C22" i="43"/>
  <c r="H19" i="43"/>
  <c r="H22" i="43" s="1"/>
  <c r="K19" i="43"/>
  <c r="K22" i="43" s="1"/>
  <c r="F19" i="43"/>
  <c r="F22" i="43" s="1"/>
  <c r="D19" i="43"/>
  <c r="D22" i="43" s="1"/>
  <c r="I19" i="43"/>
  <c r="I22" i="43" s="1"/>
  <c r="G19" i="43"/>
  <c r="G22" i="43" s="1"/>
  <c r="L19" i="43"/>
  <c r="L22" i="43" s="1"/>
  <c r="N19" i="43"/>
  <c r="N22" i="43" s="1"/>
  <c r="J19" i="43"/>
  <c r="J22" i="43" s="1"/>
  <c r="M19" i="43"/>
  <c r="M22" i="43" s="1"/>
  <c r="B19" i="38"/>
  <c r="K33" i="14"/>
  <c r="B19" i="41"/>
  <c r="C8" i="52" s="1"/>
  <c r="E7" i="14"/>
  <c r="G7" i="14" s="1"/>
  <c r="I33" i="14"/>
  <c r="F9" i="14"/>
  <c r="G9" i="14" s="1"/>
  <c r="B19" i="40"/>
  <c r="C7" i="52" s="1"/>
  <c r="B19" i="17"/>
  <c r="B7" i="52" s="1"/>
  <c r="L10" i="39"/>
  <c r="C18" i="14"/>
  <c r="E6" i="14"/>
  <c r="G6" i="14" s="1"/>
  <c r="E5" i="14"/>
  <c r="L31" i="23"/>
  <c r="X31" i="23" s="1"/>
  <c r="AJ31" i="23" s="1"/>
  <c r="AV31" i="23" s="1"/>
  <c r="N31" i="23"/>
  <c r="Z31" i="23" s="1"/>
  <c r="AL31" i="23" s="1"/>
  <c r="AX31" i="23" s="1"/>
  <c r="C32" i="23"/>
  <c r="O32" i="23" s="1"/>
  <c r="AA32" i="23" s="1"/>
  <c r="AM32" i="23" s="1"/>
  <c r="L30" i="23"/>
  <c r="X30" i="23" s="1"/>
  <c r="AJ30" i="23" s="1"/>
  <c r="AV30" i="23" s="1"/>
  <c r="D32" i="23"/>
  <c r="P32" i="23" s="1"/>
  <c r="AB32" i="23" s="1"/>
  <c r="AN32" i="23" s="1"/>
  <c r="G30" i="23"/>
  <c r="S30" i="23" s="1"/>
  <c r="AE30" i="23" s="1"/>
  <c r="AQ30" i="23" s="1"/>
  <c r="H30" i="23"/>
  <c r="T30" i="23" s="1"/>
  <c r="AF30" i="23" s="1"/>
  <c r="AR30" i="23" s="1"/>
  <c r="J30" i="23"/>
  <c r="V30" i="23" s="1"/>
  <c r="AH30" i="23" s="1"/>
  <c r="AT30" i="23" s="1"/>
  <c r="K30" i="23"/>
  <c r="W30" i="23" s="1"/>
  <c r="AI30" i="23" s="1"/>
  <c r="AU30" i="23" s="1"/>
  <c r="M30" i="23"/>
  <c r="Y30" i="23" s="1"/>
  <c r="AK30" i="23" s="1"/>
  <c r="AW30" i="23" s="1"/>
  <c r="E32" i="23"/>
  <c r="Q32" i="23" s="1"/>
  <c r="AC32" i="23" s="1"/>
  <c r="AO32" i="23" s="1"/>
  <c r="N30" i="23"/>
  <c r="Z30" i="23" s="1"/>
  <c r="AL30" i="23" s="1"/>
  <c r="AX30" i="23" s="1"/>
  <c r="K31" i="23"/>
  <c r="W31" i="23" s="1"/>
  <c r="AI31" i="23" s="1"/>
  <c r="M31" i="23"/>
  <c r="Y31" i="23" s="1"/>
  <c r="AK31" i="23" s="1"/>
  <c r="AW31" i="23" s="1"/>
  <c r="F32" i="23"/>
  <c r="R32" i="23" s="1"/>
  <c r="AD32" i="23" s="1"/>
  <c r="AP32" i="23" s="1"/>
  <c r="C31" i="23"/>
  <c r="O31" i="23" s="1"/>
  <c r="AA31" i="23" s="1"/>
  <c r="AM31" i="23" s="1"/>
  <c r="G32" i="23"/>
  <c r="S32" i="23" s="1"/>
  <c r="AE32" i="23" s="1"/>
  <c r="AQ32" i="23" s="1"/>
  <c r="I30" i="23"/>
  <c r="U30" i="23" s="1"/>
  <c r="AG30" i="23" s="1"/>
  <c r="AS30" i="23" s="1"/>
  <c r="D31" i="23"/>
  <c r="P31" i="23" s="1"/>
  <c r="AB31" i="23" s="1"/>
  <c r="AN31" i="23" s="1"/>
  <c r="H32" i="23"/>
  <c r="T32" i="23" s="1"/>
  <c r="AF32" i="23" s="1"/>
  <c r="AR32" i="23" s="1"/>
  <c r="E31" i="23"/>
  <c r="Q31" i="23" s="1"/>
  <c r="AC31" i="23" s="1"/>
  <c r="AO31" i="23" s="1"/>
  <c r="I32" i="23"/>
  <c r="U32" i="23" s="1"/>
  <c r="AG32" i="23" s="1"/>
  <c r="AS32" i="23" s="1"/>
  <c r="F31" i="23"/>
  <c r="R31" i="23" s="1"/>
  <c r="AD31" i="23" s="1"/>
  <c r="AP31" i="23" s="1"/>
  <c r="J32" i="23"/>
  <c r="V32" i="23" s="1"/>
  <c r="AH32" i="23" s="1"/>
  <c r="AT32" i="23" s="1"/>
  <c r="C30" i="23"/>
  <c r="O30" i="23" s="1"/>
  <c r="AA30" i="23" s="1"/>
  <c r="AM30" i="23" s="1"/>
  <c r="D30" i="23"/>
  <c r="P30" i="23" s="1"/>
  <c r="AB30" i="23" s="1"/>
  <c r="AN30" i="23" s="1"/>
  <c r="H31" i="23"/>
  <c r="T31" i="23" s="1"/>
  <c r="AF31" i="23" s="1"/>
  <c r="AR31" i="23" s="1"/>
  <c r="L32" i="23"/>
  <c r="X32" i="23" s="1"/>
  <c r="AJ32" i="23" s="1"/>
  <c r="AV32" i="23" s="1"/>
  <c r="K32" i="23"/>
  <c r="W32" i="23" s="1"/>
  <c r="AI32" i="23" s="1"/>
  <c r="AU32" i="23" s="1"/>
  <c r="E30" i="23"/>
  <c r="Q30" i="23" s="1"/>
  <c r="AC30" i="23" s="1"/>
  <c r="AO30" i="23" s="1"/>
  <c r="I31" i="23"/>
  <c r="U31" i="23" s="1"/>
  <c r="AG31" i="23" s="1"/>
  <c r="AS31" i="23" s="1"/>
  <c r="M32" i="23"/>
  <c r="Y32" i="23" s="1"/>
  <c r="AK32" i="23" s="1"/>
  <c r="AW32" i="23" s="1"/>
  <c r="G31" i="23"/>
  <c r="S31" i="23" s="1"/>
  <c r="AE31" i="23" s="1"/>
  <c r="AQ31" i="23" s="1"/>
  <c r="F30" i="23"/>
  <c r="R30" i="23" s="1"/>
  <c r="AD30" i="23" s="1"/>
  <c r="AP30" i="23" s="1"/>
  <c r="J31" i="23"/>
  <c r="V31" i="23" s="1"/>
  <c r="AH31" i="23" s="1"/>
  <c r="AT31" i="23" s="1"/>
  <c r="J31" i="17"/>
  <c r="V31" i="17" s="1"/>
  <c r="AH31" i="17" s="1"/>
  <c r="AT31" i="17" s="1"/>
  <c r="M31" i="17"/>
  <c r="Y31" i="17" s="1"/>
  <c r="AK31" i="17" s="1"/>
  <c r="AW31" i="17" s="1"/>
  <c r="L31" i="17"/>
  <c r="X31" i="17" s="1"/>
  <c r="AJ31" i="17" s="1"/>
  <c r="AV31" i="17" s="1"/>
  <c r="K31" i="17"/>
  <c r="W31" i="17" s="1"/>
  <c r="AI31" i="17" s="1"/>
  <c r="AU31" i="17" s="1"/>
  <c r="C32" i="17"/>
  <c r="O32" i="17" s="1"/>
  <c r="AA32" i="17" s="1"/>
  <c r="AM32" i="17" s="1"/>
  <c r="M30" i="17"/>
  <c r="Y30" i="17" s="1"/>
  <c r="E32" i="17"/>
  <c r="Q32" i="17" s="1"/>
  <c r="AC32" i="17" s="1"/>
  <c r="AO32" i="17" s="1"/>
  <c r="J30" i="17"/>
  <c r="V30" i="17" s="1"/>
  <c r="L30" i="17"/>
  <c r="X30" i="17" s="1"/>
  <c r="AJ30" i="17" s="1"/>
  <c r="C31" i="17"/>
  <c r="O31" i="17" s="1"/>
  <c r="AA31" i="17" s="1"/>
  <c r="AM31" i="17" s="1"/>
  <c r="G32" i="17"/>
  <c r="S32" i="17" s="1"/>
  <c r="AE32" i="17" s="1"/>
  <c r="AQ32" i="17" s="1"/>
  <c r="H30" i="17"/>
  <c r="T30" i="17" s="1"/>
  <c r="AF30" i="17" s="1"/>
  <c r="N30" i="17"/>
  <c r="Z30" i="17" s="1"/>
  <c r="AL30" i="17" s="1"/>
  <c r="AL10" i="17" s="1"/>
  <c r="F32" i="17"/>
  <c r="R32" i="17" s="1"/>
  <c r="AD32" i="17" s="1"/>
  <c r="AP32" i="17" s="1"/>
  <c r="D31" i="17"/>
  <c r="P31" i="17" s="1"/>
  <c r="AB31" i="17" s="1"/>
  <c r="AB9" i="17" s="1"/>
  <c r="H32" i="17"/>
  <c r="T32" i="17" s="1"/>
  <c r="AF32" i="17" s="1"/>
  <c r="AR32" i="17" s="1"/>
  <c r="E31" i="17"/>
  <c r="Q31" i="17" s="1"/>
  <c r="AC31" i="17" s="1"/>
  <c r="AO31" i="17" s="1"/>
  <c r="I32" i="17"/>
  <c r="U32" i="17" s="1"/>
  <c r="AG32" i="17" s="1"/>
  <c r="AS32" i="17" s="1"/>
  <c r="F31" i="17"/>
  <c r="R31" i="17" s="1"/>
  <c r="AD31" i="17" s="1"/>
  <c r="AP31" i="17" s="1"/>
  <c r="J32" i="17"/>
  <c r="V32" i="17" s="1"/>
  <c r="AH32" i="17" s="1"/>
  <c r="AT32" i="17" s="1"/>
  <c r="N32" i="17"/>
  <c r="Z32" i="17" s="1"/>
  <c r="AL32" i="17" s="1"/>
  <c r="AX32" i="17" s="1"/>
  <c r="G30" i="17"/>
  <c r="S30" i="17" s="1"/>
  <c r="AE30" i="17" s="1"/>
  <c r="I30" i="17"/>
  <c r="U30" i="17" s="1"/>
  <c r="K30" i="17"/>
  <c r="W30" i="17" s="1"/>
  <c r="AI30" i="17" s="1"/>
  <c r="AU30" i="17" s="1"/>
  <c r="C30" i="17"/>
  <c r="O30" i="17" s="1"/>
  <c r="AA30" i="17" s="1"/>
  <c r="K32" i="17"/>
  <c r="W32" i="17" s="1"/>
  <c r="D30" i="17"/>
  <c r="P30" i="17" s="1"/>
  <c r="AB30" i="17" s="1"/>
  <c r="H31" i="17"/>
  <c r="T31" i="17" s="1"/>
  <c r="AF31" i="17" s="1"/>
  <c r="AR31" i="17" s="1"/>
  <c r="L32" i="17"/>
  <c r="X32" i="17" s="1"/>
  <c r="AJ32" i="17" s="1"/>
  <c r="AV32" i="17" s="1"/>
  <c r="F30" i="17"/>
  <c r="R30" i="17" s="1"/>
  <c r="AD30" i="17" s="1"/>
  <c r="N31" i="17"/>
  <c r="Z31" i="17" s="1"/>
  <c r="AL31" i="17" s="1"/>
  <c r="D32" i="17"/>
  <c r="P32" i="17" s="1"/>
  <c r="AB32" i="17" s="1"/>
  <c r="AN32" i="17" s="1"/>
  <c r="G31" i="17"/>
  <c r="S31" i="17" s="1"/>
  <c r="AE31" i="17" s="1"/>
  <c r="E30" i="17"/>
  <c r="Q30" i="17" s="1"/>
  <c r="AC30" i="17" s="1"/>
  <c r="I31" i="17"/>
  <c r="U31" i="17" s="1"/>
  <c r="AG31" i="17" s="1"/>
  <c r="AS31" i="17" s="1"/>
  <c r="M32" i="52" l="1"/>
  <c r="F32" i="52"/>
  <c r="C37" i="52"/>
  <c r="D23" i="45"/>
  <c r="D21" i="45"/>
  <c r="D38" i="45"/>
  <c r="D37" i="45"/>
  <c r="D40" i="45"/>
  <c r="D43" i="45"/>
  <c r="D44" i="45"/>
  <c r="D17" i="45"/>
  <c r="D47" i="45"/>
  <c r="D33" i="45"/>
  <c r="D31" i="45"/>
  <c r="D28" i="45"/>
  <c r="D26" i="45"/>
  <c r="D24" i="45"/>
  <c r="D52" i="45"/>
  <c r="D29" i="45"/>
  <c r="D27" i="45"/>
  <c r="D42" i="45"/>
  <c r="D22" i="45"/>
  <c r="D32" i="45"/>
  <c r="D46" i="45"/>
  <c r="D30" i="45"/>
  <c r="D39" i="45"/>
  <c r="D18" i="45"/>
  <c r="D20" i="45"/>
  <c r="D36" i="45"/>
  <c r="D45" i="45"/>
  <c r="D41" i="45"/>
  <c r="D35" i="45"/>
  <c r="D19" i="45"/>
  <c r="D25" i="45"/>
  <c r="D49" i="45"/>
  <c r="D34" i="45"/>
  <c r="D51" i="45"/>
  <c r="D50" i="45"/>
  <c r="D48" i="45"/>
  <c r="AO19" i="40"/>
  <c r="C43" i="52" s="1"/>
  <c r="C109" i="52"/>
  <c r="AW7" i="23"/>
  <c r="AW9" i="23"/>
  <c r="AW17" i="23"/>
  <c r="AW8" i="23"/>
  <c r="AW15" i="23"/>
  <c r="AW10" i="23"/>
  <c r="AW12" i="23"/>
  <c r="AW13" i="23"/>
  <c r="AW6" i="23"/>
  <c r="AW11" i="23"/>
  <c r="AW16" i="23"/>
  <c r="AW14" i="23"/>
  <c r="AU14" i="23"/>
  <c r="AU9" i="23"/>
  <c r="AX17" i="23"/>
  <c r="AX11" i="23"/>
  <c r="AX8" i="23"/>
  <c r="AX13" i="23"/>
  <c r="AX6" i="23"/>
  <c r="AX9" i="23"/>
  <c r="AX14" i="23"/>
  <c r="AX10" i="23"/>
  <c r="AX15" i="23"/>
  <c r="AX16" i="23"/>
  <c r="AX7" i="23"/>
  <c r="AX12" i="23"/>
  <c r="AR13" i="23"/>
  <c r="AR12" i="23"/>
  <c r="AR10" i="23"/>
  <c r="AR17" i="23"/>
  <c r="AR14" i="23"/>
  <c r="AR7" i="23"/>
  <c r="AR16" i="23"/>
  <c r="AR9" i="23"/>
  <c r="AR6" i="23"/>
  <c r="AR15" i="23"/>
  <c r="AR8" i="23"/>
  <c r="AR11" i="23"/>
  <c r="AT14" i="23"/>
  <c r="AT16" i="23"/>
  <c r="AT9" i="23"/>
  <c r="AT6" i="23"/>
  <c r="AT17" i="23"/>
  <c r="AT10" i="23"/>
  <c r="AT15" i="23"/>
  <c r="AT8" i="23"/>
  <c r="AT12" i="23"/>
  <c r="AT13" i="23"/>
  <c r="AT7" i="23"/>
  <c r="AT11" i="23"/>
  <c r="AV9" i="23"/>
  <c r="AV7" i="23"/>
  <c r="AV13" i="23"/>
  <c r="AV16" i="23"/>
  <c r="AV14" i="23"/>
  <c r="AV8" i="23"/>
  <c r="AV17" i="23"/>
  <c r="AV15" i="23"/>
  <c r="AV10" i="23"/>
  <c r="AV6" i="23"/>
  <c r="AV12" i="23"/>
  <c r="AV11" i="23"/>
  <c r="AP11" i="23"/>
  <c r="AP14" i="23"/>
  <c r="AP13" i="23"/>
  <c r="AP17" i="23"/>
  <c r="AP12" i="23"/>
  <c r="AP10" i="23"/>
  <c r="AP16" i="23"/>
  <c r="AP6" i="23"/>
  <c r="AP7" i="23"/>
  <c r="AP9" i="23"/>
  <c r="AP15" i="23"/>
  <c r="AP8" i="23"/>
  <c r="AS10" i="23"/>
  <c r="AS16" i="23"/>
  <c r="AS7" i="23"/>
  <c r="AS17" i="23"/>
  <c r="AS9" i="23"/>
  <c r="AS15" i="23"/>
  <c r="AS8" i="23"/>
  <c r="AS6" i="23"/>
  <c r="AS14" i="23"/>
  <c r="AS12" i="23"/>
  <c r="AS11" i="23"/>
  <c r="AS13" i="23"/>
  <c r="AM14" i="23"/>
  <c r="AM12" i="23"/>
  <c r="AM13" i="23"/>
  <c r="AM17" i="23"/>
  <c r="AM6" i="23"/>
  <c r="AM9" i="23"/>
  <c r="AM15" i="23"/>
  <c r="AM11" i="23"/>
  <c r="AM10" i="23"/>
  <c r="AM8" i="23"/>
  <c r="AM16" i="23"/>
  <c r="AM7" i="23"/>
  <c r="AN10" i="23"/>
  <c r="AN13" i="23"/>
  <c r="AN12" i="23"/>
  <c r="AN6" i="23"/>
  <c r="AN9" i="23"/>
  <c r="AN11" i="23"/>
  <c r="AN14" i="23"/>
  <c r="AN8" i="23"/>
  <c r="AN17" i="23"/>
  <c r="AN16" i="23"/>
  <c r="AN7" i="23"/>
  <c r="AN15" i="23"/>
  <c r="AO6" i="23"/>
  <c r="AO9" i="23"/>
  <c r="AO11" i="23"/>
  <c r="AO16" i="23"/>
  <c r="AO13" i="23"/>
  <c r="AO14" i="23"/>
  <c r="AO8" i="23"/>
  <c r="AO10" i="23"/>
  <c r="AO7" i="23"/>
  <c r="AO17" i="23"/>
  <c r="AO12" i="23"/>
  <c r="AO15" i="23"/>
  <c r="AQ14" i="23"/>
  <c r="AQ15" i="23"/>
  <c r="AQ16" i="23"/>
  <c r="AQ10" i="23"/>
  <c r="AQ13" i="23"/>
  <c r="AQ17" i="23"/>
  <c r="AQ12" i="23"/>
  <c r="AQ7" i="23"/>
  <c r="AQ8" i="23"/>
  <c r="AQ6" i="23"/>
  <c r="AQ9" i="23"/>
  <c r="AQ11" i="23"/>
  <c r="AI6" i="23"/>
  <c r="AU31" i="23"/>
  <c r="AU10" i="23" s="1"/>
  <c r="AB8" i="17"/>
  <c r="AD8" i="17"/>
  <c r="AF7" i="17"/>
  <c r="AJ7" i="17"/>
  <c r="AA9" i="17"/>
  <c r="AD15" i="17"/>
  <c r="AE6" i="17"/>
  <c r="AD9" i="17"/>
  <c r="AA13" i="17"/>
  <c r="AM30" i="17"/>
  <c r="AD16" i="17"/>
  <c r="AE13" i="17"/>
  <c r="AQ31" i="17"/>
  <c r="AJ17" i="17"/>
  <c r="AC12" i="17"/>
  <c r="AO30" i="17"/>
  <c r="AL17" i="17"/>
  <c r="AX31" i="17"/>
  <c r="AB10" i="17"/>
  <c r="AN31" i="17"/>
  <c r="AD6" i="17"/>
  <c r="AL11" i="17"/>
  <c r="AX30" i="17"/>
  <c r="AD10" i="17"/>
  <c r="AP30" i="17"/>
  <c r="AF11" i="17"/>
  <c r="AR30" i="17"/>
  <c r="AJ9" i="17"/>
  <c r="AV30" i="17"/>
  <c r="AE15" i="17"/>
  <c r="AQ30" i="17"/>
  <c r="AB15" i="17"/>
  <c r="AN30" i="17"/>
  <c r="AB13" i="17"/>
  <c r="AO19" i="43"/>
  <c r="AO22" i="43" s="1"/>
  <c r="AU15" i="43"/>
  <c r="AU14" i="43"/>
  <c r="AU7" i="43"/>
  <c r="AU11" i="43"/>
  <c r="AU8" i="43"/>
  <c r="AU16" i="43"/>
  <c r="AU12" i="43"/>
  <c r="AU6" i="43"/>
  <c r="AU9" i="43"/>
  <c r="AU17" i="43"/>
  <c r="AU10" i="43"/>
  <c r="AU13" i="43"/>
  <c r="AT17" i="43"/>
  <c r="AT13" i="43"/>
  <c r="AT16" i="43"/>
  <c r="AT7" i="43"/>
  <c r="AT12" i="43"/>
  <c r="AT9" i="43"/>
  <c r="AT11" i="43"/>
  <c r="AT10" i="43"/>
  <c r="AT8" i="43"/>
  <c r="AT14" i="43"/>
  <c r="AT6" i="43"/>
  <c r="AT15" i="43"/>
  <c r="AY19" i="43"/>
  <c r="B14" i="52" s="1"/>
  <c r="AM19" i="43"/>
  <c r="AM22" i="43" s="1"/>
  <c r="AR19" i="43"/>
  <c r="AR22" i="43" s="1"/>
  <c r="AW10" i="43"/>
  <c r="AP19" i="43"/>
  <c r="AP22" i="43" s="1"/>
  <c r="AW17" i="43"/>
  <c r="AW9" i="43"/>
  <c r="AW6" i="43"/>
  <c r="AW7" i="43"/>
  <c r="AS14" i="43"/>
  <c r="AS6" i="43"/>
  <c r="AS15" i="43"/>
  <c r="AS12" i="43"/>
  <c r="AS10" i="43"/>
  <c r="AS8" i="43"/>
  <c r="AS11" i="43"/>
  <c r="AS9" i="43"/>
  <c r="AS13" i="43"/>
  <c r="AS7" i="43"/>
  <c r="AS16" i="43"/>
  <c r="AS17" i="43"/>
  <c r="AN19" i="43"/>
  <c r="AN22" i="43" s="1"/>
  <c r="AX15" i="43"/>
  <c r="AX9" i="43"/>
  <c r="AX12" i="43"/>
  <c r="AX8" i="43"/>
  <c r="AX13" i="43"/>
  <c r="AX14" i="43"/>
  <c r="AX11" i="43"/>
  <c r="AX16" i="43"/>
  <c r="AX10" i="43"/>
  <c r="AX17" i="43"/>
  <c r="AX6" i="43"/>
  <c r="AX7" i="43"/>
  <c r="AV14" i="43"/>
  <c r="AV9" i="43"/>
  <c r="AV8" i="43"/>
  <c r="AV10" i="43"/>
  <c r="AV6" i="43"/>
  <c r="AV11" i="43"/>
  <c r="AV7" i="43"/>
  <c r="AV12" i="43"/>
  <c r="AV15" i="43"/>
  <c r="AV17" i="43"/>
  <c r="AV16" i="43"/>
  <c r="AV13" i="43"/>
  <c r="AW13" i="43"/>
  <c r="AW12" i="43"/>
  <c r="C11" i="52"/>
  <c r="C104" i="52"/>
  <c r="C95" i="52"/>
  <c r="M23" i="52"/>
  <c r="Z19" i="41"/>
  <c r="Z22" i="41" s="1"/>
  <c r="W19" i="41"/>
  <c r="W22" i="41" s="1"/>
  <c r="AN17" i="41"/>
  <c r="U19" i="40"/>
  <c r="U22" i="40" s="1"/>
  <c r="AM24" i="44"/>
  <c r="AY22" i="43"/>
  <c r="B50" i="52" s="1"/>
  <c r="F50" i="52" s="1"/>
  <c r="X19" i="41"/>
  <c r="X22" i="41" s="1"/>
  <c r="AN7" i="41"/>
  <c r="T19" i="41"/>
  <c r="T22" i="41" s="1"/>
  <c r="U19" i="41"/>
  <c r="U22" i="41" s="1"/>
  <c r="AN11" i="41"/>
  <c r="V19" i="41"/>
  <c r="V22" i="41" s="1"/>
  <c r="AN10" i="41"/>
  <c r="S19" i="41"/>
  <c r="S22" i="41" s="1"/>
  <c r="R19" i="41"/>
  <c r="R22" i="41" s="1"/>
  <c r="AN14" i="41"/>
  <c r="AN13" i="41"/>
  <c r="AN8" i="41"/>
  <c r="AN9" i="41"/>
  <c r="AN12" i="41"/>
  <c r="AN16" i="41"/>
  <c r="Q19" i="41"/>
  <c r="Q22" i="41" s="1"/>
  <c r="AN15" i="41"/>
  <c r="P19" i="41"/>
  <c r="P22" i="41" s="1"/>
  <c r="AN6" i="41"/>
  <c r="O19" i="41"/>
  <c r="O22" i="41" s="1"/>
  <c r="Y19" i="41"/>
  <c r="Y22" i="41" s="1"/>
  <c r="AN15" i="40"/>
  <c r="T19" i="40"/>
  <c r="T22" i="40" s="1"/>
  <c r="S19" i="40"/>
  <c r="S22" i="40" s="1"/>
  <c r="R19" i="40"/>
  <c r="R22" i="40" s="1"/>
  <c r="AN17" i="40"/>
  <c r="AN7" i="40"/>
  <c r="AN8" i="40"/>
  <c r="AN12" i="40"/>
  <c r="AN16" i="40"/>
  <c r="X19" i="40"/>
  <c r="X22" i="40" s="1"/>
  <c r="Q19" i="40"/>
  <c r="Q22" i="40" s="1"/>
  <c r="AN9" i="40"/>
  <c r="P19" i="40"/>
  <c r="P22" i="40" s="1"/>
  <c r="AN10" i="40"/>
  <c r="AN11" i="40"/>
  <c r="AN6" i="40"/>
  <c r="O19" i="40"/>
  <c r="O22" i="40" s="1"/>
  <c r="Z19" i="40"/>
  <c r="Z22" i="40" s="1"/>
  <c r="AN13" i="40"/>
  <c r="AN14" i="40"/>
  <c r="Y19" i="40"/>
  <c r="Y22" i="40" s="1"/>
  <c r="W19" i="40"/>
  <c r="W22" i="40" s="1"/>
  <c r="V19" i="40"/>
  <c r="V22" i="40" s="1"/>
  <c r="AK15" i="23"/>
  <c r="AL14" i="23"/>
  <c r="AJ14" i="23"/>
  <c r="AK14" i="23"/>
  <c r="AD14" i="23"/>
  <c r="AA14" i="23"/>
  <c r="AC14" i="23"/>
  <c r="AB14" i="23"/>
  <c r="AI14" i="23"/>
  <c r="AD6" i="23"/>
  <c r="AK6" i="23"/>
  <c r="AJ6" i="23"/>
  <c r="AL6" i="23"/>
  <c r="AF6" i="23"/>
  <c r="AB6" i="23"/>
  <c r="AH6" i="23"/>
  <c r="AG6" i="23"/>
  <c r="AC6" i="23"/>
  <c r="AA6" i="23"/>
  <c r="AE6" i="23"/>
  <c r="AL9" i="23"/>
  <c r="AJ9" i="23"/>
  <c r="AG9" i="23"/>
  <c r="AA9" i="23"/>
  <c r="AE9" i="23"/>
  <c r="AF9" i="23"/>
  <c r="AB9" i="23"/>
  <c r="AC9" i="23"/>
  <c r="AK9" i="23"/>
  <c r="AI9" i="23"/>
  <c r="AH9" i="23"/>
  <c r="AD9" i="23"/>
  <c r="AA13" i="23"/>
  <c r="AE13" i="23"/>
  <c r="AG13" i="23"/>
  <c r="AL13" i="23"/>
  <c r="AJ13" i="23"/>
  <c r="AF13" i="23"/>
  <c r="AB13" i="23"/>
  <c r="AC13" i="23"/>
  <c r="AH13" i="23"/>
  <c r="AI13" i="23"/>
  <c r="AK13" i="23"/>
  <c r="AD13" i="23"/>
  <c r="AD17" i="23"/>
  <c r="AE14" i="23"/>
  <c r="AL17" i="23"/>
  <c r="AG17" i="23"/>
  <c r="AE17" i="23"/>
  <c r="AJ17" i="23"/>
  <c r="AA17" i="23"/>
  <c r="AI17" i="23"/>
  <c r="AF17" i="23"/>
  <c r="AH17" i="23"/>
  <c r="AK17" i="23"/>
  <c r="AH11" i="23"/>
  <c r="AA11" i="23"/>
  <c r="AL11" i="23"/>
  <c r="AJ11" i="23"/>
  <c r="AG11" i="23"/>
  <c r="AF11" i="23"/>
  <c r="AI11" i="23"/>
  <c r="AD11" i="23"/>
  <c r="AB11" i="23"/>
  <c r="AE11" i="23"/>
  <c r="AK11" i="23"/>
  <c r="AC11" i="23"/>
  <c r="AH14" i="23"/>
  <c r="AC17" i="23"/>
  <c r="AC10" i="23"/>
  <c r="AB10" i="23"/>
  <c r="AA10" i="23"/>
  <c r="AK10" i="23"/>
  <c r="AL10" i="23"/>
  <c r="AD10" i="23"/>
  <c r="AJ10" i="23"/>
  <c r="AF10" i="23"/>
  <c r="AG10" i="23"/>
  <c r="AE10" i="23"/>
  <c r="AH10" i="23"/>
  <c r="AI10" i="23"/>
  <c r="AF14" i="23"/>
  <c r="AA8" i="23"/>
  <c r="AL8" i="23"/>
  <c r="AK8" i="23"/>
  <c r="AJ8" i="23"/>
  <c r="AC8" i="23"/>
  <c r="AB8" i="23"/>
  <c r="AH8" i="23"/>
  <c r="AF8" i="23"/>
  <c r="AD8" i="23"/>
  <c r="AI8" i="23"/>
  <c r="AG8" i="23"/>
  <c r="AE8" i="23"/>
  <c r="AL12" i="23"/>
  <c r="AC12" i="23"/>
  <c r="AK12" i="23"/>
  <c r="AJ12" i="23"/>
  <c r="AA12" i="23"/>
  <c r="AB12" i="23"/>
  <c r="AH12" i="23"/>
  <c r="AF12" i="23"/>
  <c r="AD12" i="23"/>
  <c r="AI12" i="23"/>
  <c r="AE12" i="23"/>
  <c r="AG12" i="23"/>
  <c r="AB17" i="23"/>
  <c r="AJ16" i="23"/>
  <c r="AA16" i="23"/>
  <c r="AK16" i="23"/>
  <c r="AC16" i="23"/>
  <c r="AL16" i="23"/>
  <c r="AE16" i="23"/>
  <c r="AB16" i="23"/>
  <c r="AH16" i="23"/>
  <c r="AF16" i="23"/>
  <c r="AG16" i="23"/>
  <c r="AD16" i="23"/>
  <c r="AI16" i="23"/>
  <c r="AG14" i="23"/>
  <c r="AH7" i="23"/>
  <c r="AG7" i="23"/>
  <c r="AB7" i="23"/>
  <c r="AL7" i="23"/>
  <c r="AK7" i="23"/>
  <c r="AF7" i="23"/>
  <c r="AC7" i="23"/>
  <c r="AA7" i="23"/>
  <c r="AJ7" i="23"/>
  <c r="AI7" i="23"/>
  <c r="AD7" i="23"/>
  <c r="AE7" i="23"/>
  <c r="AJ15" i="23"/>
  <c r="AH15" i="23"/>
  <c r="AG15" i="23"/>
  <c r="AF15" i="23"/>
  <c r="AA15" i="23"/>
  <c r="AL15" i="23"/>
  <c r="AI15" i="23"/>
  <c r="AD15" i="23"/>
  <c r="AE15" i="23"/>
  <c r="AC15" i="23"/>
  <c r="AB15" i="23"/>
  <c r="AL16" i="17"/>
  <c r="AC6" i="17"/>
  <c r="AD13" i="17"/>
  <c r="AL8" i="17"/>
  <c r="AC9" i="17"/>
  <c r="AA10" i="17"/>
  <c r="AC13" i="17"/>
  <c r="AF12" i="17"/>
  <c r="AF13" i="17"/>
  <c r="AJ14" i="17"/>
  <c r="AE9" i="17"/>
  <c r="AB6" i="17"/>
  <c r="AJ12" i="17"/>
  <c r="AF9" i="17"/>
  <c r="AF14" i="17"/>
  <c r="AJ6" i="17"/>
  <c r="AA7" i="17"/>
  <c r="AL14" i="17"/>
  <c r="AJ11" i="17"/>
  <c r="AF16" i="17"/>
  <c r="AE17" i="17"/>
  <c r="AA6" i="17"/>
  <c r="AB7" i="17"/>
  <c r="AL13" i="17"/>
  <c r="AL9" i="17"/>
  <c r="AE11" i="17"/>
  <c r="AC8" i="17"/>
  <c r="AB17" i="17"/>
  <c r="AC7" i="17"/>
  <c r="AA14" i="17"/>
  <c r="AF10" i="17"/>
  <c r="W11" i="17"/>
  <c r="AI32" i="17"/>
  <c r="AC17" i="17"/>
  <c r="AL6" i="17"/>
  <c r="AE12" i="17"/>
  <c r="AD7" i="17"/>
  <c r="AJ8" i="17"/>
  <c r="AB14" i="17"/>
  <c r="AE10" i="17"/>
  <c r="AE7" i="17"/>
  <c r="V7" i="17"/>
  <c r="AH30" i="17"/>
  <c r="AT30" i="17" s="1"/>
  <c r="AE16" i="17"/>
  <c r="AD17" i="17"/>
  <c r="AF8" i="17"/>
  <c r="AC14" i="17"/>
  <c r="AA11" i="17"/>
  <c r="U6" i="17"/>
  <c r="AG30" i="17"/>
  <c r="AS30" i="17" s="1"/>
  <c r="AJ16" i="17"/>
  <c r="AF17" i="17"/>
  <c r="AL12" i="17"/>
  <c r="AL7" i="17"/>
  <c r="AD14" i="17"/>
  <c r="AJ10" i="17"/>
  <c r="AB11" i="17"/>
  <c r="AL15" i="17"/>
  <c r="AE14" i="17"/>
  <c r="Y13" i="17"/>
  <c r="AK30" i="17"/>
  <c r="AW30" i="17" s="1"/>
  <c r="AD12" i="17"/>
  <c r="AJ13" i="17"/>
  <c r="AC10" i="17"/>
  <c r="AC11" i="17"/>
  <c r="AA16" i="17"/>
  <c r="AA17" i="17"/>
  <c r="AF15" i="17"/>
  <c r="AA12" i="17"/>
  <c r="AE8" i="17"/>
  <c r="AD11" i="17"/>
  <c r="AC15" i="17"/>
  <c r="AB16" i="17"/>
  <c r="AF6" i="17"/>
  <c r="AA15" i="17"/>
  <c r="AB12" i="17"/>
  <c r="AA8" i="17"/>
  <c r="AJ15" i="17"/>
  <c r="AC16" i="17"/>
  <c r="AA19" i="43"/>
  <c r="AA22" i="43" s="1"/>
  <c r="AZ7" i="43"/>
  <c r="AZ12" i="43"/>
  <c r="AZ15" i="43"/>
  <c r="AZ11" i="43"/>
  <c r="AZ16" i="43"/>
  <c r="AZ17" i="43"/>
  <c r="AZ13" i="43"/>
  <c r="AK19" i="43"/>
  <c r="AK22" i="43" s="1"/>
  <c r="AZ10" i="43"/>
  <c r="AZ8" i="43"/>
  <c r="AZ9" i="43"/>
  <c r="AZ14" i="43"/>
  <c r="AZ6" i="43"/>
  <c r="AI19" i="43"/>
  <c r="AI22" i="43" s="1"/>
  <c r="AG16" i="43"/>
  <c r="AG14" i="43"/>
  <c r="AG10" i="43"/>
  <c r="AG6" i="43"/>
  <c r="AG17" i="43"/>
  <c r="AG15" i="43"/>
  <c r="AG9" i="43"/>
  <c r="AG13" i="43"/>
  <c r="AG8" i="43"/>
  <c r="AG7" i="43"/>
  <c r="AG12" i="43"/>
  <c r="AG11" i="43"/>
  <c r="AF19" i="43"/>
  <c r="AF22" i="43" s="1"/>
  <c r="AE19" i="43"/>
  <c r="AE22" i="43" s="1"/>
  <c r="AL16" i="43"/>
  <c r="AL15" i="43"/>
  <c r="AL14" i="43"/>
  <c r="AL17" i="43"/>
  <c r="AL13" i="43"/>
  <c r="AL7" i="43"/>
  <c r="AL8" i="43"/>
  <c r="AL9" i="43"/>
  <c r="AL11" i="43"/>
  <c r="AL10" i="43"/>
  <c r="AL6" i="43"/>
  <c r="AL12" i="43"/>
  <c r="AJ19" i="43"/>
  <c r="AJ22" i="43" s="1"/>
  <c r="AH11" i="43"/>
  <c r="AH6" i="43"/>
  <c r="AH17" i="43"/>
  <c r="AH7" i="43"/>
  <c r="AH10" i="43"/>
  <c r="AH13" i="43"/>
  <c r="AH15" i="43"/>
  <c r="AH14" i="43"/>
  <c r="AH12" i="43"/>
  <c r="AH9" i="43"/>
  <c r="AH16" i="43"/>
  <c r="AH8" i="43"/>
  <c r="AC19" i="43"/>
  <c r="AC22" i="43" s="1"/>
  <c r="X6" i="17"/>
  <c r="S10" i="17"/>
  <c r="W19" i="43"/>
  <c r="W22" i="43" s="1"/>
  <c r="Y9" i="17"/>
  <c r="U9" i="17"/>
  <c r="Z11" i="17"/>
  <c r="P17" i="17"/>
  <c r="Y14" i="17"/>
  <c r="V12" i="17"/>
  <c r="T7" i="17"/>
  <c r="O7" i="17"/>
  <c r="X15" i="17"/>
  <c r="R15" i="17"/>
  <c r="N17" i="39"/>
  <c r="AM17" i="39" s="1"/>
  <c r="U15" i="17"/>
  <c r="N17" i="40"/>
  <c r="AM17" i="40" s="1"/>
  <c r="S9" i="17"/>
  <c r="S7" i="17"/>
  <c r="Y6" i="17"/>
  <c r="X10" i="17"/>
  <c r="W10" i="17"/>
  <c r="X17" i="17"/>
  <c r="Q10" i="17"/>
  <c r="V15" i="17"/>
  <c r="Q6" i="17"/>
  <c r="W13" i="17"/>
  <c r="T10" i="17"/>
  <c r="U17" i="17"/>
  <c r="X7" i="17"/>
  <c r="Z8" i="17"/>
  <c r="T13" i="17"/>
  <c r="V14" i="17"/>
  <c r="Q11" i="17"/>
  <c r="O12" i="17"/>
  <c r="V16" i="17"/>
  <c r="S6" i="17"/>
  <c r="T17" i="17"/>
  <c r="P8" i="17"/>
  <c r="O13" i="17"/>
  <c r="W9" i="17"/>
  <c r="P11" i="17"/>
  <c r="T12" i="17"/>
  <c r="Z16" i="17"/>
  <c r="O6" i="17"/>
  <c r="S17" i="17"/>
  <c r="R8" i="17"/>
  <c r="P13" i="17"/>
  <c r="X9" i="17"/>
  <c r="R14" i="17"/>
  <c r="Y11" i="17"/>
  <c r="U12" i="17"/>
  <c r="W16" i="17"/>
  <c r="P6" i="17"/>
  <c r="O17" i="17"/>
  <c r="Y8" i="17"/>
  <c r="V13" i="17"/>
  <c r="T9" i="17"/>
  <c r="P14" i="17"/>
  <c r="S11" i="17"/>
  <c r="X12" i="17"/>
  <c r="P16" i="17"/>
  <c r="V6" i="17"/>
  <c r="V17" i="17"/>
  <c r="V8" i="17"/>
  <c r="Z13" i="17"/>
  <c r="V10" i="17"/>
  <c r="O14" i="17"/>
  <c r="T11" i="17"/>
  <c r="Y15" i="17"/>
  <c r="S16" i="17"/>
  <c r="R6" i="17"/>
  <c r="U7" i="17"/>
  <c r="R13" i="17"/>
  <c r="W8" i="17"/>
  <c r="X13" i="17"/>
  <c r="U14" i="17"/>
  <c r="V11" i="17"/>
  <c r="S15" i="17"/>
  <c r="Y16" i="17"/>
  <c r="W6" i="17"/>
  <c r="W7" i="17"/>
  <c r="Q8" i="17"/>
  <c r="U13" i="17"/>
  <c r="Z10" i="17"/>
  <c r="X14" i="17"/>
  <c r="U11" i="17"/>
  <c r="T15" i="17"/>
  <c r="O16" i="17"/>
  <c r="Z6" i="17"/>
  <c r="Q7" i="17"/>
  <c r="R11" i="17"/>
  <c r="H6" i="39"/>
  <c r="M11" i="39"/>
  <c r="M6" i="41"/>
  <c r="O8" i="17"/>
  <c r="S13" i="17"/>
  <c r="Y10" i="17"/>
  <c r="Q14" i="17"/>
  <c r="X11" i="17"/>
  <c r="Z15" i="17"/>
  <c r="R16" i="17"/>
  <c r="T6" i="17"/>
  <c r="R7" i="17"/>
  <c r="X8" i="17"/>
  <c r="R9" i="17"/>
  <c r="R10" i="17"/>
  <c r="W14" i="17"/>
  <c r="S12" i="17"/>
  <c r="Q15" i="17"/>
  <c r="Q16" i="17"/>
  <c r="W17" i="17"/>
  <c r="Z7" i="17"/>
  <c r="R12" i="17"/>
  <c r="G9" i="39"/>
  <c r="L8" i="39"/>
  <c r="U8" i="17"/>
  <c r="P9" i="17"/>
  <c r="O10" i="17"/>
  <c r="Z14" i="17"/>
  <c r="Z12" i="17"/>
  <c r="O15" i="17"/>
  <c r="X16" i="17"/>
  <c r="R17" i="17"/>
  <c r="P7" i="17"/>
  <c r="L6" i="41"/>
  <c r="T8" i="17"/>
  <c r="V9" i="17"/>
  <c r="S14" i="17"/>
  <c r="Q12" i="17"/>
  <c r="W15" i="17"/>
  <c r="U16" i="17"/>
  <c r="Y17" i="17"/>
  <c r="Y7" i="17"/>
  <c r="L15" i="40"/>
  <c r="S8" i="17"/>
  <c r="O9" i="17"/>
  <c r="P10" i="17"/>
  <c r="T14" i="17"/>
  <c r="W12" i="17"/>
  <c r="T16" i="17"/>
  <c r="Q17" i="17"/>
  <c r="Q13" i="17"/>
  <c r="Z9" i="17"/>
  <c r="U10" i="17"/>
  <c r="O11" i="17"/>
  <c r="Y12" i="17"/>
  <c r="P15" i="17"/>
  <c r="Z17" i="17"/>
  <c r="I8" i="40"/>
  <c r="N7" i="39"/>
  <c r="Q9" i="17"/>
  <c r="P12" i="17"/>
  <c r="Q11" i="23"/>
  <c r="W11" i="23"/>
  <c r="S11" i="23"/>
  <c r="R11" i="23"/>
  <c r="T11" i="23"/>
  <c r="P11" i="23"/>
  <c r="U11" i="23"/>
  <c r="Y11" i="23"/>
  <c r="Z11" i="23"/>
  <c r="X11" i="23"/>
  <c r="V11" i="23"/>
  <c r="O11" i="23"/>
  <c r="V17" i="23"/>
  <c r="W17" i="23"/>
  <c r="X17" i="23"/>
  <c r="P17" i="23"/>
  <c r="O17" i="23"/>
  <c r="U17" i="23"/>
  <c r="T17" i="23"/>
  <c r="Q17" i="23"/>
  <c r="Z17" i="23"/>
  <c r="R17" i="23"/>
  <c r="Y17" i="23"/>
  <c r="S17" i="23"/>
  <c r="X12" i="23"/>
  <c r="Y12" i="23"/>
  <c r="T12" i="23"/>
  <c r="R12" i="23"/>
  <c r="Z12" i="23"/>
  <c r="P12" i="23"/>
  <c r="W12" i="23"/>
  <c r="V12" i="23"/>
  <c r="S12" i="23"/>
  <c r="U12" i="23"/>
  <c r="O12" i="23"/>
  <c r="Q12" i="23"/>
  <c r="X9" i="23"/>
  <c r="P9" i="23"/>
  <c r="V9" i="23"/>
  <c r="W9" i="23"/>
  <c r="Z9" i="23"/>
  <c r="S9" i="23"/>
  <c r="U9" i="23"/>
  <c r="T9" i="23"/>
  <c r="O9" i="23"/>
  <c r="Q9" i="23"/>
  <c r="R9" i="23"/>
  <c r="Y9" i="23"/>
  <c r="O16" i="23"/>
  <c r="T16" i="23"/>
  <c r="X16" i="23"/>
  <c r="V16" i="23"/>
  <c r="Z16" i="23"/>
  <c r="R16" i="23"/>
  <c r="W16" i="23"/>
  <c r="U16" i="23"/>
  <c r="Y16" i="23"/>
  <c r="P16" i="23"/>
  <c r="Q16" i="23"/>
  <c r="S16" i="23"/>
  <c r="Z14" i="23"/>
  <c r="S14" i="23"/>
  <c r="T14" i="23"/>
  <c r="Q14" i="23"/>
  <c r="V14" i="23"/>
  <c r="W14" i="23"/>
  <c r="P14" i="23"/>
  <c r="X14" i="23"/>
  <c r="O14" i="23"/>
  <c r="Y14" i="23"/>
  <c r="R14" i="23"/>
  <c r="U14" i="23"/>
  <c r="S6" i="23"/>
  <c r="Y6" i="23"/>
  <c r="X6" i="23"/>
  <c r="O6" i="23"/>
  <c r="Z6" i="23"/>
  <c r="R6" i="23"/>
  <c r="W6" i="23"/>
  <c r="Q6" i="23"/>
  <c r="P6" i="23"/>
  <c r="V6" i="23"/>
  <c r="U6" i="23"/>
  <c r="T6" i="23"/>
  <c r="P13" i="23"/>
  <c r="T13" i="23"/>
  <c r="V13" i="23"/>
  <c r="W13" i="23"/>
  <c r="X13" i="23"/>
  <c r="Z13" i="23"/>
  <c r="Q13" i="23"/>
  <c r="O13" i="23"/>
  <c r="U13" i="23"/>
  <c r="S13" i="23"/>
  <c r="R13" i="23"/>
  <c r="Y13" i="23"/>
  <c r="O8" i="23"/>
  <c r="Q8" i="23"/>
  <c r="P8" i="23"/>
  <c r="W8" i="23"/>
  <c r="T8" i="23"/>
  <c r="X8" i="23"/>
  <c r="Y8" i="23"/>
  <c r="Z8" i="23"/>
  <c r="R8" i="23"/>
  <c r="V8" i="23"/>
  <c r="U8" i="23"/>
  <c r="S8" i="23"/>
  <c r="Q7" i="23"/>
  <c r="T7" i="23"/>
  <c r="W7" i="23"/>
  <c r="Z7" i="23"/>
  <c r="S7" i="23"/>
  <c r="P7" i="23"/>
  <c r="V7" i="23"/>
  <c r="X7" i="23"/>
  <c r="R7" i="23"/>
  <c r="U7" i="23"/>
  <c r="O7" i="23"/>
  <c r="Y7" i="23"/>
  <c r="Z10" i="23"/>
  <c r="P10" i="23"/>
  <c r="Q10" i="23"/>
  <c r="S10" i="23"/>
  <c r="Y10" i="23"/>
  <c r="V10" i="23"/>
  <c r="W10" i="23"/>
  <c r="U10" i="23"/>
  <c r="T10" i="23"/>
  <c r="O10" i="23"/>
  <c r="R10" i="23"/>
  <c r="X10" i="23"/>
  <c r="R15" i="23"/>
  <c r="S15" i="23"/>
  <c r="Q15" i="23"/>
  <c r="Z15" i="23"/>
  <c r="T15" i="23"/>
  <c r="V15" i="23"/>
  <c r="X15" i="23"/>
  <c r="W15" i="23"/>
  <c r="Y15" i="23"/>
  <c r="P15" i="23"/>
  <c r="O15" i="23"/>
  <c r="U15" i="23"/>
  <c r="M15" i="41"/>
  <c r="J6" i="41"/>
  <c r="I11" i="41"/>
  <c r="D6" i="41"/>
  <c r="N6" i="41"/>
  <c r="H6" i="41"/>
  <c r="K10" i="41"/>
  <c r="N12" i="41"/>
  <c r="N10" i="41"/>
  <c r="N13" i="41"/>
  <c r="N14" i="41"/>
  <c r="I10" i="41"/>
  <c r="N17" i="41"/>
  <c r="AM17" i="41" s="1"/>
  <c r="M13" i="41"/>
  <c r="F9" i="41"/>
  <c r="C6" i="41"/>
  <c r="M14" i="41"/>
  <c r="J12" i="41"/>
  <c r="E6" i="41"/>
  <c r="K11" i="40"/>
  <c r="M13" i="40"/>
  <c r="L6" i="40"/>
  <c r="I11" i="40"/>
  <c r="J11" i="40"/>
  <c r="L13" i="40"/>
  <c r="G8" i="40"/>
  <c r="M16" i="40"/>
  <c r="H9" i="40"/>
  <c r="J13" i="40"/>
  <c r="L9" i="40"/>
  <c r="J8" i="40"/>
  <c r="M12" i="40"/>
  <c r="F8" i="40"/>
  <c r="N9" i="40"/>
  <c r="L11" i="40"/>
  <c r="K10" i="39"/>
  <c r="L13" i="39"/>
  <c r="L9" i="39"/>
  <c r="J10" i="39"/>
  <c r="F6" i="39"/>
  <c r="M16" i="39"/>
  <c r="H11" i="39"/>
  <c r="M10" i="39"/>
  <c r="D6" i="39"/>
  <c r="I12" i="39"/>
  <c r="N15" i="39"/>
  <c r="C6" i="39"/>
  <c r="N8" i="39"/>
  <c r="N11" i="39"/>
  <c r="L11" i="39"/>
  <c r="T19" i="43"/>
  <c r="T22" i="43" s="1"/>
  <c r="O19" i="43"/>
  <c r="O22" i="43" s="1"/>
  <c r="X19" i="43"/>
  <c r="X22" i="43" s="1"/>
  <c r="Q19" i="43"/>
  <c r="Q22" i="43" s="1"/>
  <c r="U19" i="43"/>
  <c r="U22" i="43" s="1"/>
  <c r="Y19" i="43"/>
  <c r="Y22" i="43" s="1"/>
  <c r="V19" i="43"/>
  <c r="V22" i="43" s="1"/>
  <c r="S19" i="43"/>
  <c r="S22" i="43" s="1"/>
  <c r="Z19" i="43"/>
  <c r="Z22" i="43" s="1"/>
  <c r="B19" i="23"/>
  <c r="B8" i="52" s="1"/>
  <c r="E8" i="39"/>
  <c r="I8" i="39"/>
  <c r="N9" i="39"/>
  <c r="H8" i="39"/>
  <c r="G7" i="39"/>
  <c r="J8" i="39"/>
  <c r="J9" i="39"/>
  <c r="E7" i="39"/>
  <c r="B19" i="39"/>
  <c r="C6" i="52" s="1"/>
  <c r="N14" i="39"/>
  <c r="G9" i="41"/>
  <c r="G10" i="41"/>
  <c r="G7" i="41"/>
  <c r="L12" i="41"/>
  <c r="L7" i="41"/>
  <c r="L14" i="41"/>
  <c r="L8" i="41"/>
  <c r="L11" i="41"/>
  <c r="M10" i="41"/>
  <c r="M8" i="41"/>
  <c r="M11" i="41"/>
  <c r="M9" i="41"/>
  <c r="F8" i="41"/>
  <c r="F7" i="41"/>
  <c r="J13" i="41"/>
  <c r="K6" i="41"/>
  <c r="I6" i="41"/>
  <c r="L9" i="41"/>
  <c r="L15" i="41"/>
  <c r="L10" i="41"/>
  <c r="K14" i="41"/>
  <c r="N15" i="41"/>
  <c r="N7" i="41"/>
  <c r="N8" i="41"/>
  <c r="N11" i="41"/>
  <c r="N9" i="41"/>
  <c r="G6" i="41"/>
  <c r="K12" i="41"/>
  <c r="K9" i="41"/>
  <c r="K7" i="41"/>
  <c r="K8" i="41"/>
  <c r="K11" i="41"/>
  <c r="F6" i="41"/>
  <c r="M16" i="41"/>
  <c r="I9" i="41"/>
  <c r="K13" i="41"/>
  <c r="D7" i="41"/>
  <c r="L13" i="41"/>
  <c r="I12" i="41"/>
  <c r="I7" i="41"/>
  <c r="I8" i="41"/>
  <c r="G8" i="41"/>
  <c r="J9" i="41"/>
  <c r="J10" i="41"/>
  <c r="J11" i="41"/>
  <c r="J7" i="41"/>
  <c r="J8" i="41"/>
  <c r="H9" i="41"/>
  <c r="H7" i="41"/>
  <c r="H11" i="41"/>
  <c r="H8" i="41"/>
  <c r="H10" i="41"/>
  <c r="E8" i="41"/>
  <c r="E7" i="41"/>
  <c r="M12" i="41"/>
  <c r="N16" i="41"/>
  <c r="M7" i="41"/>
  <c r="K14" i="40"/>
  <c r="H11" i="40"/>
  <c r="N6" i="40"/>
  <c r="N7" i="40"/>
  <c r="N14" i="40"/>
  <c r="N11" i="40"/>
  <c r="N8" i="40"/>
  <c r="N15" i="40"/>
  <c r="I6" i="40"/>
  <c r="I12" i="40"/>
  <c r="I10" i="40"/>
  <c r="I7" i="40"/>
  <c r="N16" i="40"/>
  <c r="M11" i="40"/>
  <c r="E8" i="40"/>
  <c r="E6" i="40"/>
  <c r="N13" i="40"/>
  <c r="K6" i="40"/>
  <c r="K13" i="40"/>
  <c r="K12" i="40"/>
  <c r="K10" i="40"/>
  <c r="K7" i="40"/>
  <c r="C6" i="40"/>
  <c r="H8" i="40"/>
  <c r="H6" i="40"/>
  <c r="H7" i="40"/>
  <c r="H10" i="40"/>
  <c r="M10" i="40"/>
  <c r="M15" i="40"/>
  <c r="M6" i="40"/>
  <c r="M7" i="40"/>
  <c r="M8" i="40"/>
  <c r="N10" i="40"/>
  <c r="F7" i="40"/>
  <c r="F9" i="40"/>
  <c r="F6" i="40"/>
  <c r="J9" i="40"/>
  <c r="J6" i="40"/>
  <c r="J10" i="40"/>
  <c r="J7" i="40"/>
  <c r="M14" i="40"/>
  <c r="G7" i="40"/>
  <c r="G9" i="40"/>
  <c r="G10" i="40"/>
  <c r="G6" i="40"/>
  <c r="N12" i="40"/>
  <c r="K9" i="40"/>
  <c r="M9" i="40"/>
  <c r="L12" i="40"/>
  <c r="L10" i="40"/>
  <c r="L8" i="40"/>
  <c r="L7" i="40"/>
  <c r="L14" i="40"/>
  <c r="E7" i="40"/>
  <c r="J12" i="40"/>
  <c r="D6" i="40"/>
  <c r="D7" i="40"/>
  <c r="I9" i="40"/>
  <c r="K8" i="40"/>
  <c r="D7" i="39"/>
  <c r="M14" i="39"/>
  <c r="M6" i="39"/>
  <c r="M12" i="39"/>
  <c r="K11" i="39"/>
  <c r="I6" i="39"/>
  <c r="I10" i="39"/>
  <c r="I7" i="39"/>
  <c r="I9" i="39"/>
  <c r="J13" i="39"/>
  <c r="K6" i="39"/>
  <c r="I11" i="39"/>
  <c r="K7" i="39"/>
  <c r="K12" i="39"/>
  <c r="J6" i="39"/>
  <c r="G8" i="39"/>
  <c r="M13" i="39"/>
  <c r="L15" i="39"/>
  <c r="K8" i="39"/>
  <c r="N16" i="39"/>
  <c r="M7" i="39"/>
  <c r="M15" i="39"/>
  <c r="J12" i="39"/>
  <c r="J7" i="39"/>
  <c r="N13" i="39"/>
  <c r="K14" i="39"/>
  <c r="E6" i="39"/>
  <c r="L7" i="39"/>
  <c r="L6" i="39"/>
  <c r="M8" i="39"/>
  <c r="J11" i="39"/>
  <c r="H9" i="39"/>
  <c r="H10" i="39"/>
  <c r="H7" i="39"/>
  <c r="G6" i="39"/>
  <c r="G10" i="39"/>
  <c r="F9" i="39"/>
  <c r="F8" i="39"/>
  <c r="F7" i="39"/>
  <c r="K13" i="39"/>
  <c r="L14" i="39"/>
  <c r="N12" i="39"/>
  <c r="N10" i="39"/>
  <c r="N6" i="39"/>
  <c r="K9" i="39"/>
  <c r="M9" i="39"/>
  <c r="L12" i="39"/>
  <c r="G5" i="14"/>
  <c r="D57" i="45" l="1"/>
  <c r="D55" i="45"/>
  <c r="M43" i="52"/>
  <c r="C115" i="52"/>
  <c r="C10" i="52"/>
  <c r="M42" i="52"/>
  <c r="D56" i="45"/>
  <c r="AO19" i="41"/>
  <c r="C44" i="52" s="1"/>
  <c r="AO24" i="40"/>
  <c r="AU17" i="23"/>
  <c r="AU16" i="23"/>
  <c r="AQ19" i="23"/>
  <c r="AQ22" i="23" s="1"/>
  <c r="BB19" i="23"/>
  <c r="AS19" i="23"/>
  <c r="AS22" i="23" s="1"/>
  <c r="AR19" i="23"/>
  <c r="AR22" i="23" s="1"/>
  <c r="AX19" i="23"/>
  <c r="AX22" i="23" s="1"/>
  <c r="AO19" i="23"/>
  <c r="AO22" i="23" s="1"/>
  <c r="B11" i="52"/>
  <c r="AW19" i="23"/>
  <c r="AW22" i="23" s="1"/>
  <c r="AU7" i="23"/>
  <c r="AM19" i="23"/>
  <c r="AM22" i="23" s="1"/>
  <c r="AV19" i="23"/>
  <c r="AV22" i="23" s="1"/>
  <c r="AU13" i="23"/>
  <c r="AU12" i="23"/>
  <c r="AT19" i="23"/>
  <c r="AT22" i="23" s="1"/>
  <c r="AU15" i="23"/>
  <c r="AU6" i="23"/>
  <c r="AU11" i="23"/>
  <c r="AN19" i="23"/>
  <c r="AN22" i="23" s="1"/>
  <c r="AP19" i="23"/>
  <c r="AP22" i="23" s="1"/>
  <c r="AU8" i="23"/>
  <c r="AS15" i="17"/>
  <c r="AS10" i="17"/>
  <c r="AS9" i="17"/>
  <c r="AS14" i="17"/>
  <c r="AS7" i="17"/>
  <c r="AS11" i="17"/>
  <c r="AS8" i="17"/>
  <c r="AS6" i="17"/>
  <c r="AS12" i="17"/>
  <c r="AS16" i="17"/>
  <c r="AS17" i="17"/>
  <c r="AS13" i="17"/>
  <c r="AI6" i="17"/>
  <c r="AU32" i="17"/>
  <c r="AR17" i="17"/>
  <c r="AR7" i="17"/>
  <c r="AR9" i="17"/>
  <c r="AR6" i="17"/>
  <c r="AR15" i="17"/>
  <c r="AR10" i="17"/>
  <c r="AR14" i="17"/>
  <c r="AR16" i="17"/>
  <c r="AR12" i="17"/>
  <c r="AR11" i="17"/>
  <c r="AR8" i="17"/>
  <c r="AR13" i="17"/>
  <c r="AM11" i="17"/>
  <c r="AM13" i="17"/>
  <c r="AM12" i="17"/>
  <c r="AM8" i="17"/>
  <c r="AM17" i="17"/>
  <c r="AM7" i="17"/>
  <c r="AM14" i="17"/>
  <c r="AM10" i="17"/>
  <c r="AM6" i="17"/>
  <c r="AM15" i="17"/>
  <c r="AM9" i="17"/>
  <c r="AM16" i="17"/>
  <c r="AP7" i="17"/>
  <c r="AP12" i="17"/>
  <c r="AP6" i="17"/>
  <c r="AP13" i="17"/>
  <c r="AP17" i="17"/>
  <c r="AP11" i="17"/>
  <c r="AP8" i="17"/>
  <c r="AP15" i="17"/>
  <c r="AP10" i="17"/>
  <c r="AP16" i="17"/>
  <c r="AP14" i="17"/>
  <c r="AP9" i="17"/>
  <c r="AW16" i="17"/>
  <c r="AW9" i="17"/>
  <c r="AW6" i="17"/>
  <c r="AW17" i="17"/>
  <c r="AW11" i="17"/>
  <c r="AW13" i="17"/>
  <c r="AW7" i="17"/>
  <c r="AW12" i="17"/>
  <c r="AW8" i="17"/>
  <c r="AW10" i="17"/>
  <c r="AW14" i="17"/>
  <c r="AW15" i="17"/>
  <c r="AX17" i="17"/>
  <c r="AX9" i="17"/>
  <c r="AX11" i="17"/>
  <c r="AX12" i="17"/>
  <c r="AX6" i="17"/>
  <c r="AX10" i="17"/>
  <c r="AX13" i="17"/>
  <c r="AX14" i="17"/>
  <c r="AX7" i="17"/>
  <c r="AX8" i="17"/>
  <c r="AX16" i="17"/>
  <c r="AX15" i="17"/>
  <c r="AT6" i="17"/>
  <c r="AT9" i="17"/>
  <c r="AT12" i="17"/>
  <c r="AT11" i="17"/>
  <c r="AT8" i="17"/>
  <c r="AT16" i="17"/>
  <c r="AT14" i="17"/>
  <c r="AT17" i="17"/>
  <c r="AT10" i="17"/>
  <c r="AT15" i="17"/>
  <c r="AT13" i="17"/>
  <c r="AT7" i="17"/>
  <c r="AN10" i="17"/>
  <c r="AN7" i="17"/>
  <c r="AN14" i="17"/>
  <c r="AN17" i="17"/>
  <c r="AN8" i="17"/>
  <c r="AN9" i="17"/>
  <c r="AN13" i="17"/>
  <c r="AN11" i="17"/>
  <c r="AN15" i="17"/>
  <c r="AN16" i="17"/>
  <c r="AN12" i="17"/>
  <c r="AN6" i="17"/>
  <c r="AO8" i="17"/>
  <c r="AO15" i="17"/>
  <c r="AO13" i="17"/>
  <c r="AO12" i="17"/>
  <c r="AO10" i="17"/>
  <c r="AO11" i="17"/>
  <c r="AO17" i="17"/>
  <c r="AO6" i="17"/>
  <c r="AO7" i="17"/>
  <c r="AO9" i="17"/>
  <c r="AO14" i="17"/>
  <c r="AO16" i="17"/>
  <c r="AQ13" i="17"/>
  <c r="AQ17" i="17"/>
  <c r="AQ7" i="17"/>
  <c r="AQ10" i="17"/>
  <c r="AQ9" i="17"/>
  <c r="AQ11" i="17"/>
  <c r="AQ12" i="17"/>
  <c r="AQ15" i="17"/>
  <c r="AQ6" i="17"/>
  <c r="AQ14" i="17"/>
  <c r="AQ16" i="17"/>
  <c r="AQ8" i="17"/>
  <c r="AV11" i="17"/>
  <c r="AV16" i="17"/>
  <c r="AV12" i="17"/>
  <c r="AV15" i="17"/>
  <c r="AV9" i="17"/>
  <c r="AV6" i="17"/>
  <c r="AV10" i="17"/>
  <c r="AV8" i="17"/>
  <c r="AV14" i="17"/>
  <c r="AV13" i="17"/>
  <c r="AV7" i="17"/>
  <c r="AV17" i="17"/>
  <c r="AW19" i="43"/>
  <c r="AW22" i="43" s="1"/>
  <c r="BB19" i="43"/>
  <c r="AV19" i="43"/>
  <c r="AV22" i="43" s="1"/>
  <c r="AX19" i="43"/>
  <c r="AX22" i="43" s="1"/>
  <c r="L14" i="52"/>
  <c r="AU19" i="43"/>
  <c r="AU22" i="43" s="1"/>
  <c r="AT19" i="43"/>
  <c r="AT22" i="43" s="1"/>
  <c r="AS19" i="43"/>
  <c r="AS22" i="43" s="1"/>
  <c r="B86" i="52"/>
  <c r="C9" i="52"/>
  <c r="M33" i="52"/>
  <c r="AM15" i="41"/>
  <c r="AM14" i="41"/>
  <c r="AM13" i="39"/>
  <c r="AM15" i="39"/>
  <c r="AM8" i="41"/>
  <c r="AM7" i="41"/>
  <c r="AM11" i="41"/>
  <c r="AM16" i="41"/>
  <c r="AM14" i="40"/>
  <c r="AN19" i="40"/>
  <c r="BA7" i="23"/>
  <c r="AK19" i="23"/>
  <c r="AK22" i="23" s="1"/>
  <c r="AZ8" i="17"/>
  <c r="AD19" i="17"/>
  <c r="AD22" i="17" s="1"/>
  <c r="AZ6" i="17"/>
  <c r="AJ19" i="17"/>
  <c r="AJ22" i="17" s="1"/>
  <c r="BA15" i="43"/>
  <c r="BA7" i="43"/>
  <c r="BA12" i="43"/>
  <c r="BA13" i="43"/>
  <c r="BA9" i="43"/>
  <c r="AM10" i="41"/>
  <c r="AM13" i="41"/>
  <c r="C19" i="41"/>
  <c r="C22" i="41" s="1"/>
  <c r="AM6" i="41"/>
  <c r="AN22" i="41"/>
  <c r="C71" i="52" s="1"/>
  <c r="AM9" i="41"/>
  <c r="AN19" i="41"/>
  <c r="C35" i="52" s="1"/>
  <c r="F35" i="52" s="1"/>
  <c r="AM12" i="41"/>
  <c r="AM8" i="40"/>
  <c r="AM15" i="40"/>
  <c r="AM13" i="40"/>
  <c r="AM16" i="40"/>
  <c r="AM12" i="40"/>
  <c r="AM7" i="40"/>
  <c r="AM6" i="40"/>
  <c r="AM10" i="40"/>
  <c r="AM9" i="40"/>
  <c r="AM11" i="40"/>
  <c r="AN22" i="40"/>
  <c r="AM9" i="39"/>
  <c r="AM10" i="39"/>
  <c r="C19" i="39"/>
  <c r="C22" i="39" s="1"/>
  <c r="AM6" i="39"/>
  <c r="AM14" i="39"/>
  <c r="AM8" i="39"/>
  <c r="AM12" i="39"/>
  <c r="D19" i="39"/>
  <c r="D22" i="39" s="1"/>
  <c r="AM7" i="39"/>
  <c r="AM11" i="39"/>
  <c r="AM16" i="39"/>
  <c r="AH19" i="23"/>
  <c r="AH22" i="23" s="1"/>
  <c r="AF19" i="23"/>
  <c r="AF22" i="23" s="1"/>
  <c r="AC19" i="23"/>
  <c r="AC22" i="23" s="1"/>
  <c r="AJ19" i="23"/>
  <c r="AJ22" i="23" s="1"/>
  <c r="AZ12" i="23"/>
  <c r="AD19" i="23"/>
  <c r="AD22" i="23" s="1"/>
  <c r="AZ7" i="23"/>
  <c r="AZ10" i="23"/>
  <c r="AZ16" i="23"/>
  <c r="AZ17" i="23"/>
  <c r="BA15" i="23"/>
  <c r="BA11" i="23"/>
  <c r="AZ14" i="23"/>
  <c r="AB19" i="23"/>
  <c r="AB22" i="23" s="1"/>
  <c r="BA10" i="23"/>
  <c r="BA9" i="23"/>
  <c r="BA16" i="23"/>
  <c r="BA14" i="23"/>
  <c r="AZ8" i="23"/>
  <c r="AZ15" i="23"/>
  <c r="AZ9" i="23"/>
  <c r="AZ13" i="23"/>
  <c r="AZ6" i="23"/>
  <c r="AZ11" i="23"/>
  <c r="AE19" i="23"/>
  <c r="AE22" i="23" s="1"/>
  <c r="BA12" i="23"/>
  <c r="BA8" i="23"/>
  <c r="BA17" i="23"/>
  <c r="AA19" i="23"/>
  <c r="AA22" i="23" s="1"/>
  <c r="BA6" i="23"/>
  <c r="AL19" i="23"/>
  <c r="AL22" i="23" s="1"/>
  <c r="AI19" i="23"/>
  <c r="AI22" i="23" s="1"/>
  <c r="AG19" i="23"/>
  <c r="AG22" i="23" s="1"/>
  <c r="BA13" i="23"/>
  <c r="AA19" i="17"/>
  <c r="AA22" i="17" s="1"/>
  <c r="AZ7" i="17"/>
  <c r="AI10" i="17"/>
  <c r="AI7" i="17"/>
  <c r="AI17" i="17"/>
  <c r="AL19" i="17"/>
  <c r="AL22" i="17" s="1"/>
  <c r="AZ15" i="17"/>
  <c r="AK13" i="17"/>
  <c r="AK10" i="17"/>
  <c r="AK9" i="17"/>
  <c r="AK8" i="17"/>
  <c r="AK16" i="17"/>
  <c r="AK11" i="17"/>
  <c r="AK6" i="17"/>
  <c r="AK12" i="17"/>
  <c r="AK14" i="17"/>
  <c r="AK17" i="17"/>
  <c r="AK7" i="17"/>
  <c r="AZ9" i="17"/>
  <c r="AZ16" i="17"/>
  <c r="AF19" i="17"/>
  <c r="AF22" i="17" s="1"/>
  <c r="AE19" i="17"/>
  <c r="AE22" i="17" s="1"/>
  <c r="AZ13" i="17"/>
  <c r="AI15" i="17"/>
  <c r="AI12" i="17"/>
  <c r="AZ10" i="17"/>
  <c r="AZ17" i="17"/>
  <c r="AI14" i="17"/>
  <c r="AG14" i="17"/>
  <c r="AG6" i="17"/>
  <c r="AG9" i="17"/>
  <c r="AG15" i="17"/>
  <c r="AG16" i="17"/>
  <c r="AG10" i="17"/>
  <c r="AG11" i="17"/>
  <c r="BA11" i="17" s="1"/>
  <c r="AG8" i="17"/>
  <c r="AG12" i="17"/>
  <c r="AG17" i="17"/>
  <c r="AG13" i="17"/>
  <c r="AG7" i="17"/>
  <c r="BA7" i="17" s="1"/>
  <c r="AH10" i="17"/>
  <c r="AH8" i="17"/>
  <c r="AH11" i="17"/>
  <c r="AH16" i="17"/>
  <c r="AH17" i="17"/>
  <c r="AH7" i="17"/>
  <c r="AH12" i="17"/>
  <c r="AH14" i="17"/>
  <c r="AH6" i="17"/>
  <c r="AH9" i="17"/>
  <c r="AH13" i="17"/>
  <c r="AH15" i="17"/>
  <c r="AK15" i="17"/>
  <c r="AZ14" i="17"/>
  <c r="AI16" i="17"/>
  <c r="AC19" i="17"/>
  <c r="AC22" i="17" s="1"/>
  <c r="AZ12" i="17"/>
  <c r="AI13" i="17"/>
  <c r="AZ11" i="17"/>
  <c r="AI8" i="17"/>
  <c r="AB19" i="17"/>
  <c r="AB22" i="17" s="1"/>
  <c r="AI11" i="17"/>
  <c r="AI9" i="17"/>
  <c r="BA11" i="43"/>
  <c r="BA8" i="43"/>
  <c r="BA17" i="43"/>
  <c r="BA6" i="43"/>
  <c r="BA10" i="43"/>
  <c r="BA14" i="43"/>
  <c r="BA16" i="43"/>
  <c r="AZ19" i="43"/>
  <c r="B23" i="52" s="1"/>
  <c r="AZ22" i="43"/>
  <c r="B59" i="52" s="1"/>
  <c r="F59" i="52" s="1"/>
  <c r="AG19" i="43"/>
  <c r="AG22" i="43" s="1"/>
  <c r="AH19" i="43"/>
  <c r="AH22" i="43" s="1"/>
  <c r="AL19" i="43"/>
  <c r="AL22" i="43" s="1"/>
  <c r="Y19" i="17"/>
  <c r="Y22" i="17" s="1"/>
  <c r="Q19" i="17"/>
  <c r="Q22" i="17" s="1"/>
  <c r="W19" i="17"/>
  <c r="W22" i="17" s="1"/>
  <c r="O19" i="17"/>
  <c r="O22" i="17" s="1"/>
  <c r="V19" i="17"/>
  <c r="V22" i="17" s="1"/>
  <c r="P19" i="17"/>
  <c r="P22" i="17" s="1"/>
  <c r="Z19" i="17"/>
  <c r="Z22" i="17" s="1"/>
  <c r="X19" i="17"/>
  <c r="X22" i="17" s="1"/>
  <c r="U19" i="17"/>
  <c r="U22" i="17" s="1"/>
  <c r="F19" i="39"/>
  <c r="F22" i="39" s="1"/>
  <c r="R19" i="17"/>
  <c r="R22" i="17" s="1"/>
  <c r="T19" i="17"/>
  <c r="T22" i="17" s="1"/>
  <c r="S19" i="17"/>
  <c r="S22" i="17" s="1"/>
  <c r="D19" i="41"/>
  <c r="D22" i="41" s="1"/>
  <c r="T19" i="23"/>
  <c r="T22" i="23" s="1"/>
  <c r="U19" i="23"/>
  <c r="U22" i="23" s="1"/>
  <c r="V19" i="23"/>
  <c r="V22" i="23" s="1"/>
  <c r="P19" i="23"/>
  <c r="P22" i="23" s="1"/>
  <c r="Q19" i="23"/>
  <c r="Q22" i="23" s="1"/>
  <c r="W19" i="23"/>
  <c r="W22" i="23" s="1"/>
  <c r="R19" i="23"/>
  <c r="R22" i="23" s="1"/>
  <c r="Z19" i="23"/>
  <c r="Z22" i="23" s="1"/>
  <c r="O19" i="23"/>
  <c r="O22" i="23" s="1"/>
  <c r="X19" i="23"/>
  <c r="X22" i="23" s="1"/>
  <c r="Y19" i="23"/>
  <c r="Y22" i="23" s="1"/>
  <c r="S19" i="23"/>
  <c r="S22" i="23" s="1"/>
  <c r="F19" i="40"/>
  <c r="F22" i="40" s="1"/>
  <c r="E19" i="39"/>
  <c r="E22" i="39" s="1"/>
  <c r="L19" i="40"/>
  <c r="E19" i="41"/>
  <c r="H19" i="39"/>
  <c r="M19" i="41"/>
  <c r="N19" i="41"/>
  <c r="N22" i="41" s="1"/>
  <c r="H19" i="41"/>
  <c r="H22" i="41" s="1"/>
  <c r="L19" i="41"/>
  <c r="J19" i="41"/>
  <c r="J22" i="41" s="1"/>
  <c r="F19" i="41"/>
  <c r="I19" i="41"/>
  <c r="I22" i="41" s="1"/>
  <c r="K19" i="41"/>
  <c r="K22" i="41" s="1"/>
  <c r="G19" i="41"/>
  <c r="H19" i="40"/>
  <c r="D19" i="40"/>
  <c r="J19" i="40"/>
  <c r="I19" i="40"/>
  <c r="K19" i="40"/>
  <c r="M19" i="40"/>
  <c r="N19" i="40"/>
  <c r="G19" i="40"/>
  <c r="C19" i="40"/>
  <c r="E19" i="40"/>
  <c r="K19" i="39"/>
  <c r="K22" i="39" s="1"/>
  <c r="I19" i="39"/>
  <c r="I22" i="39" s="1"/>
  <c r="G19" i="39"/>
  <c r="G22" i="39" s="1"/>
  <c r="N19" i="39"/>
  <c r="L19" i="39"/>
  <c r="M19" i="39"/>
  <c r="M22" i="39" s="1"/>
  <c r="J19" i="39"/>
  <c r="J22" i="39" s="1"/>
  <c r="C19" i="38"/>
  <c r="G19" i="38"/>
  <c r="C47" i="52" l="1"/>
  <c r="C119" i="52" s="1"/>
  <c r="C45" i="52"/>
  <c r="B5" i="45" a="1"/>
  <c r="B41" i="45" s="1"/>
  <c r="J41" i="45" s="1"/>
  <c r="L44" i="3"/>
  <c r="BB22" i="43"/>
  <c r="B77" i="52" s="1"/>
  <c r="D58" i="45"/>
  <c r="D59" i="45" s="1"/>
  <c r="I45" i="52"/>
  <c r="I47" i="52"/>
  <c r="C117" i="52"/>
  <c r="M44" i="52"/>
  <c r="C116" i="52"/>
  <c r="L42" i="3"/>
  <c r="AO24" i="41"/>
  <c r="C34" i="52"/>
  <c r="AU19" i="23"/>
  <c r="AU22" i="23" s="1"/>
  <c r="BB22" i="23" s="1"/>
  <c r="B80" i="52" s="1"/>
  <c r="AV19" i="17"/>
  <c r="AV22" i="17" s="1"/>
  <c r="BB19" i="17"/>
  <c r="AU7" i="17"/>
  <c r="AU6" i="17"/>
  <c r="AU12" i="17"/>
  <c r="AU11" i="17"/>
  <c r="AU17" i="17"/>
  <c r="AU15" i="17"/>
  <c r="AU16" i="17"/>
  <c r="AU10" i="17"/>
  <c r="AU13" i="17"/>
  <c r="AU8" i="17"/>
  <c r="AU14" i="17"/>
  <c r="AU9" i="17"/>
  <c r="AO19" i="17"/>
  <c r="AO22" i="17" s="1"/>
  <c r="AP19" i="17"/>
  <c r="AP22" i="17" s="1"/>
  <c r="AS19" i="17"/>
  <c r="AS22" i="17" s="1"/>
  <c r="AQ19" i="17"/>
  <c r="AQ22" i="17" s="1"/>
  <c r="AT19" i="17"/>
  <c r="AT22" i="17" s="1"/>
  <c r="C70" i="52"/>
  <c r="C74" i="52" s="1"/>
  <c r="I81" i="52"/>
  <c r="AW19" i="17"/>
  <c r="AW22" i="17" s="1"/>
  <c r="AX19" i="17"/>
  <c r="AX22" i="17" s="1"/>
  <c r="AM19" i="17"/>
  <c r="AM22" i="17" s="1"/>
  <c r="BA16" i="17"/>
  <c r="BA12" i="17"/>
  <c r="AN19" i="17"/>
  <c r="AN22" i="17" s="1"/>
  <c r="AR19" i="17"/>
  <c r="AR22" i="17" s="1"/>
  <c r="BA8" i="17"/>
  <c r="L23" i="52"/>
  <c r="I9" i="52"/>
  <c r="I11" i="52"/>
  <c r="C107" i="52"/>
  <c r="B95" i="52"/>
  <c r="M35" i="52"/>
  <c r="F86" i="52"/>
  <c r="BA17" i="17"/>
  <c r="BA6" i="17"/>
  <c r="BA10" i="17"/>
  <c r="AN24" i="40"/>
  <c r="BA9" i="17"/>
  <c r="BA14" i="17"/>
  <c r="AZ19" i="17"/>
  <c r="B25" i="52" s="1"/>
  <c r="BA15" i="17"/>
  <c r="BA13" i="17"/>
  <c r="BA19" i="43"/>
  <c r="AN24" i="41"/>
  <c r="AM19" i="41"/>
  <c r="C26" i="52" s="1"/>
  <c r="F26" i="52" s="1"/>
  <c r="AM19" i="40"/>
  <c r="C25" i="52" s="1"/>
  <c r="F25" i="52" s="1"/>
  <c r="AM19" i="39"/>
  <c r="C24" i="52" s="1"/>
  <c r="BA19" i="23"/>
  <c r="B35" i="52" s="1"/>
  <c r="L35" i="52" s="1"/>
  <c r="AZ22" i="23"/>
  <c r="B62" i="52" s="1"/>
  <c r="BA22" i="23"/>
  <c r="B71" i="52" s="1"/>
  <c r="F71" i="52" s="1"/>
  <c r="AZ19" i="23"/>
  <c r="B26" i="52" s="1"/>
  <c r="L26" i="52" s="1"/>
  <c r="AZ22" i="17"/>
  <c r="B61" i="52" s="1"/>
  <c r="AK19" i="17"/>
  <c r="AK22" i="17" s="1"/>
  <c r="AI19" i="17"/>
  <c r="AI22" i="17" s="1"/>
  <c r="AH19" i="17"/>
  <c r="AH22" i="17" s="1"/>
  <c r="AG19" i="17"/>
  <c r="AG22" i="17" s="1"/>
  <c r="BA22" i="43"/>
  <c r="M22" i="41"/>
  <c r="E22" i="41"/>
  <c r="F22" i="41"/>
  <c r="G22" i="41"/>
  <c r="H22" i="39"/>
  <c r="L22" i="39"/>
  <c r="L22" i="41"/>
  <c r="G22" i="40"/>
  <c r="H22" i="40"/>
  <c r="N22" i="39"/>
  <c r="D22" i="40"/>
  <c r="L22" i="40"/>
  <c r="N22" i="40"/>
  <c r="K22" i="40"/>
  <c r="E22" i="40"/>
  <c r="I22" i="40"/>
  <c r="M22" i="40"/>
  <c r="C22" i="40"/>
  <c r="J22" i="40"/>
  <c r="H19" i="38"/>
  <c r="C36" i="52" l="1"/>
  <c r="F34" i="52"/>
  <c r="F36" i="52" s="1"/>
  <c r="B113" i="52"/>
  <c r="F77" i="52"/>
  <c r="C28" i="52"/>
  <c r="F24" i="52"/>
  <c r="F27" i="52" s="1"/>
  <c r="B26" i="45"/>
  <c r="J26" i="45" s="1"/>
  <c r="AB26" i="3" s="1"/>
  <c r="B7" i="45"/>
  <c r="J7" i="45" s="1"/>
  <c r="AB7" i="3" s="1"/>
  <c r="B29" i="45"/>
  <c r="J29" i="45" s="1"/>
  <c r="B14" i="45"/>
  <c r="J14" i="45" s="1"/>
  <c r="AB14" i="3" s="1"/>
  <c r="B40" i="45"/>
  <c r="B11" i="45"/>
  <c r="B50" i="45"/>
  <c r="J50" i="45" s="1"/>
  <c r="B20" i="45"/>
  <c r="B23" i="45"/>
  <c r="B25" i="45"/>
  <c r="B27" i="45"/>
  <c r="B30" i="45"/>
  <c r="J30" i="45" s="1"/>
  <c r="B13" i="45"/>
  <c r="B28" i="45"/>
  <c r="B48" i="45"/>
  <c r="J48" i="45" s="1"/>
  <c r="B46" i="45"/>
  <c r="J46" i="45" s="1"/>
  <c r="B24" i="45"/>
  <c r="B10" i="45"/>
  <c r="B36" i="45"/>
  <c r="B19" i="45"/>
  <c r="B42" i="45"/>
  <c r="J42" i="45" s="1"/>
  <c r="B22" i="45"/>
  <c r="B35" i="45"/>
  <c r="B18" i="45"/>
  <c r="B8" i="45"/>
  <c r="B43" i="45"/>
  <c r="J43" i="45" s="1"/>
  <c r="B44" i="45"/>
  <c r="J44" i="45" s="1"/>
  <c r="B34" i="45"/>
  <c r="J34" i="45" s="1"/>
  <c r="AB34" i="3" s="1"/>
  <c r="B9" i="45"/>
  <c r="B5" i="45"/>
  <c r="J5" i="45" s="1"/>
  <c r="B15" i="45"/>
  <c r="B38" i="45"/>
  <c r="M34" i="52"/>
  <c r="B12" i="45"/>
  <c r="B16" i="45"/>
  <c r="B32" i="45"/>
  <c r="B37" i="45"/>
  <c r="B21" i="45"/>
  <c r="B17" i="45"/>
  <c r="J17" i="45" s="1"/>
  <c r="B51" i="45"/>
  <c r="J51" i="45" s="1"/>
  <c r="C38" i="52"/>
  <c r="C110" i="52" s="1"/>
  <c r="B65" i="52"/>
  <c r="E77" i="45" a="1"/>
  <c r="E82" i="45" s="1"/>
  <c r="B33" i="45"/>
  <c r="B31" i="45"/>
  <c r="B6" i="45"/>
  <c r="B39" i="45"/>
  <c r="B45" i="45"/>
  <c r="J45" i="45" s="1"/>
  <c r="B52" i="45"/>
  <c r="J52" i="45" s="1"/>
  <c r="B47" i="45"/>
  <c r="J47" i="45" s="1"/>
  <c r="B49" i="45"/>
  <c r="J49" i="45" s="1"/>
  <c r="B116" i="52"/>
  <c r="E17" i="45" a="1"/>
  <c r="E24" i="45" s="1"/>
  <c r="F113" i="52"/>
  <c r="D77" i="45" a="1"/>
  <c r="D79" i="45" s="1"/>
  <c r="C72" i="52"/>
  <c r="C108" i="52" s="1"/>
  <c r="C106" i="52"/>
  <c r="L88" i="3"/>
  <c r="BA19" i="17"/>
  <c r="B34" i="52" s="1"/>
  <c r="B38" i="52" s="1"/>
  <c r="L34" i="52"/>
  <c r="AU19" i="17"/>
  <c r="AU22" i="17" s="1"/>
  <c r="BB22" i="17" s="1"/>
  <c r="B79" i="52" s="1"/>
  <c r="B29" i="52"/>
  <c r="L25" i="52"/>
  <c r="B32" i="52"/>
  <c r="B68" i="52"/>
  <c r="F68" i="52" s="1"/>
  <c r="C29" i="52"/>
  <c r="I36" i="52"/>
  <c r="B98" i="52"/>
  <c r="B107" i="52"/>
  <c r="M24" i="52"/>
  <c r="C27" i="52"/>
  <c r="M26" i="52"/>
  <c r="M25" i="52"/>
  <c r="B97" i="52"/>
  <c r="F95" i="52"/>
  <c r="BA22" i="17"/>
  <c r="B70" i="52" s="1"/>
  <c r="AM22" i="39"/>
  <c r="AM22" i="41"/>
  <c r="AM22" i="40"/>
  <c r="I38" i="52" l="1"/>
  <c r="J22" i="45"/>
  <c r="AB22" i="3" s="1"/>
  <c r="J11" i="45"/>
  <c r="AB11" i="3" s="1"/>
  <c r="J35" i="45"/>
  <c r="AB35" i="3" s="1"/>
  <c r="J37" i="45"/>
  <c r="AB37" i="3" s="1"/>
  <c r="J32" i="45"/>
  <c r="AB32" i="3" s="1"/>
  <c r="J10" i="45"/>
  <c r="AB10" i="3" s="1"/>
  <c r="J38" i="45"/>
  <c r="AB38" i="3" s="1"/>
  <c r="J39" i="45"/>
  <c r="AB39" i="3" s="1"/>
  <c r="J28" i="45"/>
  <c r="AB28" i="3" s="1"/>
  <c r="J31" i="45"/>
  <c r="AB31" i="3" s="1"/>
  <c r="J9" i="45"/>
  <c r="AB9" i="3" s="1"/>
  <c r="J13" i="45"/>
  <c r="AB13" i="3" s="1"/>
  <c r="J21" i="45"/>
  <c r="AB21" i="3" s="1"/>
  <c r="J19" i="45"/>
  <c r="AB19" i="3" s="1"/>
  <c r="J12" i="45"/>
  <c r="AB12" i="3" s="1"/>
  <c r="B74" i="52"/>
  <c r="B110" i="52" s="1"/>
  <c r="F70" i="52"/>
  <c r="J33" i="45"/>
  <c r="AB33" i="3" s="1"/>
  <c r="J40" i="45"/>
  <c r="AB40" i="3" s="1"/>
  <c r="J27" i="45"/>
  <c r="AB27" i="3" s="1"/>
  <c r="J24" i="45"/>
  <c r="AB24" i="3" s="1"/>
  <c r="J25" i="45"/>
  <c r="AB25" i="3" s="1"/>
  <c r="J15" i="45"/>
  <c r="AB15" i="3" s="1"/>
  <c r="J8" i="45"/>
  <c r="J23" i="45"/>
  <c r="AB23" i="3" s="1"/>
  <c r="J16" i="45"/>
  <c r="AB16" i="3" s="1"/>
  <c r="J36" i="45"/>
  <c r="AB36" i="3" s="1"/>
  <c r="J6" i="45"/>
  <c r="AB6" i="3" s="1"/>
  <c r="J18" i="45"/>
  <c r="AB18" i="3" s="1"/>
  <c r="J20" i="45"/>
  <c r="AB20" i="3" s="1"/>
  <c r="E91" i="45"/>
  <c r="E84" i="45"/>
  <c r="E97" i="45"/>
  <c r="E78" i="45"/>
  <c r="B101" i="52"/>
  <c r="D109" i="45"/>
  <c r="E50" i="45"/>
  <c r="E51" i="45"/>
  <c r="E28" i="45"/>
  <c r="E44" i="45"/>
  <c r="E52" i="45"/>
  <c r="E21" i="45"/>
  <c r="E34" i="45"/>
  <c r="E33" i="45"/>
  <c r="E23" i="45"/>
  <c r="E18" i="45"/>
  <c r="E25" i="45"/>
  <c r="E46" i="45"/>
  <c r="E17" i="45"/>
  <c r="D82" i="45"/>
  <c r="D85" i="45"/>
  <c r="E45" i="45"/>
  <c r="D94" i="45"/>
  <c r="E100" i="45"/>
  <c r="E35" i="45"/>
  <c r="E89" i="45"/>
  <c r="E42" i="45"/>
  <c r="E96" i="45"/>
  <c r="E26" i="45"/>
  <c r="E85" i="45"/>
  <c r="E43" i="45"/>
  <c r="E108" i="45"/>
  <c r="E107" i="45"/>
  <c r="D91" i="45"/>
  <c r="E112" i="45"/>
  <c r="D86" i="45"/>
  <c r="E102" i="45"/>
  <c r="E36" i="45"/>
  <c r="D80" i="45"/>
  <c r="E104" i="45"/>
  <c r="E47" i="45"/>
  <c r="D105" i="45"/>
  <c r="E87" i="45"/>
  <c r="E39" i="45"/>
  <c r="E83" i="45"/>
  <c r="E77" i="45"/>
  <c r="E48" i="45"/>
  <c r="E79" i="45"/>
  <c r="E41" i="45"/>
  <c r="E19" i="45"/>
  <c r="E111" i="45"/>
  <c r="D97" i="45"/>
  <c r="E99" i="45"/>
  <c r="E106" i="45"/>
  <c r="D88" i="45"/>
  <c r="E98" i="45"/>
  <c r="E94" i="45"/>
  <c r="D84" i="45"/>
  <c r="E90" i="45"/>
  <c r="E93" i="45"/>
  <c r="D104" i="45"/>
  <c r="E101" i="45"/>
  <c r="E88" i="45"/>
  <c r="D101" i="45"/>
  <c r="E92" i="45"/>
  <c r="E109" i="45"/>
  <c r="D78" i="45"/>
  <c r="E95" i="45"/>
  <c r="E105" i="45"/>
  <c r="E31" i="45"/>
  <c r="J57" i="45"/>
  <c r="B57" i="45"/>
  <c r="D83" i="45"/>
  <c r="E80" i="45"/>
  <c r="D96" i="45"/>
  <c r="E81" i="45"/>
  <c r="D103" i="45"/>
  <c r="E86" i="45"/>
  <c r="E110" i="45"/>
  <c r="E27" i="45"/>
  <c r="D87" i="45"/>
  <c r="E103" i="45"/>
  <c r="B115" i="52"/>
  <c r="B83" i="52"/>
  <c r="B118" i="52" s="1"/>
  <c r="D95" i="45"/>
  <c r="D99" i="45"/>
  <c r="D110" i="45"/>
  <c r="D93" i="45"/>
  <c r="D81" i="45"/>
  <c r="D111" i="45"/>
  <c r="D112" i="45"/>
  <c r="D100" i="45"/>
  <c r="D106" i="45"/>
  <c r="D77" i="45"/>
  <c r="E20" i="45"/>
  <c r="E49" i="45"/>
  <c r="D107" i="45"/>
  <c r="D89" i="45"/>
  <c r="E37" i="45"/>
  <c r="E40" i="45"/>
  <c r="D98" i="45"/>
  <c r="D108" i="45"/>
  <c r="E22" i="45"/>
  <c r="E30" i="45"/>
  <c r="D92" i="45"/>
  <c r="D90" i="45"/>
  <c r="E38" i="45"/>
  <c r="E29" i="45"/>
  <c r="D102" i="45"/>
  <c r="E32" i="45"/>
  <c r="F38" i="52"/>
  <c r="I72" i="52"/>
  <c r="I74" i="52"/>
  <c r="AB5" i="3"/>
  <c r="AB29" i="3"/>
  <c r="F107" i="52"/>
  <c r="L32" i="52"/>
  <c r="F104" i="52"/>
  <c r="B104" i="52"/>
  <c r="F29" i="52"/>
  <c r="I27" i="52"/>
  <c r="I29" i="52"/>
  <c r="AM24" i="39"/>
  <c r="C60" i="52"/>
  <c r="C64" i="52" s="1"/>
  <c r="C100" i="52" s="1"/>
  <c r="AM24" i="41"/>
  <c r="C62" i="52"/>
  <c r="F62" i="52" s="1"/>
  <c r="B106" i="52"/>
  <c r="AM24" i="40"/>
  <c r="C61" i="52"/>
  <c r="F61" i="52" s="1"/>
  <c r="B55" i="45"/>
  <c r="B54" i="45"/>
  <c r="B56" i="45"/>
  <c r="AB17" i="3"/>
  <c r="C7" i="34"/>
  <c r="J55" i="45" l="1"/>
  <c r="J56" i="45"/>
  <c r="J54" i="45"/>
  <c r="J58" i="45" s="1"/>
  <c r="AB8" i="3"/>
  <c r="F74" i="52"/>
  <c r="F110" i="52" s="1"/>
  <c r="E117" i="45"/>
  <c r="E116" i="45"/>
  <c r="E115" i="45"/>
  <c r="E57" i="45"/>
  <c r="E55" i="45"/>
  <c r="D116" i="45"/>
  <c r="D123" i="45" s="1"/>
  <c r="E56" i="45"/>
  <c r="D115" i="45"/>
  <c r="D122" i="45" s="1"/>
  <c r="E124" i="45"/>
  <c r="D117" i="45"/>
  <c r="D124" i="45" s="1"/>
  <c r="B58" i="45"/>
  <c r="B59" i="45" s="1"/>
  <c r="AB30" i="3"/>
  <c r="C65" i="52"/>
  <c r="C101" i="52" s="1"/>
  <c r="C97" i="52"/>
  <c r="F106" i="52"/>
  <c r="C98" i="52"/>
  <c r="F98" i="52"/>
  <c r="C96" i="52"/>
  <c r="C63" i="52"/>
  <c r="C30" i="16" a="1"/>
  <c r="C30" i="16" s="1"/>
  <c r="O30" i="16" s="1"/>
  <c r="AA30" i="16" s="1"/>
  <c r="AM30" i="16" s="1"/>
  <c r="E118" i="45" l="1"/>
  <c r="E119" i="45" s="1"/>
  <c r="E123" i="45"/>
  <c r="E58" i="45"/>
  <c r="E59" i="45" s="1"/>
  <c r="AB42" i="3"/>
  <c r="E122" i="45"/>
  <c r="D125" i="45"/>
  <c r="D118" i="45"/>
  <c r="D119" i="45" s="1"/>
  <c r="E125" i="45"/>
  <c r="I65" i="52"/>
  <c r="F97" i="52"/>
  <c r="F65" i="52"/>
  <c r="F101" i="52" s="1"/>
  <c r="I63" i="52"/>
  <c r="C99" i="52"/>
  <c r="N32" i="16"/>
  <c r="Z32" i="16" s="1"/>
  <c r="AL32" i="16" s="1"/>
  <c r="AX32" i="16" s="1"/>
  <c r="M32" i="16"/>
  <c r="Y32" i="16" s="1"/>
  <c r="AK32" i="16" s="1"/>
  <c r="AW32" i="16" s="1"/>
  <c r="L32" i="16"/>
  <c r="X32" i="16" s="1"/>
  <c r="AJ32" i="16" s="1"/>
  <c r="AV32" i="16" s="1"/>
  <c r="L30" i="16"/>
  <c r="X30" i="16" s="1"/>
  <c r="AJ30" i="16" s="1"/>
  <c r="AV30" i="16" s="1"/>
  <c r="J32" i="16"/>
  <c r="V32" i="16" s="1"/>
  <c r="AH32" i="16" s="1"/>
  <c r="AT32" i="16" s="1"/>
  <c r="J31" i="16"/>
  <c r="V31" i="16" s="1"/>
  <c r="AH31" i="16" s="1"/>
  <c r="AT31" i="16" s="1"/>
  <c r="J30" i="16"/>
  <c r="V30" i="16" s="1"/>
  <c r="AH30" i="16" s="1"/>
  <c r="AT30" i="16" s="1"/>
  <c r="N30" i="16"/>
  <c r="Z30" i="16" s="1"/>
  <c r="AL30" i="16" s="1"/>
  <c r="AX30" i="16" s="1"/>
  <c r="M30" i="16"/>
  <c r="Y30" i="16" s="1"/>
  <c r="AK30" i="16" s="1"/>
  <c r="AW30" i="16" s="1"/>
  <c r="L31" i="16"/>
  <c r="X31" i="16" s="1"/>
  <c r="AJ31" i="16" s="1"/>
  <c r="AV31" i="16" s="1"/>
  <c r="K32" i="16"/>
  <c r="W32" i="16" s="1"/>
  <c r="AI32" i="16" s="1"/>
  <c r="AU32" i="16" s="1"/>
  <c r="K30" i="16"/>
  <c r="W30" i="16" s="1"/>
  <c r="AI30" i="16" s="1"/>
  <c r="AU30" i="16" s="1"/>
  <c r="I32" i="16"/>
  <c r="U32" i="16" s="1"/>
  <c r="AG32" i="16" s="1"/>
  <c r="AS32" i="16" s="1"/>
  <c r="I30" i="16"/>
  <c r="U30" i="16" s="1"/>
  <c r="AG30" i="16" s="1"/>
  <c r="AS30" i="16" s="1"/>
  <c r="H32" i="16"/>
  <c r="T32" i="16" s="1"/>
  <c r="AF32" i="16" s="1"/>
  <c r="AR32" i="16" s="1"/>
  <c r="H31" i="16"/>
  <c r="T31" i="16" s="1"/>
  <c r="AF31" i="16" s="1"/>
  <c r="AR31" i="16" s="1"/>
  <c r="H30" i="16"/>
  <c r="T30" i="16" s="1"/>
  <c r="AF30" i="16" s="1"/>
  <c r="AR30" i="16" s="1"/>
  <c r="N31" i="16"/>
  <c r="Z31" i="16" s="1"/>
  <c r="AL31" i="16" s="1"/>
  <c r="AX31" i="16" s="1"/>
  <c r="M31" i="16"/>
  <c r="Y31" i="16" s="1"/>
  <c r="AK31" i="16" s="1"/>
  <c r="AW31" i="16" s="1"/>
  <c r="K31" i="16"/>
  <c r="W31" i="16" s="1"/>
  <c r="AI31" i="16" s="1"/>
  <c r="AU31" i="16" s="1"/>
  <c r="I31" i="16"/>
  <c r="U31" i="16" s="1"/>
  <c r="AG31" i="16" s="1"/>
  <c r="AS31" i="16" s="1"/>
  <c r="G32" i="16"/>
  <c r="S32" i="16" s="1"/>
  <c r="AE32" i="16" s="1"/>
  <c r="AQ32" i="16" s="1"/>
  <c r="G31" i="16"/>
  <c r="S31" i="16" s="1"/>
  <c r="AE31" i="16" s="1"/>
  <c r="AQ31" i="16" s="1"/>
  <c r="G30" i="16"/>
  <c r="S30" i="16" s="1"/>
  <c r="AE30" i="16" s="1"/>
  <c r="AQ30" i="16" s="1"/>
  <c r="F31" i="16"/>
  <c r="R31" i="16" s="1"/>
  <c r="AD31" i="16" s="1"/>
  <c r="AP31" i="16" s="1"/>
  <c r="D30" i="16"/>
  <c r="P30" i="16" s="1"/>
  <c r="AB30" i="16" s="1"/>
  <c r="AN30" i="16" s="1"/>
  <c r="F32" i="16"/>
  <c r="R32" i="16" s="1"/>
  <c r="AD32" i="16" s="1"/>
  <c r="AP32" i="16" s="1"/>
  <c r="F30" i="16"/>
  <c r="R30" i="16" s="1"/>
  <c r="AD30" i="16" s="1"/>
  <c r="AP30" i="16" s="1"/>
  <c r="E32" i="16"/>
  <c r="Q32" i="16" s="1"/>
  <c r="AC32" i="16" s="1"/>
  <c r="AO32" i="16" s="1"/>
  <c r="E31" i="16"/>
  <c r="Q31" i="16" s="1"/>
  <c r="AC31" i="16" s="1"/>
  <c r="AO31" i="16" s="1"/>
  <c r="E30" i="16"/>
  <c r="Q30" i="16" s="1"/>
  <c r="AC30" i="16" s="1"/>
  <c r="AO30" i="16" s="1"/>
  <c r="D32" i="16"/>
  <c r="P32" i="16" s="1"/>
  <c r="AB32" i="16" s="1"/>
  <c r="AN32" i="16" s="1"/>
  <c r="D31" i="16"/>
  <c r="P31" i="16" s="1"/>
  <c r="AB31" i="16" s="1"/>
  <c r="AN31" i="16" s="1"/>
  <c r="C32" i="16"/>
  <c r="O32" i="16" s="1"/>
  <c r="AA32" i="16" s="1"/>
  <c r="AM32" i="16" s="1"/>
  <c r="C31" i="16"/>
  <c r="O31" i="16" s="1"/>
  <c r="AX12" i="16" l="1"/>
  <c r="AX11" i="16"/>
  <c r="AX9" i="16"/>
  <c r="AX10" i="16"/>
  <c r="AX8" i="16"/>
  <c r="AX16" i="16"/>
  <c r="AX15" i="16"/>
  <c r="AX14" i="16"/>
  <c r="AX17" i="16"/>
  <c r="AX7" i="16"/>
  <c r="AX6" i="16"/>
  <c r="AX13" i="16"/>
  <c r="AT6" i="16"/>
  <c r="AT14" i="16"/>
  <c r="AT7" i="16"/>
  <c r="AT11" i="16"/>
  <c r="AT9" i="16"/>
  <c r="AT15" i="16"/>
  <c r="AT16" i="16"/>
  <c r="AT8" i="16"/>
  <c r="AT13" i="16"/>
  <c r="AT12" i="16"/>
  <c r="AT17" i="16"/>
  <c r="AT10" i="16"/>
  <c r="AP15" i="16"/>
  <c r="AP17" i="16"/>
  <c r="AP9" i="16"/>
  <c r="AP11" i="16"/>
  <c r="AP10" i="16"/>
  <c r="AP7" i="16"/>
  <c r="AP13" i="16"/>
  <c r="AP6" i="16"/>
  <c r="AP19" i="16" s="1"/>
  <c r="AP22" i="16" s="1"/>
  <c r="AP14" i="16"/>
  <c r="AP12" i="16"/>
  <c r="AP8" i="16"/>
  <c r="AP16" i="16"/>
  <c r="AW13" i="16"/>
  <c r="AW10" i="16"/>
  <c r="AW9" i="16"/>
  <c r="AW12" i="16"/>
  <c r="AW14" i="16"/>
  <c r="AW8" i="16"/>
  <c r="AW16" i="16"/>
  <c r="AW6" i="16"/>
  <c r="AW15" i="16"/>
  <c r="AW7" i="16"/>
  <c r="AW11" i="16"/>
  <c r="AW17" i="16"/>
  <c r="AU12" i="16"/>
  <c r="AU15" i="16"/>
  <c r="AU9" i="16"/>
  <c r="AU13" i="16"/>
  <c r="AU10" i="16"/>
  <c r="AU8" i="16"/>
  <c r="AU16" i="16"/>
  <c r="AU11" i="16"/>
  <c r="AU17" i="16"/>
  <c r="AU6" i="16"/>
  <c r="AU14" i="16"/>
  <c r="AU7" i="16"/>
  <c r="AQ9" i="16"/>
  <c r="AQ14" i="16"/>
  <c r="AQ12" i="16"/>
  <c r="AQ6" i="16"/>
  <c r="AQ19" i="16" s="1"/>
  <c r="AQ22" i="16" s="1"/>
  <c r="AQ7" i="16"/>
  <c r="AQ11" i="16"/>
  <c r="AQ10" i="16"/>
  <c r="AQ16" i="16"/>
  <c r="AQ15" i="16"/>
  <c r="AQ13" i="16"/>
  <c r="AQ8" i="16"/>
  <c r="AQ17" i="16"/>
  <c r="AN7" i="16"/>
  <c r="AN12" i="16"/>
  <c r="AN13" i="16"/>
  <c r="AN16" i="16"/>
  <c r="AN15" i="16"/>
  <c r="AN14" i="16"/>
  <c r="AN9" i="16"/>
  <c r="AN17" i="16"/>
  <c r="AN10" i="16"/>
  <c r="AN8" i="16"/>
  <c r="AN6" i="16"/>
  <c r="AN11" i="16"/>
  <c r="AO17" i="16"/>
  <c r="AO15" i="16"/>
  <c r="AO11" i="16"/>
  <c r="AO14" i="16"/>
  <c r="AO16" i="16"/>
  <c r="AO9" i="16"/>
  <c r="AO12" i="16"/>
  <c r="AO10" i="16"/>
  <c r="AO6" i="16"/>
  <c r="AO7" i="16"/>
  <c r="AO13" i="16"/>
  <c r="AO8" i="16"/>
  <c r="AS10" i="16"/>
  <c r="AS14" i="16"/>
  <c r="AS7" i="16"/>
  <c r="AS11" i="16"/>
  <c r="AS9" i="16"/>
  <c r="AS6" i="16"/>
  <c r="AS16" i="16"/>
  <c r="AS13" i="16"/>
  <c r="AS12" i="16"/>
  <c r="AS15" i="16"/>
  <c r="AS17" i="16"/>
  <c r="AS8" i="16"/>
  <c r="AV7" i="16"/>
  <c r="AV10" i="16"/>
  <c r="AV16" i="16"/>
  <c r="AV14" i="16"/>
  <c r="AV13" i="16"/>
  <c r="AV12" i="16"/>
  <c r="AV15" i="16"/>
  <c r="AV8" i="16"/>
  <c r="AV6" i="16"/>
  <c r="AV11" i="16"/>
  <c r="AV17" i="16"/>
  <c r="AV9" i="16"/>
  <c r="AR9" i="16"/>
  <c r="AR6" i="16"/>
  <c r="AR13" i="16"/>
  <c r="AR10" i="16"/>
  <c r="AR14" i="16"/>
  <c r="AR7" i="16"/>
  <c r="AR11" i="16"/>
  <c r="AR8" i="16"/>
  <c r="AR12" i="16"/>
  <c r="AR16" i="16"/>
  <c r="AR17" i="16"/>
  <c r="AR15" i="16"/>
  <c r="AI15" i="16"/>
  <c r="AK15" i="16"/>
  <c r="AL15" i="16"/>
  <c r="O16" i="16"/>
  <c r="AA31" i="16"/>
  <c r="AM31" i="16" s="1"/>
  <c r="AF14" i="16"/>
  <c r="AF13" i="16"/>
  <c r="AF15" i="16"/>
  <c r="AF9" i="16"/>
  <c r="AF16" i="16"/>
  <c r="AF17" i="16"/>
  <c r="AF6" i="16"/>
  <c r="AF7" i="16"/>
  <c r="AF10" i="16"/>
  <c r="AF12" i="16"/>
  <c r="AF11" i="16"/>
  <c r="AF8" i="16"/>
  <c r="AG14" i="16"/>
  <c r="AG12" i="16"/>
  <c r="AG8" i="16"/>
  <c r="AG16" i="16"/>
  <c r="AG15" i="16"/>
  <c r="AG9" i="16"/>
  <c r="AG11" i="16"/>
  <c r="AG17" i="16"/>
  <c r="AG7" i="16"/>
  <c r="AG6" i="16"/>
  <c r="AG10" i="16"/>
  <c r="AG13" i="16"/>
  <c r="AI8" i="16"/>
  <c r="AI13" i="16"/>
  <c r="AI17" i="16"/>
  <c r="AI6" i="16"/>
  <c r="AI14" i="16"/>
  <c r="AI10" i="16"/>
  <c r="AI9" i="16"/>
  <c r="AI16" i="16"/>
  <c r="AI11" i="16"/>
  <c r="AI7" i="16"/>
  <c r="AI12" i="16"/>
  <c r="AA17" i="16"/>
  <c r="AB17" i="16"/>
  <c r="AC15" i="16"/>
  <c r="AC13" i="16"/>
  <c r="AC9" i="16"/>
  <c r="AC16" i="16"/>
  <c r="AC17" i="16"/>
  <c r="AC10" i="16"/>
  <c r="AC12" i="16"/>
  <c r="AC7" i="16"/>
  <c r="AC6" i="16"/>
  <c r="AC8" i="16"/>
  <c r="AC11" i="16"/>
  <c r="AC14" i="16"/>
  <c r="AJ11" i="16"/>
  <c r="AK10" i="16"/>
  <c r="AK6" i="16"/>
  <c r="AK11" i="16"/>
  <c r="AK8" i="16"/>
  <c r="AK13" i="16"/>
  <c r="AK9" i="16"/>
  <c r="AK16" i="16"/>
  <c r="AK17" i="16"/>
  <c r="AK12" i="16"/>
  <c r="AK14" i="16"/>
  <c r="AK7" i="16"/>
  <c r="AH14" i="16"/>
  <c r="AH11" i="16"/>
  <c r="AH17" i="16"/>
  <c r="AH16" i="16"/>
  <c r="AH15" i="16"/>
  <c r="AH12" i="16"/>
  <c r="AH13" i="16"/>
  <c r="AH6" i="16"/>
  <c r="AH7" i="16"/>
  <c r="AH10" i="16"/>
  <c r="AH9" i="16"/>
  <c r="AH8" i="16"/>
  <c r="AJ15" i="16"/>
  <c r="AJ14" i="16"/>
  <c r="AJ10" i="16"/>
  <c r="AJ8" i="16"/>
  <c r="AJ6" i="16"/>
  <c r="AJ13" i="16"/>
  <c r="AJ16" i="16"/>
  <c r="AJ9" i="16"/>
  <c r="AJ12" i="16"/>
  <c r="AJ7" i="16"/>
  <c r="AJ17" i="16"/>
  <c r="AD13" i="16"/>
  <c r="AD9" i="16"/>
  <c r="AD16" i="16"/>
  <c r="AD10" i="16"/>
  <c r="AD12" i="16"/>
  <c r="AD7" i="16"/>
  <c r="AD17" i="16"/>
  <c r="AD6" i="16"/>
  <c r="AD14" i="16"/>
  <c r="AD15" i="16"/>
  <c r="AD11" i="16"/>
  <c r="AD8" i="16"/>
  <c r="AB9" i="16"/>
  <c r="AB15" i="16"/>
  <c r="AB6" i="16"/>
  <c r="AB14" i="16"/>
  <c r="AB13" i="16"/>
  <c r="AB16" i="16"/>
  <c r="AB10" i="16"/>
  <c r="AB7" i="16"/>
  <c r="AB12" i="16"/>
  <c r="AB8" i="16"/>
  <c r="AB11" i="16"/>
  <c r="AE14" i="16"/>
  <c r="AE11" i="16"/>
  <c r="AE16" i="16"/>
  <c r="AE13" i="16"/>
  <c r="AE15" i="16"/>
  <c r="AE6" i="16"/>
  <c r="AE10" i="16"/>
  <c r="AE12" i="16"/>
  <c r="AE17" i="16"/>
  <c r="AE7" i="16"/>
  <c r="AE8" i="16"/>
  <c r="AE9" i="16"/>
  <c r="AL13" i="16"/>
  <c r="AL8" i="16"/>
  <c r="AL16" i="16"/>
  <c r="AL6" i="16"/>
  <c r="AL12" i="16"/>
  <c r="AL9" i="16"/>
  <c r="AL17" i="16"/>
  <c r="AL11" i="16"/>
  <c r="AL10" i="16"/>
  <c r="AL7" i="16"/>
  <c r="AL14" i="16"/>
  <c r="O14" i="16"/>
  <c r="P12" i="16"/>
  <c r="P6" i="16"/>
  <c r="P10" i="16"/>
  <c r="P13" i="16"/>
  <c r="P8" i="16"/>
  <c r="P17" i="16"/>
  <c r="P11" i="16"/>
  <c r="P7" i="16"/>
  <c r="P9" i="16"/>
  <c r="P14" i="16"/>
  <c r="P16" i="16"/>
  <c r="P15" i="16"/>
  <c r="X15" i="16"/>
  <c r="X7" i="16"/>
  <c r="X9" i="16"/>
  <c r="X13" i="16"/>
  <c r="X6" i="16"/>
  <c r="X11" i="16"/>
  <c r="X16" i="16"/>
  <c r="X14" i="16"/>
  <c r="X17" i="16"/>
  <c r="X12" i="16"/>
  <c r="X10" i="16"/>
  <c r="X8" i="16"/>
  <c r="T6" i="16"/>
  <c r="T10" i="16"/>
  <c r="T9" i="16"/>
  <c r="T7" i="16"/>
  <c r="T11" i="16"/>
  <c r="T13" i="16"/>
  <c r="T14" i="16"/>
  <c r="T16" i="16"/>
  <c r="T12" i="16"/>
  <c r="T8" i="16"/>
  <c r="T15" i="16"/>
  <c r="T17" i="16"/>
  <c r="R17" i="16"/>
  <c r="R15" i="16"/>
  <c r="R11" i="16"/>
  <c r="R13" i="16"/>
  <c r="R6" i="16"/>
  <c r="R14" i="16"/>
  <c r="R9" i="16"/>
  <c r="R12" i="16"/>
  <c r="R7" i="16"/>
  <c r="R8" i="16"/>
  <c r="R16" i="16"/>
  <c r="R10" i="16"/>
  <c r="O7" i="16"/>
  <c r="O11" i="16"/>
  <c r="O9" i="16"/>
  <c r="O17" i="16"/>
  <c r="S13" i="16"/>
  <c r="S16" i="16"/>
  <c r="S17" i="16"/>
  <c r="S6" i="16"/>
  <c r="S10" i="16"/>
  <c r="S9" i="16"/>
  <c r="S11" i="16"/>
  <c r="S15" i="16"/>
  <c r="S14" i="16"/>
  <c r="S7" i="16"/>
  <c r="S8" i="16"/>
  <c r="S12" i="16"/>
  <c r="V16" i="16"/>
  <c r="V14" i="16"/>
  <c r="V7" i="16"/>
  <c r="V15" i="16"/>
  <c r="V9" i="16"/>
  <c r="V13" i="16"/>
  <c r="V17" i="16"/>
  <c r="V8" i="16"/>
  <c r="V10" i="16"/>
  <c r="V12" i="16"/>
  <c r="V6" i="16"/>
  <c r="V11" i="16"/>
  <c r="O10" i="16"/>
  <c r="Q9" i="16"/>
  <c r="Q10" i="16"/>
  <c r="Q13" i="16"/>
  <c r="Q6" i="16"/>
  <c r="Q11" i="16"/>
  <c r="Q12" i="16"/>
  <c r="Q15" i="16"/>
  <c r="Q16" i="16"/>
  <c r="Q17" i="16"/>
  <c r="Q8" i="16"/>
  <c r="Q7" i="16"/>
  <c r="Q14" i="16"/>
  <c r="U14" i="16"/>
  <c r="U13" i="16"/>
  <c r="U16" i="16"/>
  <c r="U7" i="16"/>
  <c r="U17" i="16"/>
  <c r="U8" i="16"/>
  <c r="U9" i="16"/>
  <c r="U11" i="16"/>
  <c r="U6" i="16"/>
  <c r="U12" i="16"/>
  <c r="U15" i="16"/>
  <c r="U10" i="16"/>
  <c r="W11" i="16"/>
  <c r="W17" i="16"/>
  <c r="W14" i="16"/>
  <c r="W10" i="16"/>
  <c r="W15" i="16"/>
  <c r="W12" i="16"/>
  <c r="W13" i="16"/>
  <c r="W16" i="16"/>
  <c r="W9" i="16"/>
  <c r="W7" i="16"/>
  <c r="W6" i="16"/>
  <c r="W8" i="16"/>
  <c r="O13" i="16"/>
  <c r="Z11" i="16"/>
  <c r="Z12" i="16"/>
  <c r="Z8" i="16"/>
  <c r="Z13" i="16"/>
  <c r="Z17" i="16"/>
  <c r="Z7" i="16"/>
  <c r="Z16" i="16"/>
  <c r="Z9" i="16"/>
  <c r="Z6" i="16"/>
  <c r="Z14" i="16"/>
  <c r="Z15" i="16"/>
  <c r="Z10" i="16"/>
  <c r="O15" i="16"/>
  <c r="O6" i="16"/>
  <c r="O8" i="16"/>
  <c r="O12" i="16"/>
  <c r="Y7" i="16"/>
  <c r="Y10" i="16"/>
  <c r="Y16" i="16"/>
  <c r="Y13" i="16"/>
  <c r="Y14" i="16"/>
  <c r="Y8" i="16"/>
  <c r="Y17" i="16"/>
  <c r="Y12" i="16"/>
  <c r="Y6" i="16"/>
  <c r="Y11" i="16"/>
  <c r="Y15" i="16"/>
  <c r="Y9" i="16"/>
  <c r="B7" i="34"/>
  <c r="C17" i="31"/>
  <c r="D17" i="31"/>
  <c r="E17" i="31"/>
  <c r="B17" i="31"/>
  <c r="AX19" i="16" l="1"/>
  <c r="AX22" i="16" s="1"/>
  <c r="AO19" i="16"/>
  <c r="AO22" i="16" s="1"/>
  <c r="AT19" i="16"/>
  <c r="AT22" i="16" s="1"/>
  <c r="AW19" i="16"/>
  <c r="AW22" i="16" s="1"/>
  <c r="AR19" i="16"/>
  <c r="AR22" i="16" s="1"/>
  <c r="AU19" i="16"/>
  <c r="AU22" i="16" s="1"/>
  <c r="AM17" i="16"/>
  <c r="AM6" i="16"/>
  <c r="AM13" i="16"/>
  <c r="AM10" i="16"/>
  <c r="AM14" i="16"/>
  <c r="AM11" i="16"/>
  <c r="AM16" i="16"/>
  <c r="AM15" i="16"/>
  <c r="AM8" i="16"/>
  <c r="AM7" i="16"/>
  <c r="AM12" i="16"/>
  <c r="AM9" i="16"/>
  <c r="AS19" i="16"/>
  <c r="AS22" i="16" s="1"/>
  <c r="AV19" i="16"/>
  <c r="AV22" i="16" s="1"/>
  <c r="AN19" i="16"/>
  <c r="AN22" i="16" s="1"/>
  <c r="AZ13" i="16"/>
  <c r="BA17" i="16"/>
  <c r="AZ12" i="16"/>
  <c r="AZ14" i="16"/>
  <c r="AZ9" i="16"/>
  <c r="AZ11" i="16"/>
  <c r="AZ7" i="16"/>
  <c r="AZ10" i="16"/>
  <c r="AZ17" i="16"/>
  <c r="AZ8" i="16"/>
  <c r="AZ16" i="16"/>
  <c r="AC19" i="16"/>
  <c r="AC22" i="16" s="1"/>
  <c r="AZ6" i="16"/>
  <c r="AZ15" i="16"/>
  <c r="AK19" i="16"/>
  <c r="AK22" i="16" s="1"/>
  <c r="AD19" i="16"/>
  <c r="AD22" i="16" s="1"/>
  <c r="AF19" i="16"/>
  <c r="AF22" i="16" s="1"/>
  <c r="AG19" i="16"/>
  <c r="AG22" i="16" s="1"/>
  <c r="AB19" i="16"/>
  <c r="AB22" i="16" s="1"/>
  <c r="AH19" i="16"/>
  <c r="AH22" i="16" s="1"/>
  <c r="AJ19" i="16"/>
  <c r="AJ22" i="16" s="1"/>
  <c r="AI19" i="16"/>
  <c r="AI22" i="16" s="1"/>
  <c r="AL19" i="16"/>
  <c r="AL22" i="16" s="1"/>
  <c r="AE19" i="16"/>
  <c r="AE22" i="16" s="1"/>
  <c r="AA16" i="16"/>
  <c r="BA16" i="16" s="1"/>
  <c r="AA6" i="16"/>
  <c r="BA6" i="16" s="1"/>
  <c r="AA12" i="16"/>
  <c r="BA12" i="16" s="1"/>
  <c r="AA8" i="16"/>
  <c r="BA8" i="16" s="1"/>
  <c r="AA15" i="16"/>
  <c r="BA15" i="16" s="1"/>
  <c r="AA13" i="16"/>
  <c r="BA13" i="16" s="1"/>
  <c r="AA9" i="16"/>
  <c r="BA9" i="16" s="1"/>
  <c r="AA10" i="16"/>
  <c r="BA10" i="16" s="1"/>
  <c r="AA11" i="16"/>
  <c r="BA11" i="16" s="1"/>
  <c r="AA7" i="16"/>
  <c r="BA7" i="16" s="1"/>
  <c r="AA14" i="16"/>
  <c r="BA14" i="16" s="1"/>
  <c r="Z19" i="16"/>
  <c r="Z22" i="16" s="1"/>
  <c r="S19" i="16"/>
  <c r="S22" i="16" s="1"/>
  <c r="T19" i="16"/>
  <c r="T22" i="16" s="1"/>
  <c r="Y19" i="16"/>
  <c r="Y22" i="16" s="1"/>
  <c r="U19" i="16"/>
  <c r="U22" i="16" s="1"/>
  <c r="P19" i="16"/>
  <c r="P22" i="16" s="1"/>
  <c r="Q19" i="16"/>
  <c r="Q22" i="16" s="1"/>
  <c r="X19" i="16"/>
  <c r="X22" i="16" s="1"/>
  <c r="V19" i="16"/>
  <c r="V22" i="16" s="1"/>
  <c r="R19" i="16"/>
  <c r="R22" i="16" s="1"/>
  <c r="O19" i="16"/>
  <c r="O22" i="16" s="1"/>
  <c r="W19" i="16"/>
  <c r="W22" i="16" s="1"/>
  <c r="D7" i="34"/>
  <c r="B31" i="14"/>
  <c r="BB19" i="16" l="1"/>
  <c r="AM19" i="16"/>
  <c r="AM22" i="16" s="1"/>
  <c r="BB22" i="16" s="1"/>
  <c r="B78" i="52" s="1"/>
  <c r="AZ22" i="16"/>
  <c r="B60" i="52" s="1"/>
  <c r="BA19" i="16"/>
  <c r="AZ19" i="16"/>
  <c r="B24" i="52" s="1"/>
  <c r="AA19" i="16"/>
  <c r="AA22" i="16" s="1"/>
  <c r="BA22" i="16" s="1"/>
  <c r="E4" i="34"/>
  <c r="C40" i="55" s="1"/>
  <c r="E5" i="34"/>
  <c r="B20" i="8"/>
  <c r="B64" i="52" l="1"/>
  <c r="F60" i="52"/>
  <c r="F63" i="52" s="1"/>
  <c r="B114" i="52"/>
  <c r="B81" i="52"/>
  <c r="B82" i="52"/>
  <c r="D40" i="55"/>
  <c r="B27" i="52"/>
  <c r="B28" i="52"/>
  <c r="B33" i="52"/>
  <c r="B100" i="52"/>
  <c r="B69" i="52"/>
  <c r="B105" i="52" s="1"/>
  <c r="H81" i="52"/>
  <c r="B72" i="52"/>
  <c r="F64" i="52"/>
  <c r="B96" i="52"/>
  <c r="B63" i="52"/>
  <c r="H65" i="52" s="1"/>
  <c r="E7" i="34"/>
  <c r="B25" i="8"/>
  <c r="B24" i="8"/>
  <c r="B21" i="8"/>
  <c r="B73" i="52" l="1"/>
  <c r="H74" i="52" s="1"/>
  <c r="F69" i="52"/>
  <c r="F72" i="52" s="1"/>
  <c r="F73" i="52"/>
  <c r="B117" i="52"/>
  <c r="H83" i="52"/>
  <c r="E40" i="55"/>
  <c r="B36" i="52"/>
  <c r="B37" i="52"/>
  <c r="B109" i="52" s="1"/>
  <c r="F28" i="52"/>
  <c r="F100" i="52" s="1"/>
  <c r="H27" i="52"/>
  <c r="H29" i="52"/>
  <c r="H63" i="52"/>
  <c r="B99" i="52"/>
  <c r="F96" i="52"/>
  <c r="F99" i="52"/>
  <c r="B108" i="52"/>
  <c r="H72" i="52"/>
  <c r="C26" i="14"/>
  <c r="H36" i="52" l="1"/>
  <c r="H38" i="52"/>
  <c r="F37" i="52"/>
  <c r="F109" i="52" s="1"/>
  <c r="F108" i="52"/>
  <c r="F105" i="52"/>
  <c r="G21" i="8"/>
  <c r="G25" i="8"/>
  <c r="G24" i="8"/>
  <c r="E5" i="8" l="1"/>
  <c r="F21" i="8"/>
  <c r="F25" i="8"/>
  <c r="F24" i="8"/>
  <c r="B34" i="14"/>
  <c r="C32" i="14" s="1"/>
  <c r="E4" i="8" l="1"/>
  <c r="F13" i="14"/>
  <c r="F16" i="14"/>
  <c r="F14" i="14"/>
  <c r="F15" i="14"/>
  <c r="C31" i="14"/>
  <c r="C24" i="14"/>
  <c r="E14" i="14" l="1"/>
  <c r="G14" i="14" s="1"/>
  <c r="E15" i="14"/>
  <c r="E13" i="14"/>
  <c r="E16" i="14"/>
  <c r="G16" i="14" s="1"/>
  <c r="G15" i="14"/>
  <c r="F18" i="14"/>
  <c r="D12" i="8" s="1"/>
  <c r="J13" i="17"/>
  <c r="AY13" i="17" s="1"/>
  <c r="H11" i="17"/>
  <c r="M16" i="17"/>
  <c r="E8" i="17"/>
  <c r="L15" i="17"/>
  <c r="AY15" i="17" s="1"/>
  <c r="I12" i="17"/>
  <c r="AY12" i="17" s="1"/>
  <c r="D7" i="17"/>
  <c r="N17" i="17"/>
  <c r="AY17" i="17" s="1"/>
  <c r="K14" i="17"/>
  <c r="AY14" i="17" s="1"/>
  <c r="G10" i="17"/>
  <c r="F9" i="17"/>
  <c r="C6" i="17"/>
  <c r="C34" i="14"/>
  <c r="C23" i="14"/>
  <c r="J11" i="17"/>
  <c r="M11" i="17"/>
  <c r="K11" i="17"/>
  <c r="L11" i="17"/>
  <c r="I11" i="17"/>
  <c r="N11" i="17"/>
  <c r="F8" i="17"/>
  <c r="G8" i="17"/>
  <c r="I8" i="17"/>
  <c r="L8" i="17"/>
  <c r="K8" i="17"/>
  <c r="H8" i="17"/>
  <c r="M8" i="17"/>
  <c r="J8" i="17"/>
  <c r="N8" i="17"/>
  <c r="J9" i="17"/>
  <c r="K9" i="17"/>
  <c r="L9" i="17"/>
  <c r="I9" i="17"/>
  <c r="M9" i="17"/>
  <c r="G9" i="17"/>
  <c r="H9" i="17"/>
  <c r="N9" i="17"/>
  <c r="N16" i="17"/>
  <c r="J10" i="17"/>
  <c r="M10" i="17"/>
  <c r="L10" i="17"/>
  <c r="I10" i="17"/>
  <c r="H10" i="17"/>
  <c r="K10" i="17"/>
  <c r="N10" i="17"/>
  <c r="F7" i="17"/>
  <c r="J7" i="17"/>
  <c r="M7" i="17"/>
  <c r="L7" i="17"/>
  <c r="H7" i="17"/>
  <c r="E7" i="17"/>
  <c r="K7" i="17"/>
  <c r="I7" i="17"/>
  <c r="G7" i="17"/>
  <c r="N7" i="17"/>
  <c r="M14" i="17"/>
  <c r="L14" i="17"/>
  <c r="N14" i="17"/>
  <c r="L13" i="17"/>
  <c r="M13" i="17"/>
  <c r="K13" i="17"/>
  <c r="N13" i="17"/>
  <c r="M15" i="17"/>
  <c r="N15" i="17"/>
  <c r="L12" i="17"/>
  <c r="J12" i="17"/>
  <c r="K12" i="17"/>
  <c r="M12" i="17"/>
  <c r="N12" i="17"/>
  <c r="F6" i="17"/>
  <c r="I6" i="17"/>
  <c r="D6" i="17"/>
  <c r="E6" i="17"/>
  <c r="E19" i="17" s="1"/>
  <c r="E22" i="17" s="1"/>
  <c r="H6" i="17"/>
  <c r="G6" i="17"/>
  <c r="M6" i="17"/>
  <c r="L6" i="17"/>
  <c r="J6" i="17"/>
  <c r="K6" i="17"/>
  <c r="N6" i="17"/>
  <c r="D24" i="14"/>
  <c r="AY7" i="17" l="1"/>
  <c r="AY8" i="17"/>
  <c r="AY11" i="17"/>
  <c r="C19" i="17"/>
  <c r="C22" i="17" s="1"/>
  <c r="AY6" i="17"/>
  <c r="AY16" i="17"/>
  <c r="AY9" i="17"/>
  <c r="AY10" i="17"/>
  <c r="K19" i="17"/>
  <c r="K22" i="17" s="1"/>
  <c r="L19" i="17"/>
  <c r="L22" i="17" s="1"/>
  <c r="D19" i="17"/>
  <c r="D22" i="17" s="1"/>
  <c r="G19" i="17"/>
  <c r="G22" i="17" s="1"/>
  <c r="M19" i="17"/>
  <c r="M22" i="17" s="1"/>
  <c r="H19" i="17"/>
  <c r="H22" i="17" s="1"/>
  <c r="F19" i="17"/>
  <c r="F22" i="17" s="1"/>
  <c r="J19" i="17"/>
  <c r="J22" i="17" s="1"/>
  <c r="I19" i="17"/>
  <c r="I22" i="17" s="1"/>
  <c r="N19" i="17"/>
  <c r="N22" i="17" s="1"/>
  <c r="G13" i="14"/>
  <c r="E18" i="14"/>
  <c r="G12" i="8"/>
  <c r="D23" i="14"/>
  <c r="N17" i="23"/>
  <c r="AY17" i="23" s="1"/>
  <c r="F9" i="23"/>
  <c r="L15" i="23"/>
  <c r="AY15" i="23" s="1"/>
  <c r="M16" i="23"/>
  <c r="I12" i="23"/>
  <c r="AY12" i="23" s="1"/>
  <c r="E8" i="23"/>
  <c r="K14" i="23"/>
  <c r="H11" i="23"/>
  <c r="C6" i="23"/>
  <c r="D7" i="23"/>
  <c r="G10" i="23"/>
  <c r="J13" i="23"/>
  <c r="AY13" i="23" s="1"/>
  <c r="N16" i="23"/>
  <c r="I9" i="23"/>
  <c r="G9" i="23"/>
  <c r="N9" i="23"/>
  <c r="L9" i="23"/>
  <c r="J9" i="23"/>
  <c r="K9" i="23"/>
  <c r="M9" i="23"/>
  <c r="H9" i="23"/>
  <c r="L7" i="23"/>
  <c r="F7" i="23"/>
  <c r="E7" i="23"/>
  <c r="I7" i="23"/>
  <c r="H7" i="23"/>
  <c r="K7" i="23"/>
  <c r="G7" i="23"/>
  <c r="J7" i="23"/>
  <c r="N7" i="23"/>
  <c r="M7" i="23"/>
  <c r="M13" i="23"/>
  <c r="N13" i="23"/>
  <c r="K13" i="23"/>
  <c r="L13" i="23"/>
  <c r="I11" i="23"/>
  <c r="L11" i="23"/>
  <c r="J11" i="23"/>
  <c r="M11" i="23"/>
  <c r="K11" i="23"/>
  <c r="N11" i="23"/>
  <c r="K6" i="23"/>
  <c r="J6" i="23"/>
  <c r="I6" i="23"/>
  <c r="M6" i="23"/>
  <c r="D6" i="23"/>
  <c r="H6" i="23"/>
  <c r="N6" i="23"/>
  <c r="F6" i="23"/>
  <c r="L6" i="23"/>
  <c r="E6" i="23"/>
  <c r="G6" i="23"/>
  <c r="L8" i="23"/>
  <c r="M8" i="23"/>
  <c r="K8" i="23"/>
  <c r="H8" i="23"/>
  <c r="J8" i="23"/>
  <c r="I8" i="23"/>
  <c r="F8" i="23"/>
  <c r="G8" i="23"/>
  <c r="N8" i="23"/>
  <c r="N15" i="23"/>
  <c r="M15" i="23"/>
  <c r="M12" i="23"/>
  <c r="K12" i="23"/>
  <c r="N12" i="23"/>
  <c r="J12" i="23"/>
  <c r="L12" i="23"/>
  <c r="N10" i="23"/>
  <c r="L10" i="23"/>
  <c r="J10" i="23"/>
  <c r="I10" i="23"/>
  <c r="H10" i="23"/>
  <c r="M10" i="23"/>
  <c r="K10" i="23"/>
  <c r="M14" i="23"/>
  <c r="L14" i="23"/>
  <c r="N14" i="23"/>
  <c r="B65" i="45" l="1" a="1"/>
  <c r="AY7" i="23"/>
  <c r="AY16" i="23"/>
  <c r="AY9" i="23"/>
  <c r="AY10" i="23"/>
  <c r="AY11" i="23"/>
  <c r="AY14" i="23"/>
  <c r="AY8" i="23"/>
  <c r="C19" i="23"/>
  <c r="C22" i="23" s="1"/>
  <c r="AY6" i="23"/>
  <c r="AY19" i="23" s="1"/>
  <c r="B17" i="52" s="1"/>
  <c r="AY19" i="17"/>
  <c r="B16" i="52" s="1"/>
  <c r="AY22" i="17"/>
  <c r="B52" i="52" s="1"/>
  <c r="F52" i="52" s="1"/>
  <c r="E19" i="23"/>
  <c r="E22" i="23" s="1"/>
  <c r="G19" i="23"/>
  <c r="G22" i="23" s="1"/>
  <c r="F19" i="23"/>
  <c r="F22" i="23" s="1"/>
  <c r="D19" i="23"/>
  <c r="D22" i="23" s="1"/>
  <c r="H19" i="23"/>
  <c r="H22" i="23" s="1"/>
  <c r="N19" i="23"/>
  <c r="N22" i="23" s="1"/>
  <c r="I19" i="23"/>
  <c r="I22" i="23" s="1"/>
  <c r="J19" i="23"/>
  <c r="J22" i="23" s="1"/>
  <c r="K19" i="23"/>
  <c r="K22" i="23" s="1"/>
  <c r="L19" i="23"/>
  <c r="L22" i="23" s="1"/>
  <c r="M19" i="23"/>
  <c r="M22" i="23" s="1"/>
  <c r="C12" i="8"/>
  <c r="B12" i="8" s="1"/>
  <c r="G18" i="14"/>
  <c r="D26" i="14"/>
  <c r="C65" i="45" l="1" a="1"/>
  <c r="B66" i="45"/>
  <c r="B106" i="45"/>
  <c r="B71" i="45"/>
  <c r="B101" i="45"/>
  <c r="B102" i="45"/>
  <c r="B84" i="45"/>
  <c r="J84" i="45" s="1"/>
  <c r="B81" i="45"/>
  <c r="J81" i="45" s="1"/>
  <c r="B76" i="45"/>
  <c r="B95" i="45"/>
  <c r="B109" i="45"/>
  <c r="B90" i="45"/>
  <c r="J90" i="45" s="1"/>
  <c r="B97" i="45"/>
  <c r="B85" i="45"/>
  <c r="J85" i="45" s="1"/>
  <c r="B69" i="45"/>
  <c r="B94" i="45"/>
  <c r="B92" i="45"/>
  <c r="J92" i="45" s="1"/>
  <c r="B87" i="45"/>
  <c r="J87" i="45" s="1"/>
  <c r="B74" i="45"/>
  <c r="B80" i="45"/>
  <c r="J80" i="45" s="1"/>
  <c r="B100" i="45"/>
  <c r="B73" i="45"/>
  <c r="B70" i="45"/>
  <c r="B107" i="45"/>
  <c r="B105" i="45"/>
  <c r="B111" i="45"/>
  <c r="B68" i="45"/>
  <c r="B82" i="45"/>
  <c r="J82" i="45" s="1"/>
  <c r="B96" i="45"/>
  <c r="B77" i="45"/>
  <c r="J77" i="45" s="1"/>
  <c r="B89" i="45"/>
  <c r="J89" i="45" s="1"/>
  <c r="B78" i="45"/>
  <c r="J78" i="45" s="1"/>
  <c r="B98" i="45"/>
  <c r="B83" i="45"/>
  <c r="J83" i="45" s="1"/>
  <c r="B93" i="45"/>
  <c r="B88" i="45"/>
  <c r="J88" i="45" s="1"/>
  <c r="B86" i="45"/>
  <c r="J86" i="45" s="1"/>
  <c r="B112" i="45"/>
  <c r="B99" i="45"/>
  <c r="B67" i="45"/>
  <c r="B65" i="45"/>
  <c r="J65" i="45" s="1"/>
  <c r="B79" i="45"/>
  <c r="J79" i="45" s="1"/>
  <c r="B91" i="45"/>
  <c r="B110" i="45"/>
  <c r="B75" i="45"/>
  <c r="B72" i="45"/>
  <c r="B108" i="45"/>
  <c r="B104" i="45"/>
  <c r="B103" i="45"/>
  <c r="L17" i="52"/>
  <c r="B20" i="52"/>
  <c r="L16" i="52"/>
  <c r="F20" i="52"/>
  <c r="B88" i="52"/>
  <c r="AB78" i="3"/>
  <c r="AY22" i="23"/>
  <c r="B53" i="52" s="1"/>
  <c r="F20" i="8"/>
  <c r="D4" i="8" s="1"/>
  <c r="F12" i="8"/>
  <c r="J97" i="45" l="1"/>
  <c r="B56" i="52"/>
  <c r="B92" i="52" s="1"/>
  <c r="F53" i="52"/>
  <c r="J91" i="45"/>
  <c r="J71" i="45"/>
  <c r="AB57" i="3" s="1"/>
  <c r="J68" i="45"/>
  <c r="J95" i="45"/>
  <c r="J67" i="45"/>
  <c r="AB53" i="3" s="1"/>
  <c r="J100" i="45"/>
  <c r="AB86" i="3" s="1"/>
  <c r="J66" i="45"/>
  <c r="AB52" i="3" s="1"/>
  <c r="J72" i="45"/>
  <c r="AB58" i="3" s="1"/>
  <c r="J76" i="45"/>
  <c r="J73" i="45"/>
  <c r="AB59" i="3" s="1"/>
  <c r="J75" i="45"/>
  <c r="AB61" i="3" s="1"/>
  <c r="J96" i="45"/>
  <c r="J93" i="45"/>
  <c r="J98" i="45"/>
  <c r="AB84" i="3" s="1"/>
  <c r="J94" i="45"/>
  <c r="AB80" i="3" s="1"/>
  <c r="J99" i="45"/>
  <c r="AB85" i="3" s="1"/>
  <c r="J70" i="45"/>
  <c r="AB56" i="3" s="1"/>
  <c r="J74" i="45"/>
  <c r="AB60" i="3" s="1"/>
  <c r="J69" i="45"/>
  <c r="B117" i="45"/>
  <c r="B124" i="45" s="1"/>
  <c r="C65" i="45"/>
  <c r="K65" i="45" s="1"/>
  <c r="L65" i="45" s="1"/>
  <c r="C75" i="45"/>
  <c r="C83" i="45"/>
  <c r="C92" i="45"/>
  <c r="K92" i="45" s="1"/>
  <c r="L92" i="45" s="1"/>
  <c r="C91" i="45"/>
  <c r="K91" i="45" s="1"/>
  <c r="C99" i="45"/>
  <c r="K99" i="45" s="1"/>
  <c r="C106" i="45"/>
  <c r="C67" i="45"/>
  <c r="C74" i="45"/>
  <c r="C97" i="45"/>
  <c r="K97" i="45" s="1"/>
  <c r="C104" i="45"/>
  <c r="C98" i="45"/>
  <c r="K98" i="45" s="1"/>
  <c r="C89" i="45"/>
  <c r="K89" i="45" s="1"/>
  <c r="L89" i="45" s="1"/>
  <c r="C112" i="45"/>
  <c r="C72" i="45"/>
  <c r="C105" i="45"/>
  <c r="C73" i="45"/>
  <c r="C79" i="45"/>
  <c r="C84" i="45"/>
  <c r="C76" i="45"/>
  <c r="C82" i="45"/>
  <c r="C96" i="45"/>
  <c r="K96" i="45" s="1"/>
  <c r="C109" i="45"/>
  <c r="C103" i="45"/>
  <c r="C111" i="45"/>
  <c r="C102" i="45"/>
  <c r="C77" i="45"/>
  <c r="K77" i="45" s="1"/>
  <c r="L77" i="45" s="1"/>
  <c r="C85" i="45"/>
  <c r="C87" i="45"/>
  <c r="C78" i="45"/>
  <c r="C88" i="45"/>
  <c r="C86" i="45"/>
  <c r="C94" i="45"/>
  <c r="K94" i="45" s="1"/>
  <c r="C100" i="45"/>
  <c r="K100" i="45" s="1"/>
  <c r="C71" i="45"/>
  <c r="C70" i="45"/>
  <c r="C108" i="45"/>
  <c r="C90" i="45"/>
  <c r="K90" i="45" s="1"/>
  <c r="L90" i="45" s="1"/>
  <c r="C101" i="45"/>
  <c r="C107" i="45"/>
  <c r="C81" i="45"/>
  <c r="C69" i="45"/>
  <c r="C80" i="45"/>
  <c r="C95" i="45"/>
  <c r="K95" i="45" s="1"/>
  <c r="C66" i="45"/>
  <c r="C68" i="45"/>
  <c r="C110" i="45"/>
  <c r="C93" i="45"/>
  <c r="K93" i="45" s="1"/>
  <c r="C44" i="3"/>
  <c r="F88" i="52"/>
  <c r="B89" i="52"/>
  <c r="F89" i="52"/>
  <c r="B115" i="45"/>
  <c r="B122" i="45" s="1"/>
  <c r="J115" i="45"/>
  <c r="J122" i="45" s="1"/>
  <c r="B114" i="45"/>
  <c r="B121" i="45" s="1"/>
  <c r="B116" i="45"/>
  <c r="B123" i="45" s="1"/>
  <c r="AB64" i="3"/>
  <c r="AB74" i="3"/>
  <c r="AB69" i="3"/>
  <c r="AB67" i="3"/>
  <c r="AB71" i="3"/>
  <c r="AB73" i="3"/>
  <c r="AB66" i="3"/>
  <c r="AB70" i="3"/>
  <c r="AB65" i="3"/>
  <c r="AB72" i="3"/>
  <c r="AB68" i="3"/>
  <c r="G20" i="8"/>
  <c r="D5" i="8" s="1"/>
  <c r="L100" i="45" l="1"/>
  <c r="L93" i="45"/>
  <c r="L95" i="45"/>
  <c r="AB81" i="3"/>
  <c r="L99" i="45"/>
  <c r="L91" i="45"/>
  <c r="K69" i="45"/>
  <c r="AC55" i="3" s="1"/>
  <c r="K67" i="45"/>
  <c r="L67" i="45" s="1"/>
  <c r="AB79" i="3"/>
  <c r="AB77" i="3"/>
  <c r="K82" i="45"/>
  <c r="L82" i="45" s="1"/>
  <c r="L96" i="45"/>
  <c r="AB82" i="3"/>
  <c r="K71" i="45"/>
  <c r="AC57" i="3" s="1"/>
  <c r="AD57" i="3" s="1"/>
  <c r="K84" i="45"/>
  <c r="L84" i="45" s="1"/>
  <c r="K83" i="45"/>
  <c r="L83" i="45" s="1"/>
  <c r="K80" i="45"/>
  <c r="L80" i="45" s="1"/>
  <c r="K81" i="45"/>
  <c r="L81" i="45" s="1"/>
  <c r="K73" i="45"/>
  <c r="AC59" i="3" s="1"/>
  <c r="AD59" i="3" s="1"/>
  <c r="K75" i="45"/>
  <c r="L75" i="45" s="1"/>
  <c r="K72" i="45"/>
  <c r="AC58" i="3" s="1"/>
  <c r="AD58" i="3" s="1"/>
  <c r="K76" i="45"/>
  <c r="L76" i="45" s="1"/>
  <c r="L94" i="45"/>
  <c r="K68" i="45"/>
  <c r="L68" i="45" s="1"/>
  <c r="AB62" i="3"/>
  <c r="AB54" i="3"/>
  <c r="L97" i="45"/>
  <c r="K74" i="45"/>
  <c r="AC60" i="3" s="1"/>
  <c r="AD60" i="3" s="1"/>
  <c r="K70" i="45"/>
  <c r="L70" i="45" s="1"/>
  <c r="K79" i="45"/>
  <c r="L79" i="45" s="1"/>
  <c r="K86" i="45"/>
  <c r="L86" i="45" s="1"/>
  <c r="K88" i="45"/>
  <c r="L88" i="45" s="1"/>
  <c r="K78" i="45"/>
  <c r="L78" i="45" s="1"/>
  <c r="K66" i="45"/>
  <c r="AC52" i="3" s="1"/>
  <c r="AD52" i="3" s="1"/>
  <c r="K87" i="45"/>
  <c r="L87" i="45" s="1"/>
  <c r="AB55" i="3"/>
  <c r="AB83" i="3"/>
  <c r="K85" i="45"/>
  <c r="L85" i="45" s="1"/>
  <c r="L98" i="45"/>
  <c r="J116" i="45"/>
  <c r="J123" i="45" s="1"/>
  <c r="B125" i="45"/>
  <c r="C116" i="45"/>
  <c r="C114" i="45"/>
  <c r="C117" i="45"/>
  <c r="C115" i="45"/>
  <c r="B118" i="45"/>
  <c r="B119" i="45" s="1"/>
  <c r="AB51" i="3"/>
  <c r="J114" i="45"/>
  <c r="AB75" i="3"/>
  <c r="AB76" i="3"/>
  <c r="AC76" i="3"/>
  <c r="AC85" i="3"/>
  <c r="AD85" i="3" s="1"/>
  <c r="AC80" i="3"/>
  <c r="AD80" i="3" s="1"/>
  <c r="AC77" i="3"/>
  <c r="AC79" i="3"/>
  <c r="AC83" i="3"/>
  <c r="AC86" i="3"/>
  <c r="AD86" i="3" s="1"/>
  <c r="AC78" i="3"/>
  <c r="AD78" i="3" s="1"/>
  <c r="AC82" i="3"/>
  <c r="AC84" i="3"/>
  <c r="AD84" i="3" s="1"/>
  <c r="AC81" i="3"/>
  <c r="F56" i="52"/>
  <c r="F92" i="52" s="1"/>
  <c r="AB63" i="3"/>
  <c r="L73" i="45" l="1"/>
  <c r="AD79" i="3"/>
  <c r="L69" i="45"/>
  <c r="AD77" i="3"/>
  <c r="AC71" i="3"/>
  <c r="AD71" i="3" s="1"/>
  <c r="AD81" i="3"/>
  <c r="K81" i="3" s="1"/>
  <c r="M81" i="3" s="1"/>
  <c r="I82" i="61" s="1"/>
  <c r="L71" i="45"/>
  <c r="AE57" i="3" s="1"/>
  <c r="AD55" i="3"/>
  <c r="AE55" i="3" s="1"/>
  <c r="L74" i="45"/>
  <c r="AE60" i="3" s="1"/>
  <c r="AC64" i="3"/>
  <c r="AD64" i="3" s="1"/>
  <c r="AE64" i="3" s="1"/>
  <c r="K114" i="45"/>
  <c r="L66" i="45"/>
  <c r="AE52" i="3" s="1"/>
  <c r="AC70" i="3"/>
  <c r="AD70" i="3" s="1"/>
  <c r="K70" i="3" s="1"/>
  <c r="M70" i="3" s="1"/>
  <c r="I71" i="61" s="1"/>
  <c r="AC61" i="3"/>
  <c r="AD61" i="3" s="1"/>
  <c r="K61" i="3" s="1"/>
  <c r="M61" i="3" s="1"/>
  <c r="I62" i="61" s="1"/>
  <c r="L72" i="45"/>
  <c r="AE58" i="3" s="1"/>
  <c r="AC74" i="3"/>
  <c r="AD74" i="3" s="1"/>
  <c r="K74" i="3" s="1"/>
  <c r="M74" i="3" s="1"/>
  <c r="I75" i="61" s="1"/>
  <c r="AC72" i="3"/>
  <c r="AD72" i="3" s="1"/>
  <c r="AE72" i="3" s="1"/>
  <c r="AC54" i="3"/>
  <c r="AD54" i="3" s="1"/>
  <c r="AC68" i="3"/>
  <c r="AD68" i="3" s="1"/>
  <c r="AE68" i="3" s="1"/>
  <c r="AC67" i="3"/>
  <c r="AD67" i="3" s="1"/>
  <c r="AE67" i="3" s="1"/>
  <c r="AC62" i="3"/>
  <c r="AD62" i="3" s="1"/>
  <c r="AE62" i="3" s="1"/>
  <c r="AC66" i="3"/>
  <c r="AD66" i="3" s="1"/>
  <c r="AE66" i="3" s="1"/>
  <c r="AC65" i="3"/>
  <c r="AD65" i="3" s="1"/>
  <c r="K65" i="3" s="1"/>
  <c r="M65" i="3" s="1"/>
  <c r="I66" i="61" s="1"/>
  <c r="AC56" i="3"/>
  <c r="AD56" i="3" s="1"/>
  <c r="K56" i="3" s="1"/>
  <c r="M56" i="3" s="1"/>
  <c r="I57" i="61" s="1"/>
  <c r="AC53" i="3"/>
  <c r="AD53" i="3" s="1"/>
  <c r="K53" i="3" s="1"/>
  <c r="M53" i="3" s="1"/>
  <c r="I54" i="61" s="1"/>
  <c r="AD82" i="3"/>
  <c r="K82" i="3" s="1"/>
  <c r="M82" i="3" s="1"/>
  <c r="I83" i="61" s="1"/>
  <c r="AD83" i="3"/>
  <c r="K83" i="3" s="1"/>
  <c r="M83" i="3" s="1"/>
  <c r="I84" i="61" s="1"/>
  <c r="AC73" i="3"/>
  <c r="AD73" i="3" s="1"/>
  <c r="K73" i="3" s="1"/>
  <c r="M73" i="3" s="1"/>
  <c r="I74" i="61" s="1"/>
  <c r="AC69" i="3"/>
  <c r="AD69" i="3" s="1"/>
  <c r="K69" i="3" s="1"/>
  <c r="M69" i="3" s="1"/>
  <c r="I70" i="61" s="1"/>
  <c r="AD76" i="3"/>
  <c r="K76" i="3" s="1"/>
  <c r="M76" i="3" s="1"/>
  <c r="I77" i="61" s="1"/>
  <c r="K60" i="3"/>
  <c r="M60" i="3" s="1"/>
  <c r="I61" i="61" s="1"/>
  <c r="J121" i="45"/>
  <c r="C118" i="45"/>
  <c r="C119" i="45" s="1"/>
  <c r="K59" i="3"/>
  <c r="M59" i="3" s="1"/>
  <c r="I60" i="61" s="1"/>
  <c r="AE59" i="3"/>
  <c r="K52" i="3"/>
  <c r="M52" i="3" s="1"/>
  <c r="I53" i="61" s="1"/>
  <c r="K58" i="3"/>
  <c r="M58" i="3" s="1"/>
  <c r="I59" i="61" s="1"/>
  <c r="K57" i="3"/>
  <c r="M57" i="3" s="1"/>
  <c r="I58" i="61" s="1"/>
  <c r="K77" i="3"/>
  <c r="M77" i="3" s="1"/>
  <c r="I78" i="61" s="1"/>
  <c r="AE77" i="3"/>
  <c r="K80" i="3"/>
  <c r="M80" i="3" s="1"/>
  <c r="I81" i="61" s="1"/>
  <c r="AE80" i="3"/>
  <c r="K84" i="3"/>
  <c r="M84" i="3" s="1"/>
  <c r="I85" i="61" s="1"/>
  <c r="AE84" i="3"/>
  <c r="K116" i="45"/>
  <c r="K79" i="3"/>
  <c r="M79" i="3" s="1"/>
  <c r="I80" i="61" s="1"/>
  <c r="AE79" i="3"/>
  <c r="K85" i="3"/>
  <c r="M85" i="3" s="1"/>
  <c r="I86" i="61" s="1"/>
  <c r="AE85" i="3"/>
  <c r="K86" i="3"/>
  <c r="M86" i="3" s="1"/>
  <c r="I87" i="61" s="1"/>
  <c r="AE86" i="3"/>
  <c r="K71" i="3"/>
  <c r="M71" i="3" s="1"/>
  <c r="I72" i="61" s="1"/>
  <c r="AE71" i="3"/>
  <c r="K78" i="3"/>
  <c r="M78" i="3" s="1"/>
  <c r="I79" i="61" s="1"/>
  <c r="AE78" i="3"/>
  <c r="K67" i="3"/>
  <c r="M67" i="3" s="1"/>
  <c r="I68" i="61" s="1"/>
  <c r="AC63" i="3"/>
  <c r="AD63" i="3" s="1"/>
  <c r="K115" i="45"/>
  <c r="AB88" i="3"/>
  <c r="AB93" i="3" s="1"/>
  <c r="L116" i="45"/>
  <c r="N116" i="45" s="1"/>
  <c r="AC75" i="3"/>
  <c r="AD75" i="3" s="1"/>
  <c r="AC51" i="3"/>
  <c r="L115" i="45"/>
  <c r="A64" i="3"/>
  <c r="K64" i="3" l="1"/>
  <c r="M64" i="3" s="1"/>
  <c r="I65" i="61" s="1"/>
  <c r="AE65" i="3"/>
  <c r="K66" i="3"/>
  <c r="M66" i="3" s="1"/>
  <c r="I67" i="61" s="1"/>
  <c r="AE81" i="3"/>
  <c r="K55" i="3"/>
  <c r="M55" i="3" s="1"/>
  <c r="I56" i="61" s="1"/>
  <c r="AE61" i="3"/>
  <c r="AE73" i="3"/>
  <c r="AE70" i="3"/>
  <c r="AE69" i="3"/>
  <c r="AE82" i="3"/>
  <c r="L114" i="45"/>
  <c r="N114" i="45" s="1"/>
  <c r="K62" i="3"/>
  <c r="M62" i="3" s="1"/>
  <c r="I63" i="61" s="1"/>
  <c r="K68" i="3"/>
  <c r="M68" i="3" s="1"/>
  <c r="I69" i="61" s="1"/>
  <c r="AE76" i="3"/>
  <c r="K72" i="3"/>
  <c r="M72" i="3" s="1"/>
  <c r="I73" i="61" s="1"/>
  <c r="AE83" i="3"/>
  <c r="K54" i="3"/>
  <c r="M54" i="3" s="1"/>
  <c r="I55" i="61" s="1"/>
  <c r="AE54" i="3"/>
  <c r="AE74" i="3"/>
  <c r="AE53" i="3"/>
  <c r="AE56" i="3"/>
  <c r="K63" i="3"/>
  <c r="M63" i="3" s="1"/>
  <c r="I64" i="61" s="1"/>
  <c r="AE63" i="3"/>
  <c r="AC88" i="3"/>
  <c r="K75" i="3"/>
  <c r="M75" i="3" s="1"/>
  <c r="I76" i="61" s="1"/>
  <c r="AE75" i="3"/>
  <c r="N115" i="45"/>
  <c r="AD51" i="3"/>
  <c r="A65" i="3"/>
  <c r="K90" i="3" l="1"/>
  <c r="AE90" i="3" s="1"/>
  <c r="AD88" i="3"/>
  <c r="AE51" i="3"/>
  <c r="K91" i="3"/>
  <c r="AE91" i="3" s="1"/>
  <c r="K51" i="3"/>
  <c r="A66" i="3"/>
  <c r="M51" i="3" l="1"/>
  <c r="I52" i="61" s="1"/>
  <c r="K52" i="61" s="1"/>
  <c r="L52" i="61" s="1"/>
  <c r="K89" i="3"/>
  <c r="AE89" i="3" s="1"/>
  <c r="O51" i="3"/>
  <c r="P51" i="3" s="1"/>
  <c r="K88" i="3"/>
  <c r="A67" i="3"/>
  <c r="A18" i="3"/>
  <c r="H53" i="61" l="1"/>
  <c r="K53" i="61" s="1"/>
  <c r="L53" i="61" s="1"/>
  <c r="T52" i="61"/>
  <c r="A68" i="3"/>
  <c r="A19" i="3"/>
  <c r="H54" i="61" l="1"/>
  <c r="K54" i="61" s="1"/>
  <c r="L54" i="61" s="1"/>
  <c r="T53" i="61"/>
  <c r="A69" i="3"/>
  <c r="A20" i="3"/>
  <c r="H55" i="61" l="1"/>
  <c r="K55" i="61" s="1"/>
  <c r="L55" i="61" s="1"/>
  <c r="T54" i="61"/>
  <c r="J52" i="3"/>
  <c r="O52" i="3" s="1"/>
  <c r="Z51" i="3"/>
  <c r="A21" i="3"/>
  <c r="A70" i="3"/>
  <c r="H56" i="61" l="1"/>
  <c r="K56" i="61" s="1"/>
  <c r="L56" i="61" s="1"/>
  <c r="T55" i="61"/>
  <c r="G52" i="3"/>
  <c r="H52" i="3" s="1"/>
  <c r="B53" i="3" s="1"/>
  <c r="A71" i="3"/>
  <c r="A22" i="3"/>
  <c r="H57" i="61" l="1"/>
  <c r="K57" i="61" s="1"/>
  <c r="L57" i="61" s="1"/>
  <c r="T56" i="61"/>
  <c r="A23" i="3"/>
  <c r="A72" i="3"/>
  <c r="H58" i="61" l="1"/>
  <c r="K58" i="61" s="1"/>
  <c r="L58" i="61" s="1"/>
  <c r="T57" i="61"/>
  <c r="P52" i="3"/>
  <c r="A73" i="3"/>
  <c r="A24" i="3"/>
  <c r="H59" i="61" l="1"/>
  <c r="K59" i="61" s="1"/>
  <c r="L59" i="61" s="1"/>
  <c r="T58" i="61"/>
  <c r="J53" i="3"/>
  <c r="O53" i="3" s="1"/>
  <c r="A25" i="3"/>
  <c r="A74" i="3"/>
  <c r="H60" i="61" l="1"/>
  <c r="K60" i="61" s="1"/>
  <c r="L60" i="61" s="1"/>
  <c r="T59" i="61"/>
  <c r="G53" i="3"/>
  <c r="H53" i="3"/>
  <c r="B54" i="3" s="1"/>
  <c r="A26" i="3"/>
  <c r="H61" i="61" l="1"/>
  <c r="K61" i="61" s="1"/>
  <c r="L61" i="61" s="1"/>
  <c r="T60" i="61"/>
  <c r="Z52" i="3"/>
  <c r="A27" i="3"/>
  <c r="H62" i="61" l="1"/>
  <c r="K62" i="61" s="1"/>
  <c r="L62" i="61" s="1"/>
  <c r="T61" i="61"/>
  <c r="P53" i="3"/>
  <c r="J54" i="3" s="1"/>
  <c r="O54" i="3" s="1"/>
  <c r="A28" i="3"/>
  <c r="H63" i="61" l="1"/>
  <c r="K63" i="61" s="1"/>
  <c r="L63" i="61" s="1"/>
  <c r="T62" i="61"/>
  <c r="L93" i="3"/>
  <c r="H64" i="61" l="1"/>
  <c r="K64" i="61" s="1"/>
  <c r="L64" i="61" s="1"/>
  <c r="L90" i="61"/>
  <c r="T63" i="61"/>
  <c r="T90" i="61" s="1"/>
  <c r="G54" i="3"/>
  <c r="H54" i="3"/>
  <c r="B55" i="3" s="1"/>
  <c r="Z53" i="3"/>
  <c r="C6" i="16"/>
  <c r="H6" i="16"/>
  <c r="I6" i="16"/>
  <c r="E6" i="16"/>
  <c r="F6" i="16"/>
  <c r="G6" i="16"/>
  <c r="D6" i="16"/>
  <c r="K6" i="16"/>
  <c r="L6" i="16"/>
  <c r="J6" i="16"/>
  <c r="M6" i="16"/>
  <c r="N6" i="16"/>
  <c r="H65" i="61" l="1"/>
  <c r="K65" i="61" s="1"/>
  <c r="L65" i="61" s="1"/>
  <c r="T64" i="61"/>
  <c r="C19" i="16"/>
  <c r="C22" i="16" s="1"/>
  <c r="AY6" i="16"/>
  <c r="D7" i="16"/>
  <c r="I7" i="16"/>
  <c r="H7" i="16"/>
  <c r="E7" i="16"/>
  <c r="F7" i="16"/>
  <c r="G7" i="16"/>
  <c r="K7" i="16"/>
  <c r="J7" i="16"/>
  <c r="M7" i="16"/>
  <c r="N7" i="16"/>
  <c r="L7" i="16"/>
  <c r="H66" i="61" l="1"/>
  <c r="K66" i="61" s="1"/>
  <c r="L66" i="61" s="1"/>
  <c r="T65" i="61"/>
  <c r="P54" i="3"/>
  <c r="J55" i="3"/>
  <c r="O55" i="3" s="1"/>
  <c r="D19" i="16"/>
  <c r="D22" i="16" s="1"/>
  <c r="AY7" i="16"/>
  <c r="E8" i="16"/>
  <c r="H8" i="16"/>
  <c r="I8" i="16"/>
  <c r="F8" i="16"/>
  <c r="G8" i="16"/>
  <c r="M8" i="16"/>
  <c r="L8" i="16"/>
  <c r="K8" i="16"/>
  <c r="J8" i="16"/>
  <c r="N8" i="16"/>
  <c r="H67" i="61" l="1"/>
  <c r="K67" i="61" s="1"/>
  <c r="L67" i="61" s="1"/>
  <c r="T66" i="61"/>
  <c r="E19" i="16"/>
  <c r="E22" i="16" s="1"/>
  <c r="AY8" i="16"/>
  <c r="F9" i="16"/>
  <c r="I9" i="16"/>
  <c r="H9" i="16"/>
  <c r="G9" i="16"/>
  <c r="M9" i="16"/>
  <c r="N9" i="16"/>
  <c r="K9" i="16"/>
  <c r="L9" i="16"/>
  <c r="J9" i="16"/>
  <c r="H68" i="61" l="1"/>
  <c r="K68" i="61" s="1"/>
  <c r="L68" i="61" s="1"/>
  <c r="T67" i="61"/>
  <c r="Z54" i="3"/>
  <c r="G55" i="3"/>
  <c r="H55" i="3"/>
  <c r="B56" i="3" s="1"/>
  <c r="F19" i="16"/>
  <c r="F22" i="16" s="1"/>
  <c r="AY9" i="16"/>
  <c r="G10" i="16"/>
  <c r="H10" i="16"/>
  <c r="I10" i="16"/>
  <c r="N10" i="16"/>
  <c r="K10" i="16"/>
  <c r="J10" i="16"/>
  <c r="L10" i="16"/>
  <c r="M10" i="16"/>
  <c r="H69" i="61" l="1"/>
  <c r="K69" i="61" s="1"/>
  <c r="L69" i="61" s="1"/>
  <c r="T68" i="61"/>
  <c r="G19" i="16"/>
  <c r="G22" i="16" s="1"/>
  <c r="AY10" i="16"/>
  <c r="H11" i="16"/>
  <c r="I11" i="16"/>
  <c r="K11" i="16"/>
  <c r="L11" i="16"/>
  <c r="N11" i="16"/>
  <c r="M11" i="16"/>
  <c r="J11" i="16"/>
  <c r="H70" i="61" l="1"/>
  <c r="K70" i="61" s="1"/>
  <c r="L70" i="61" s="1"/>
  <c r="T69" i="61"/>
  <c r="P55" i="3"/>
  <c r="J56" i="3"/>
  <c r="O56" i="3" s="1"/>
  <c r="H19" i="16"/>
  <c r="H22" i="16" s="1"/>
  <c r="AY11" i="16"/>
  <c r="I12" i="16"/>
  <c r="N12" i="16"/>
  <c r="M12" i="16"/>
  <c r="L12" i="16"/>
  <c r="J12" i="16"/>
  <c r="K12" i="16"/>
  <c r="H71" i="61" l="1"/>
  <c r="K71" i="61" s="1"/>
  <c r="L71" i="61" s="1"/>
  <c r="T70" i="61"/>
  <c r="I19" i="16"/>
  <c r="I22" i="16" s="1"/>
  <c r="AY12" i="16"/>
  <c r="J13" i="16"/>
  <c r="N13" i="16"/>
  <c r="L13" i="16"/>
  <c r="K13" i="16"/>
  <c r="M13" i="16"/>
  <c r="H72" i="61" l="1"/>
  <c r="K72" i="61" s="1"/>
  <c r="L72" i="61" s="1"/>
  <c r="T71" i="61"/>
  <c r="Z55" i="3"/>
  <c r="G56" i="3"/>
  <c r="H56" i="3"/>
  <c r="B57" i="3" s="1"/>
  <c r="J19" i="16"/>
  <c r="J22" i="16" s="1"/>
  <c r="AY13" i="16"/>
  <c r="K14" i="16"/>
  <c r="N14" i="16"/>
  <c r="L14" i="16"/>
  <c r="M14" i="16"/>
  <c r="H73" i="61" l="1"/>
  <c r="K73" i="61" s="1"/>
  <c r="L73" i="61" s="1"/>
  <c r="T72" i="61"/>
  <c r="K19" i="16"/>
  <c r="K22" i="16" s="1"/>
  <c r="AY14" i="16"/>
  <c r="L15" i="16"/>
  <c r="N15" i="16"/>
  <c r="M15" i="16"/>
  <c r="H74" i="61" l="1"/>
  <c r="K74" i="61" s="1"/>
  <c r="L74" i="61" s="1"/>
  <c r="T73" i="61"/>
  <c r="P56" i="3"/>
  <c r="J57" i="3" s="1"/>
  <c r="O57" i="3" s="1"/>
  <c r="L19" i="16"/>
  <c r="L22" i="16" s="1"/>
  <c r="AY15" i="16"/>
  <c r="M16" i="16"/>
  <c r="N16" i="16"/>
  <c r="B19" i="16"/>
  <c r="B6" i="52" s="1"/>
  <c r="E19" i="38"/>
  <c r="H75" i="61" l="1"/>
  <c r="K75" i="61" s="1"/>
  <c r="L75" i="61" s="1"/>
  <c r="T74" i="61"/>
  <c r="Z56" i="3"/>
  <c r="G57" i="3"/>
  <c r="H57" i="3"/>
  <c r="B58" i="3" s="1"/>
  <c r="B10" i="52"/>
  <c r="B9" i="52"/>
  <c r="L24" i="52"/>
  <c r="L33" i="52"/>
  <c r="M19" i="16"/>
  <c r="M22" i="16" s="1"/>
  <c r="AY16" i="16"/>
  <c r="L19" i="38"/>
  <c r="N17" i="16"/>
  <c r="L91" i="61" l="1"/>
  <c r="H76" i="61"/>
  <c r="K76" i="61" s="1"/>
  <c r="L76" i="61" s="1"/>
  <c r="T75" i="61"/>
  <c r="T91" i="61" s="1"/>
  <c r="H9" i="52"/>
  <c r="H11" i="52"/>
  <c r="N19" i="16"/>
  <c r="N22" i="16" s="1"/>
  <c r="C5" i="45" s="1" a="1"/>
  <c r="AY17" i="16"/>
  <c r="AY19" i="16" s="1"/>
  <c r="B15" i="52" s="1"/>
  <c r="H77" i="61" l="1"/>
  <c r="K77" i="61" s="1"/>
  <c r="L77" i="61" s="1"/>
  <c r="P57" i="3"/>
  <c r="J58" i="3" s="1"/>
  <c r="O58" i="3" s="1"/>
  <c r="C5" i="45"/>
  <c r="K5" i="45" s="1"/>
  <c r="C17" i="45"/>
  <c r="K17" i="45" s="1"/>
  <c r="C7" i="45"/>
  <c r="K7" i="45" s="1"/>
  <c r="C44" i="45"/>
  <c r="C31" i="45"/>
  <c r="K31" i="45" s="1"/>
  <c r="C12" i="45"/>
  <c r="K12" i="45" s="1"/>
  <c r="C48" i="45"/>
  <c r="C36" i="45"/>
  <c r="K36" i="45" s="1"/>
  <c r="C42" i="45"/>
  <c r="C30" i="45"/>
  <c r="K30" i="45" s="1"/>
  <c r="C45" i="45"/>
  <c r="C27" i="45"/>
  <c r="K27" i="45" s="1"/>
  <c r="C26" i="45"/>
  <c r="K26" i="45" s="1"/>
  <c r="C16" i="45"/>
  <c r="K16" i="45" s="1"/>
  <c r="C38" i="45"/>
  <c r="K38" i="45" s="1"/>
  <c r="C32" i="45"/>
  <c r="K32" i="45" s="1"/>
  <c r="C51" i="45"/>
  <c r="C39" i="45"/>
  <c r="K39" i="45" s="1"/>
  <c r="C29" i="45"/>
  <c r="K29" i="45" s="1"/>
  <c r="C20" i="45"/>
  <c r="K20" i="45" s="1"/>
  <c r="C25" i="45"/>
  <c r="K25" i="45" s="1"/>
  <c r="C22" i="45"/>
  <c r="K22" i="45" s="1"/>
  <c r="C47" i="45"/>
  <c r="C34" i="45"/>
  <c r="K34" i="45" s="1"/>
  <c r="C37" i="45"/>
  <c r="K37" i="45" s="1"/>
  <c r="C46" i="45"/>
  <c r="C50" i="45"/>
  <c r="C41" i="45"/>
  <c r="C11" i="45"/>
  <c r="K11" i="45" s="1"/>
  <c r="C52" i="45"/>
  <c r="C24" i="45"/>
  <c r="K24" i="45" s="1"/>
  <c r="C8" i="45"/>
  <c r="K8" i="45" s="1"/>
  <c r="C15" i="45"/>
  <c r="K15" i="45" s="1"/>
  <c r="C33" i="45"/>
  <c r="K33" i="45" s="1"/>
  <c r="C21" i="45"/>
  <c r="K21" i="45" s="1"/>
  <c r="C10" i="45"/>
  <c r="K10" i="45" s="1"/>
  <c r="C18" i="45"/>
  <c r="K18" i="45" s="1"/>
  <c r="C6" i="45"/>
  <c r="K6" i="45" s="1"/>
  <c r="C13" i="45"/>
  <c r="K13" i="45" s="1"/>
  <c r="C28" i="45"/>
  <c r="K28" i="45" s="1"/>
  <c r="C43" i="45"/>
  <c r="C9" i="45"/>
  <c r="K9" i="45" s="1"/>
  <c r="C23" i="45"/>
  <c r="K23" i="45" s="1"/>
  <c r="C49" i="45"/>
  <c r="C40" i="45"/>
  <c r="K40" i="45" s="1"/>
  <c r="C35" i="45"/>
  <c r="K35" i="45" s="1"/>
  <c r="C19" i="45"/>
  <c r="K19" i="45" s="1"/>
  <c r="C14" i="45"/>
  <c r="K14" i="45" s="1"/>
  <c r="L15" i="52"/>
  <c r="B19" i="52"/>
  <c r="B18" i="52"/>
  <c r="AY22" i="16"/>
  <c r="B51" i="52" s="1"/>
  <c r="B55" i="52" l="1"/>
  <c r="B91" i="52" s="1"/>
  <c r="F51" i="52"/>
  <c r="F55" i="52" s="1"/>
  <c r="H78" i="61"/>
  <c r="K78" i="61" s="1"/>
  <c r="L78" i="61" s="1"/>
  <c r="Z57" i="3"/>
  <c r="G58" i="3"/>
  <c r="H58" i="3"/>
  <c r="B59" i="3" s="1"/>
  <c r="C57" i="45"/>
  <c r="C54" i="45"/>
  <c r="C121" i="45" s="1"/>
  <c r="C55" i="45"/>
  <c r="C122" i="45" s="1"/>
  <c r="C56" i="45"/>
  <c r="C123" i="45" s="1"/>
  <c r="H18" i="52"/>
  <c r="H20" i="52"/>
  <c r="F19" i="52"/>
  <c r="B87" i="52"/>
  <c r="B54" i="52"/>
  <c r="H56" i="52" l="1"/>
  <c r="H79" i="61"/>
  <c r="K79" i="61" s="1"/>
  <c r="L79" i="61" s="1"/>
  <c r="C58" i="45"/>
  <c r="C59" i="45" s="1"/>
  <c r="C124" i="45"/>
  <c r="C125" i="45" s="1"/>
  <c r="F91" i="52"/>
  <c r="L30" i="45"/>
  <c r="L35" i="45"/>
  <c r="AC35" i="3"/>
  <c r="AD35" i="3" s="1"/>
  <c r="L37" i="45"/>
  <c r="AC37" i="3"/>
  <c r="AD37" i="3" s="1"/>
  <c r="L33" i="45"/>
  <c r="AC33" i="3"/>
  <c r="AD33" i="3" s="1"/>
  <c r="L39" i="45"/>
  <c r="AC39" i="3"/>
  <c r="AD39" i="3" s="1"/>
  <c r="L34" i="45"/>
  <c r="AC34" i="3"/>
  <c r="AD34" i="3" s="1"/>
  <c r="L36" i="45"/>
  <c r="AC36" i="3"/>
  <c r="AD36" i="3" s="1"/>
  <c r="L31" i="45"/>
  <c r="AC31" i="3"/>
  <c r="AD31" i="3" s="1"/>
  <c r="L32" i="45"/>
  <c r="AC32" i="3"/>
  <c r="AD32" i="3" s="1"/>
  <c r="L40" i="45"/>
  <c r="AC40" i="3"/>
  <c r="AD40" i="3" s="1"/>
  <c r="L38" i="45"/>
  <c r="AC38" i="3"/>
  <c r="AD38" i="3" s="1"/>
  <c r="F87" i="52"/>
  <c r="F54" i="52"/>
  <c r="F90" i="52" s="1"/>
  <c r="H54" i="52"/>
  <c r="B90" i="52"/>
  <c r="L6" i="45"/>
  <c r="AC6" i="3"/>
  <c r="AD6" i="3" s="1"/>
  <c r="L8" i="45"/>
  <c r="AC8" i="3"/>
  <c r="AD8" i="3" s="1"/>
  <c r="L11" i="45"/>
  <c r="AC11" i="3"/>
  <c r="AD11" i="3" s="1"/>
  <c r="L13" i="45"/>
  <c r="AC13" i="3"/>
  <c r="AD13" i="3" s="1"/>
  <c r="L14" i="45"/>
  <c r="AC14" i="3"/>
  <c r="AD14" i="3" s="1"/>
  <c r="L16" i="45"/>
  <c r="AC16" i="3"/>
  <c r="AD16" i="3" s="1"/>
  <c r="L9" i="45"/>
  <c r="AC9" i="3"/>
  <c r="AD9" i="3" s="1"/>
  <c r="L10" i="45"/>
  <c r="AC10" i="3"/>
  <c r="AD10" i="3" s="1"/>
  <c r="L15" i="45"/>
  <c r="AC15" i="3"/>
  <c r="AD15" i="3" s="1"/>
  <c r="L7" i="45"/>
  <c r="AC7" i="3"/>
  <c r="AD7" i="3" s="1"/>
  <c r="L12" i="45"/>
  <c r="AC12" i="3"/>
  <c r="AD12" i="3" s="1"/>
  <c r="K55" i="45"/>
  <c r="K122" i="45" s="1"/>
  <c r="L23" i="45"/>
  <c r="AC23" i="3"/>
  <c r="AD23" i="3" s="1"/>
  <c r="L18" i="45"/>
  <c r="AC18" i="3"/>
  <c r="AD18" i="3" s="1"/>
  <c r="L28" i="45"/>
  <c r="AC28" i="3"/>
  <c r="AD28" i="3" s="1"/>
  <c r="L21" i="45"/>
  <c r="AC21" i="3"/>
  <c r="AD21" i="3" s="1"/>
  <c r="AC24" i="3"/>
  <c r="AD24" i="3" s="1"/>
  <c r="L24" i="45"/>
  <c r="AC22" i="3"/>
  <c r="AD22" i="3" s="1"/>
  <c r="L22" i="45"/>
  <c r="L20" i="45"/>
  <c r="AC20" i="3"/>
  <c r="AD20" i="3" s="1"/>
  <c r="AC27" i="3"/>
  <c r="AD27" i="3" s="1"/>
  <c r="L27" i="45"/>
  <c r="L19" i="45"/>
  <c r="AC19" i="3"/>
  <c r="AD19" i="3" s="1"/>
  <c r="L26" i="45"/>
  <c r="AC26" i="3"/>
  <c r="AD26" i="3" s="1"/>
  <c r="AC25" i="3"/>
  <c r="AD25" i="3" s="1"/>
  <c r="L25" i="45"/>
  <c r="K56" i="45"/>
  <c r="K123" i="45" s="1"/>
  <c r="H80" i="61" l="1"/>
  <c r="K80" i="61" s="1"/>
  <c r="L80" i="61" s="1"/>
  <c r="P58" i="3"/>
  <c r="J59" i="3" s="1"/>
  <c r="O59" i="3" s="1"/>
  <c r="AE28" i="3"/>
  <c r="AE19" i="3"/>
  <c r="AE18" i="3"/>
  <c r="AE24" i="3"/>
  <c r="AE26" i="3"/>
  <c r="AE23" i="3"/>
  <c r="K9" i="3"/>
  <c r="M9" i="3" s="1"/>
  <c r="I9" i="61" s="1"/>
  <c r="AE9" i="3"/>
  <c r="AE21" i="3"/>
  <c r="K10" i="3"/>
  <c r="M10" i="3" s="1"/>
  <c r="I10" i="61" s="1"/>
  <c r="AE10" i="3"/>
  <c r="K14" i="3"/>
  <c r="M14" i="3" s="1"/>
  <c r="I14" i="61" s="1"/>
  <c r="AE14" i="3"/>
  <c r="K7" i="3"/>
  <c r="M7" i="3" s="1"/>
  <c r="I7" i="61" s="1"/>
  <c r="AE7" i="3"/>
  <c r="K13" i="3"/>
  <c r="M13" i="3" s="1"/>
  <c r="I13" i="61" s="1"/>
  <c r="AE13" i="3"/>
  <c r="K12" i="3"/>
  <c r="M12" i="3" s="1"/>
  <c r="I12" i="61" s="1"/>
  <c r="AE12" i="3"/>
  <c r="K8" i="3"/>
  <c r="M8" i="3" s="1"/>
  <c r="I8" i="61" s="1"/>
  <c r="AE8" i="3"/>
  <c r="K16" i="3"/>
  <c r="M16" i="3" s="1"/>
  <c r="I16" i="61" s="1"/>
  <c r="AE16" i="3"/>
  <c r="K11" i="3"/>
  <c r="M11" i="3" s="1"/>
  <c r="I11" i="61" s="1"/>
  <c r="AE11" i="3"/>
  <c r="K15" i="3"/>
  <c r="M15" i="3" s="1"/>
  <c r="I15" i="61" s="1"/>
  <c r="AE15" i="3"/>
  <c r="K6" i="3"/>
  <c r="M6" i="3" s="1"/>
  <c r="I6" i="61" s="1"/>
  <c r="AE6" i="3"/>
  <c r="K34" i="3"/>
  <c r="M34" i="3" s="1"/>
  <c r="I34" i="61" s="1"/>
  <c r="AE34" i="3"/>
  <c r="AE25" i="3"/>
  <c r="K38" i="3"/>
  <c r="M38" i="3" s="1"/>
  <c r="I38" i="61" s="1"/>
  <c r="AE38" i="3"/>
  <c r="K40" i="3"/>
  <c r="M40" i="3" s="1"/>
  <c r="I40" i="61" s="1"/>
  <c r="AE40" i="3"/>
  <c r="AE22" i="3"/>
  <c r="K35" i="3"/>
  <c r="M35" i="3" s="1"/>
  <c r="I35" i="61" s="1"/>
  <c r="AE35" i="3"/>
  <c r="K39" i="3"/>
  <c r="M39" i="3" s="1"/>
  <c r="I39" i="61" s="1"/>
  <c r="AE39" i="3"/>
  <c r="K33" i="3"/>
  <c r="M33" i="3" s="1"/>
  <c r="I33" i="61" s="1"/>
  <c r="AE33" i="3"/>
  <c r="K32" i="3"/>
  <c r="M32" i="3" s="1"/>
  <c r="I32" i="61" s="1"/>
  <c r="AE32" i="3"/>
  <c r="K36" i="3"/>
  <c r="M36" i="3" s="1"/>
  <c r="I36" i="61" s="1"/>
  <c r="AE36" i="3"/>
  <c r="K31" i="3"/>
  <c r="M31" i="3" s="1"/>
  <c r="I31" i="61" s="1"/>
  <c r="AE31" i="3"/>
  <c r="K37" i="3"/>
  <c r="M37" i="3" s="1"/>
  <c r="I37" i="61" s="1"/>
  <c r="AE37" i="3"/>
  <c r="AE27" i="3"/>
  <c r="AE20" i="3"/>
  <c r="AC30" i="3"/>
  <c r="AD30" i="3" s="1"/>
  <c r="AC5" i="3"/>
  <c r="AD5" i="3" s="1"/>
  <c r="K54" i="45"/>
  <c r="AC29" i="3"/>
  <c r="AD29" i="3" s="1"/>
  <c r="K22" i="3"/>
  <c r="M22" i="3" s="1"/>
  <c r="I22" i="61" s="1"/>
  <c r="K21" i="3"/>
  <c r="M21" i="3" s="1"/>
  <c r="I21" i="61" s="1"/>
  <c r="K26" i="3"/>
  <c r="M26" i="3" s="1"/>
  <c r="I26" i="61" s="1"/>
  <c r="K24" i="3"/>
  <c r="M24" i="3" s="1"/>
  <c r="I24" i="61" s="1"/>
  <c r="K25" i="3"/>
  <c r="M25" i="3" s="1"/>
  <c r="I25" i="61" s="1"/>
  <c r="K28" i="3"/>
  <c r="M28" i="3" s="1"/>
  <c r="I28" i="61" s="1"/>
  <c r="K19" i="3"/>
  <c r="M19" i="3" s="1"/>
  <c r="I19" i="61" s="1"/>
  <c r="K18" i="3"/>
  <c r="M18" i="3" s="1"/>
  <c r="I18" i="61" s="1"/>
  <c r="K23" i="3"/>
  <c r="M23" i="3" s="1"/>
  <c r="I23" i="61" s="1"/>
  <c r="K27" i="3"/>
  <c r="M27" i="3" s="1"/>
  <c r="I27" i="61" s="1"/>
  <c r="K20" i="3"/>
  <c r="M20" i="3" s="1"/>
  <c r="I20" i="61" s="1"/>
  <c r="L29" i="45"/>
  <c r="L56" i="45" s="1"/>
  <c r="L17" i="45"/>
  <c r="L55" i="45" s="1"/>
  <c r="L122" i="45" s="1"/>
  <c r="AC17" i="3"/>
  <c r="AD17" i="3" s="1"/>
  <c r="L5" i="45"/>
  <c r="L54" i="45" s="1"/>
  <c r="H81" i="61" l="1"/>
  <c r="K81" i="61" s="1"/>
  <c r="L81" i="61" s="1"/>
  <c r="Z58" i="3"/>
  <c r="G59" i="3"/>
  <c r="H59" i="3" s="1"/>
  <c r="B60" i="3" s="1"/>
  <c r="K121" i="45"/>
  <c r="N54" i="45"/>
  <c r="L121" i="45"/>
  <c r="AE17" i="3"/>
  <c r="AE5" i="3"/>
  <c r="K29" i="3"/>
  <c r="AE29" i="3"/>
  <c r="N56" i="45"/>
  <c r="L123" i="45"/>
  <c r="K30" i="3"/>
  <c r="M30" i="3" s="1"/>
  <c r="I30" i="61" s="1"/>
  <c r="AE30" i="3"/>
  <c r="AD42" i="3"/>
  <c r="AC42" i="3"/>
  <c r="AC93" i="3" s="1"/>
  <c r="N55" i="45"/>
  <c r="K5" i="3"/>
  <c r="H82" i="61" l="1"/>
  <c r="K82" i="61" s="1"/>
  <c r="L82" i="61" s="1"/>
  <c r="M29" i="3"/>
  <c r="I29" i="61" s="1"/>
  <c r="M5" i="3"/>
  <c r="K43" i="3"/>
  <c r="K45" i="3"/>
  <c r="K17" i="3"/>
  <c r="M17" i="3" s="1"/>
  <c r="I17" i="61" s="1"/>
  <c r="K94" i="3" l="1"/>
  <c r="AE43" i="3"/>
  <c r="K96" i="3"/>
  <c r="K99" i="3" s="1"/>
  <c r="AE45" i="3"/>
  <c r="H83" i="61"/>
  <c r="K83" i="61" s="1"/>
  <c r="L83" i="61" s="1"/>
  <c r="O5" i="3"/>
  <c r="P5" i="3" s="1"/>
  <c r="Z5" i="3" s="1"/>
  <c r="I5" i="61"/>
  <c r="K5" i="61" s="1"/>
  <c r="L5" i="61" s="1"/>
  <c r="P59" i="3"/>
  <c r="J60" i="3" s="1"/>
  <c r="O60" i="3" s="1"/>
  <c r="K44" i="3"/>
  <c r="K42" i="3"/>
  <c r="K93" i="3" s="1"/>
  <c r="AD93" i="3"/>
  <c r="K95" i="3" l="1"/>
  <c r="AE44" i="3"/>
  <c r="H6" i="61"/>
  <c r="K6" i="61" s="1"/>
  <c r="L6" i="61" s="1"/>
  <c r="T5" i="61"/>
  <c r="H84" i="61"/>
  <c r="K84" i="61" s="1"/>
  <c r="L84" i="61" s="1"/>
  <c r="Z59" i="3"/>
  <c r="G60" i="3"/>
  <c r="H60" i="3"/>
  <c r="B61" i="3" s="1"/>
  <c r="C90" i="3"/>
  <c r="C95" i="3" s="1"/>
  <c r="J6" i="3"/>
  <c r="H85" i="61" l="1"/>
  <c r="K85" i="61" s="1"/>
  <c r="L85" i="61" s="1"/>
  <c r="H7" i="61"/>
  <c r="K7" i="61" s="1"/>
  <c r="L7" i="61" s="1"/>
  <c r="T6" i="61"/>
  <c r="O6" i="3"/>
  <c r="P6" i="3" s="1"/>
  <c r="Z6" i="3" s="1"/>
  <c r="H8" i="61" l="1"/>
  <c r="K8" i="61" s="1"/>
  <c r="L8" i="61" s="1"/>
  <c r="T7" i="61"/>
  <c r="H86" i="61"/>
  <c r="K86" i="61" s="1"/>
  <c r="L86" i="61" s="1"/>
  <c r="P60" i="3"/>
  <c r="J61" i="3" s="1"/>
  <c r="O61" i="3" s="1"/>
  <c r="J7" i="3"/>
  <c r="H87" i="61" l="1"/>
  <c r="K87" i="61" s="1"/>
  <c r="L87" i="61" s="1"/>
  <c r="H9" i="61"/>
  <c r="K9" i="61" s="1"/>
  <c r="L9" i="61" s="1"/>
  <c r="T8" i="61"/>
  <c r="Z60" i="3"/>
  <c r="G61" i="3"/>
  <c r="H61" i="3"/>
  <c r="B62" i="3" s="1"/>
  <c r="O7" i="3"/>
  <c r="P7" i="3" s="1"/>
  <c r="H10" i="61" l="1"/>
  <c r="K10" i="61" s="1"/>
  <c r="L10" i="61" s="1"/>
  <c r="T9" i="61"/>
  <c r="L92" i="61"/>
  <c r="H7" i="3"/>
  <c r="Z7" i="3" s="1"/>
  <c r="H11" i="61" l="1"/>
  <c r="K11" i="61" s="1"/>
  <c r="L11" i="61" s="1"/>
  <c r="T10" i="61"/>
  <c r="P61" i="3"/>
  <c r="J62" i="3" s="1"/>
  <c r="O62" i="3" s="1"/>
  <c r="O89" i="3" s="1"/>
  <c r="B8" i="3"/>
  <c r="G8" i="3" s="1"/>
  <c r="J8" i="3"/>
  <c r="H12" i="61" l="1"/>
  <c r="K12" i="61" s="1"/>
  <c r="L12" i="61" s="1"/>
  <c r="T11" i="61"/>
  <c r="Z61" i="3"/>
  <c r="G62" i="3"/>
  <c r="H62" i="3"/>
  <c r="B63" i="3" s="1"/>
  <c r="O8" i="3"/>
  <c r="P8" i="3" s="1"/>
  <c r="H8" i="3"/>
  <c r="Z8" i="3" l="1"/>
  <c r="H13" i="61"/>
  <c r="K13" i="61" s="1"/>
  <c r="L13" i="61" s="1"/>
  <c r="T12" i="61"/>
  <c r="J9" i="3"/>
  <c r="B9" i="3"/>
  <c r="G9" i="3" s="1"/>
  <c r="H14" i="61" l="1"/>
  <c r="K14" i="61" s="1"/>
  <c r="L14" i="61" s="1"/>
  <c r="T13" i="61"/>
  <c r="P62" i="3"/>
  <c r="P89" i="3" s="1"/>
  <c r="O9" i="3"/>
  <c r="P9" i="3"/>
  <c r="H9" i="3"/>
  <c r="Z9" i="3" l="1"/>
  <c r="J63" i="3"/>
  <c r="O63" i="3" s="1"/>
  <c r="H15" i="61"/>
  <c r="K15" i="61" s="1"/>
  <c r="L15" i="61" s="1"/>
  <c r="T14" i="61"/>
  <c r="G63" i="3"/>
  <c r="J10" i="3"/>
  <c r="B10" i="3"/>
  <c r="G10" i="3" s="1"/>
  <c r="H16" i="61" l="1"/>
  <c r="K16" i="61" s="1"/>
  <c r="L16" i="61" s="1"/>
  <c r="T15" i="61"/>
  <c r="Z62" i="3"/>
  <c r="Z89" i="3" s="1"/>
  <c r="W89" i="3"/>
  <c r="W94" i="3" s="1"/>
  <c r="H63" i="3"/>
  <c r="O10" i="3"/>
  <c r="P10" i="3" s="1"/>
  <c r="H10" i="3"/>
  <c r="H17" i="61" l="1"/>
  <c r="K17" i="61" s="1"/>
  <c r="L17" i="61" s="1"/>
  <c r="T16" i="61"/>
  <c r="T43" i="61" s="1"/>
  <c r="T96" i="61" s="1"/>
  <c r="L43" i="61"/>
  <c r="L96" i="61" s="1"/>
  <c r="Z10" i="3"/>
  <c r="B64" i="3"/>
  <c r="P63" i="3"/>
  <c r="J64" i="3" s="1"/>
  <c r="O64" i="3" s="1"/>
  <c r="J11" i="3"/>
  <c r="B11" i="3"/>
  <c r="G11" i="3" s="1"/>
  <c r="H11" i="3"/>
  <c r="H18" i="61" l="1"/>
  <c r="K18" i="61" s="1"/>
  <c r="L18" i="61" s="1"/>
  <c r="T17" i="61"/>
  <c r="G64" i="3"/>
  <c r="H64" i="3"/>
  <c r="B65" i="3" s="1"/>
  <c r="O11" i="3"/>
  <c r="P11" i="3" s="1"/>
  <c r="B12" i="3"/>
  <c r="G12" i="3" s="1"/>
  <c r="H12" i="3" s="1"/>
  <c r="H19" i="61" l="1"/>
  <c r="K19" i="61" s="1"/>
  <c r="L19" i="61" s="1"/>
  <c r="T18" i="61"/>
  <c r="Z63" i="3"/>
  <c r="Z11" i="3"/>
  <c r="J12" i="3"/>
  <c r="O12" i="3" s="1"/>
  <c r="P12" i="3" s="1"/>
  <c r="J13" i="3" s="1"/>
  <c r="B13" i="3"/>
  <c r="G13" i="3" s="1"/>
  <c r="H20" i="61" l="1"/>
  <c r="K20" i="61" s="1"/>
  <c r="L20" i="61" s="1"/>
  <c r="T19" i="61"/>
  <c r="Z12" i="3"/>
  <c r="H13" i="3"/>
  <c r="O13" i="3"/>
  <c r="P13" i="3"/>
  <c r="J14" i="3" s="1"/>
  <c r="B14" i="3"/>
  <c r="G14" i="3" s="1"/>
  <c r="H14" i="3" s="1"/>
  <c r="H21" i="61" l="1"/>
  <c r="K21" i="61" s="1"/>
  <c r="L21" i="61" s="1"/>
  <c r="T20" i="61"/>
  <c r="P64" i="3"/>
  <c r="G65" i="3"/>
  <c r="H65" i="3"/>
  <c r="B66" i="3" s="1"/>
  <c r="Z13" i="3"/>
  <c r="O14" i="3"/>
  <c r="P14" i="3" s="1"/>
  <c r="J15" i="3" s="1"/>
  <c r="B15" i="3"/>
  <c r="G15" i="3" s="1"/>
  <c r="H22" i="61" l="1"/>
  <c r="K22" i="61" s="1"/>
  <c r="L22" i="61" s="1"/>
  <c r="T21" i="61"/>
  <c r="J65" i="3"/>
  <c r="O65" i="3" s="1"/>
  <c r="H15" i="3"/>
  <c r="Z14" i="3"/>
  <c r="O15" i="3"/>
  <c r="P15" i="3" s="1"/>
  <c r="Z15" i="3" s="1"/>
  <c r="B16" i="3"/>
  <c r="G16" i="3" s="1"/>
  <c r="G43" i="3" s="1"/>
  <c r="H16" i="3"/>
  <c r="J16" i="3" l="1"/>
  <c r="O16" i="3" s="1"/>
  <c r="O43" i="3" s="1"/>
  <c r="O94" i="3" s="1"/>
  <c r="H23" i="61"/>
  <c r="K23" i="61" s="1"/>
  <c r="L23" i="61" s="1"/>
  <c r="T22" i="61"/>
  <c r="Z64" i="3"/>
  <c r="B17" i="3"/>
  <c r="G17" i="3"/>
  <c r="H17" i="3"/>
  <c r="P16" i="3" l="1"/>
  <c r="Z16" i="3"/>
  <c r="Z43" i="3" s="1"/>
  <c r="Z94" i="3" s="1"/>
  <c r="P43" i="3"/>
  <c r="P94" i="3" s="1"/>
  <c r="H24" i="61"/>
  <c r="K24" i="61" s="1"/>
  <c r="L24" i="61" s="1"/>
  <c r="T23" i="61"/>
  <c r="J17" i="3"/>
  <c r="O17" i="3" s="1"/>
  <c r="P17" i="3" s="1"/>
  <c r="Z17" i="3" s="1"/>
  <c r="P65" i="3"/>
  <c r="G66" i="3"/>
  <c r="H66" i="3"/>
  <c r="B67" i="3" s="1"/>
  <c r="B18" i="3"/>
  <c r="H25" i="61" l="1"/>
  <c r="K25" i="61" s="1"/>
  <c r="L25" i="61" s="1"/>
  <c r="T24" i="61"/>
  <c r="J66" i="3"/>
  <c r="O66" i="3" s="1"/>
  <c r="Z65" i="3"/>
  <c r="J18" i="3"/>
  <c r="O18" i="3"/>
  <c r="P18" i="3" s="1"/>
  <c r="G18" i="3"/>
  <c r="H26" i="61" l="1"/>
  <c r="K26" i="61" s="1"/>
  <c r="L26" i="61" s="1"/>
  <c r="T25" i="61"/>
  <c r="P66" i="3"/>
  <c r="J67" i="3"/>
  <c r="O67" i="3" s="1"/>
  <c r="H18" i="3"/>
  <c r="Z18" i="3" s="1"/>
  <c r="H27" i="61" l="1"/>
  <c r="K27" i="61" s="1"/>
  <c r="L27" i="61" s="1"/>
  <c r="T26" i="61"/>
  <c r="G67" i="3"/>
  <c r="J19" i="3"/>
  <c r="B19" i="3"/>
  <c r="G19" i="3"/>
  <c r="H28" i="61" l="1"/>
  <c r="K28" i="61" s="1"/>
  <c r="L28" i="61" s="1"/>
  <c r="T27" i="61"/>
  <c r="Z66" i="3"/>
  <c r="H67" i="3"/>
  <c r="O19" i="3"/>
  <c r="H19" i="3"/>
  <c r="H29" i="61" l="1"/>
  <c r="T28" i="61"/>
  <c r="T44" i="61" s="1"/>
  <c r="T97" i="61" s="1"/>
  <c r="L44" i="61"/>
  <c r="L97" i="61" s="1"/>
  <c r="B68" i="3"/>
  <c r="P19" i="3"/>
  <c r="Z19" i="3" s="1"/>
  <c r="B20" i="3"/>
  <c r="J20" i="3" l="1"/>
  <c r="K29" i="61"/>
  <c r="L29" i="61"/>
  <c r="P67" i="3"/>
  <c r="G68" i="3"/>
  <c r="H68" i="3"/>
  <c r="B69" i="3" s="1"/>
  <c r="O20" i="3"/>
  <c r="P20" i="3" s="1"/>
  <c r="G20" i="3"/>
  <c r="H30" i="61" l="1"/>
  <c r="J68" i="3"/>
  <c r="O68" i="3" s="1"/>
  <c r="Z67" i="3"/>
  <c r="H20" i="3"/>
  <c r="Z20" i="3" s="1"/>
  <c r="K30" i="61" l="1"/>
  <c r="L30" i="61"/>
  <c r="P68" i="3"/>
  <c r="J69" i="3" s="1"/>
  <c r="O69" i="3" s="1"/>
  <c r="B21" i="3"/>
  <c r="J21" i="3"/>
  <c r="H31" i="61" l="1"/>
  <c r="Z68" i="3"/>
  <c r="G69" i="3"/>
  <c r="H69" i="3"/>
  <c r="B70" i="3" s="1"/>
  <c r="O21" i="3"/>
  <c r="P21" i="3" s="1"/>
  <c r="G21" i="3"/>
  <c r="H21" i="3" s="1"/>
  <c r="K31" i="61" l="1"/>
  <c r="L31" i="61"/>
  <c r="B22" i="3"/>
  <c r="Z21" i="3"/>
  <c r="H32" i="61" l="1"/>
  <c r="K32" i="61" s="1"/>
  <c r="L32" i="61" s="1"/>
  <c r="J22" i="3"/>
  <c r="H33" i="61" l="1"/>
  <c r="P69" i="3"/>
  <c r="G70" i="3"/>
  <c r="H70" i="3"/>
  <c r="B71" i="3" s="1"/>
  <c r="O22" i="3"/>
  <c r="P22" i="3" s="1"/>
  <c r="G22" i="3"/>
  <c r="K33" i="61" l="1"/>
  <c r="L33" i="61" s="1"/>
  <c r="J70" i="3"/>
  <c r="O70" i="3" s="1"/>
  <c r="Z69" i="3"/>
  <c r="H22" i="3"/>
  <c r="Z22" i="3" s="1"/>
  <c r="H34" i="61" l="1"/>
  <c r="K34" i="61" s="1"/>
  <c r="L34" i="61" s="1"/>
  <c r="P70" i="3"/>
  <c r="J23" i="3"/>
  <c r="B23" i="3"/>
  <c r="G23" i="3"/>
  <c r="H35" i="61" l="1"/>
  <c r="J71" i="3"/>
  <c r="O71" i="3" s="1"/>
  <c r="Z70" i="3"/>
  <c r="O23" i="3"/>
  <c r="P23" i="3" s="1"/>
  <c r="H23" i="3"/>
  <c r="Z23" i="3" l="1"/>
  <c r="K35" i="61"/>
  <c r="L35" i="61" s="1"/>
  <c r="G71" i="3"/>
  <c r="B24" i="3"/>
  <c r="J24" i="3"/>
  <c r="H36" i="61" l="1"/>
  <c r="K36" i="61" s="1"/>
  <c r="L36" i="61" s="1"/>
  <c r="H71" i="3"/>
  <c r="O24" i="3"/>
  <c r="P24" i="3"/>
  <c r="G24" i="3"/>
  <c r="H37" i="61" l="1"/>
  <c r="B72" i="3"/>
  <c r="P71" i="3"/>
  <c r="J72" i="3" s="1"/>
  <c r="O72" i="3" s="1"/>
  <c r="H24" i="3"/>
  <c r="Z24" i="3" s="1"/>
  <c r="K37" i="61" l="1"/>
  <c r="L37" i="61" s="1"/>
  <c r="G72" i="3"/>
  <c r="H72" i="3"/>
  <c r="B73" i="3" s="1"/>
  <c r="Z71" i="3"/>
  <c r="B25" i="3"/>
  <c r="J25" i="3"/>
  <c r="H38" i="61" l="1"/>
  <c r="O25" i="3"/>
  <c r="P25" i="3"/>
  <c r="G25" i="3"/>
  <c r="H25" i="3"/>
  <c r="K38" i="61" l="1"/>
  <c r="L38" i="61" s="1"/>
  <c r="P72" i="3"/>
  <c r="B26" i="3"/>
  <c r="Z25" i="3"/>
  <c r="J26" i="3"/>
  <c r="H39" i="61" l="1"/>
  <c r="J73" i="3"/>
  <c r="O73" i="3" s="1"/>
  <c r="Z72" i="3"/>
  <c r="O26" i="3"/>
  <c r="P26" i="3" s="1"/>
  <c r="G26" i="3"/>
  <c r="K39" i="61" l="1"/>
  <c r="L39" i="61" s="1"/>
  <c r="G73" i="3"/>
  <c r="H73" i="3" s="1"/>
  <c r="B74" i="3" s="1"/>
  <c r="H26" i="3"/>
  <c r="Z26" i="3" s="1"/>
  <c r="H40" i="61" l="1"/>
  <c r="B27" i="3"/>
  <c r="J27" i="3"/>
  <c r="K40" i="61" l="1"/>
  <c r="L40" i="61" s="1"/>
  <c r="P73" i="3"/>
  <c r="O27" i="3"/>
  <c r="P27" i="3" s="1"/>
  <c r="G27" i="3"/>
  <c r="L45" i="61" l="1"/>
  <c r="L98" i="61" s="1"/>
  <c r="J74" i="3"/>
  <c r="O74" i="3" s="1"/>
  <c r="O90" i="3" s="1"/>
  <c r="Z73" i="3"/>
  <c r="H27" i="3"/>
  <c r="Z27" i="3" s="1"/>
  <c r="G74" i="3" l="1"/>
  <c r="G90" i="3" s="1"/>
  <c r="H74" i="3"/>
  <c r="B28" i="3"/>
  <c r="J28" i="3"/>
  <c r="B75" i="3" l="1"/>
  <c r="H90" i="3"/>
  <c r="O28" i="3"/>
  <c r="O44" i="3" s="1"/>
  <c r="O95" i="3" s="1"/>
  <c r="P28" i="3"/>
  <c r="G28" i="3"/>
  <c r="G44" i="3" s="1"/>
  <c r="G95" i="3" s="1"/>
  <c r="J29" i="3" l="1"/>
  <c r="P44" i="3"/>
  <c r="P74" i="3"/>
  <c r="P90" i="3" s="1"/>
  <c r="O29" i="3"/>
  <c r="H28" i="3"/>
  <c r="J75" i="3" l="1"/>
  <c r="O75" i="3" s="1"/>
  <c r="P95" i="3"/>
  <c r="Z28" i="3"/>
  <c r="Z44" i="3" s="1"/>
  <c r="H44" i="3"/>
  <c r="H95" i="3" s="1"/>
  <c r="P29" i="3"/>
  <c r="J30" i="3"/>
  <c r="O30" i="3" s="1"/>
  <c r="B29" i="3"/>
  <c r="W90" i="3" l="1"/>
  <c r="W95" i="3" s="1"/>
  <c r="Z74" i="3"/>
  <c r="Z90" i="3" s="1"/>
  <c r="Z95" i="3" s="1"/>
  <c r="P30" i="3" l="1"/>
  <c r="J31" i="3" s="1"/>
  <c r="O31" i="3" s="1"/>
  <c r="P31" i="3" l="1"/>
  <c r="P75" i="3" l="1"/>
  <c r="J32" i="3"/>
  <c r="O32" i="3" s="1"/>
  <c r="J76" i="3" l="1"/>
  <c r="O76" i="3" s="1"/>
  <c r="P32" i="3" l="1"/>
  <c r="P76" i="3" l="1"/>
  <c r="J33" i="3"/>
  <c r="O33" i="3" s="1"/>
  <c r="J77" i="3" l="1"/>
  <c r="O77" i="3" s="1"/>
  <c r="P77" i="3" l="1"/>
  <c r="P33" i="3"/>
  <c r="J78" i="3" l="1"/>
  <c r="O78" i="3" s="1"/>
  <c r="J34" i="3"/>
  <c r="O34" i="3" s="1"/>
  <c r="P34" i="3" l="1"/>
  <c r="J35" i="3" l="1"/>
  <c r="O35" i="3" s="1"/>
  <c r="P78" i="3" l="1"/>
  <c r="J79" i="3"/>
  <c r="O79" i="3" s="1"/>
  <c r="P35" i="3"/>
  <c r="J36" i="3" l="1"/>
  <c r="O36" i="3" s="1"/>
  <c r="P36" i="3"/>
  <c r="J37" i="3" l="1"/>
  <c r="O37" i="3" s="1"/>
  <c r="P37" i="3" s="1"/>
  <c r="J38" i="3" l="1"/>
  <c r="O38" i="3" s="1"/>
  <c r="P79" i="3"/>
  <c r="J80" i="3"/>
  <c r="O80" i="3" s="1"/>
  <c r="P38" i="3"/>
  <c r="J39" i="3" l="1"/>
  <c r="O39" i="3" s="1"/>
  <c r="P39" i="3" l="1"/>
  <c r="P80" i="3" l="1"/>
  <c r="J81" i="3"/>
  <c r="O81" i="3" s="1"/>
  <c r="J40" i="3"/>
  <c r="O40" i="3" s="1"/>
  <c r="O45" i="3" s="1"/>
  <c r="O42" i="3" l="1"/>
  <c r="P40" i="3" l="1"/>
  <c r="P42" i="3" l="1"/>
  <c r="P45" i="3"/>
  <c r="P81" i="3"/>
  <c r="J82" i="3"/>
  <c r="O82" i="3" s="1"/>
  <c r="W42" i="3"/>
  <c r="C17" i="8" l="1"/>
  <c r="F17" i="8" l="1"/>
  <c r="P82" i="3" l="1"/>
  <c r="J83" i="3" s="1"/>
  <c r="O83" i="3" s="1"/>
  <c r="P83" i="3" l="1"/>
  <c r="J84" i="3" s="1"/>
  <c r="O84" i="3" s="1"/>
  <c r="P84" i="3" l="1"/>
  <c r="J85" i="3" s="1"/>
  <c r="O85" i="3" s="1"/>
  <c r="P85" i="3" l="1"/>
  <c r="J86" i="3" l="1"/>
  <c r="O86" i="3" s="1"/>
  <c r="O91" i="3" s="1"/>
  <c r="O96" i="3" s="1"/>
  <c r="O88" i="3" l="1"/>
  <c r="O93" i="3" s="1"/>
  <c r="P86" i="3"/>
  <c r="P91" i="3" l="1"/>
  <c r="P96" i="3" s="1"/>
  <c r="P88" i="3"/>
  <c r="W88" i="3"/>
  <c r="W93" i="3" s="1"/>
  <c r="W91" i="3"/>
  <c r="W96" i="3" s="1"/>
  <c r="D17" i="8" l="1"/>
  <c r="P93" i="3"/>
  <c r="G17" i="8" l="1"/>
  <c r="B17" i="8"/>
  <c r="J37" i="14" l="1"/>
  <c r="J38" i="14"/>
  <c r="J31" i="14"/>
  <c r="B13" i="58" l="1"/>
  <c r="B8" i="58"/>
  <c r="B11" i="58"/>
  <c r="B16" i="58"/>
  <c r="B6" i="58"/>
  <c r="B12" i="58"/>
  <c r="B7" i="58"/>
  <c r="B17" i="58"/>
  <c r="N17" i="58" s="1"/>
  <c r="O17" i="58" s="1"/>
  <c r="B10" i="58"/>
  <c r="B9" i="58"/>
  <c r="B14" i="58"/>
  <c r="B15" i="58"/>
  <c r="B10" i="60"/>
  <c r="B6" i="60"/>
  <c r="B12" i="60"/>
  <c r="B15" i="60"/>
  <c r="B9" i="60"/>
  <c r="B8" i="60"/>
  <c r="B16" i="60"/>
  <c r="B17" i="60"/>
  <c r="N17" i="60" s="1"/>
  <c r="O17" i="60" s="1"/>
  <c r="B7" i="60"/>
  <c r="J40" i="14"/>
  <c r="B11" i="60"/>
  <c r="B13" i="60"/>
  <c r="B14" i="60"/>
  <c r="N15" i="60" l="1"/>
  <c r="L15" i="60"/>
  <c r="M15" i="60"/>
  <c r="K12" i="60"/>
  <c r="N12" i="60"/>
  <c r="M12" i="60"/>
  <c r="I12" i="60"/>
  <c r="J12" i="60"/>
  <c r="L12" i="60"/>
  <c r="E6" i="60"/>
  <c r="C6" i="60"/>
  <c r="M6" i="60"/>
  <c r="N6" i="60"/>
  <c r="K6" i="60"/>
  <c r="D6" i="60"/>
  <c r="F6" i="60"/>
  <c r="B19" i="60"/>
  <c r="G6" i="60"/>
  <c r="I6" i="60"/>
  <c r="J6" i="60"/>
  <c r="H6" i="60"/>
  <c r="L6" i="60"/>
  <c r="K10" i="60"/>
  <c r="M10" i="60"/>
  <c r="G10" i="60"/>
  <c r="L10" i="60"/>
  <c r="H10" i="60"/>
  <c r="J10" i="60"/>
  <c r="I10" i="60"/>
  <c r="N10" i="60"/>
  <c r="N15" i="58"/>
  <c r="M15" i="58"/>
  <c r="L15" i="58"/>
  <c r="L14" i="58"/>
  <c r="M14" i="58"/>
  <c r="K14" i="58"/>
  <c r="N14" i="58"/>
  <c r="M9" i="58"/>
  <c r="L9" i="58"/>
  <c r="I9" i="58"/>
  <c r="J9" i="58"/>
  <c r="K9" i="58"/>
  <c r="F9" i="58"/>
  <c r="G9" i="58"/>
  <c r="N9" i="58"/>
  <c r="H9" i="58"/>
  <c r="K14" i="60"/>
  <c r="M14" i="60"/>
  <c r="L14" i="60"/>
  <c r="N14" i="60"/>
  <c r="J10" i="58"/>
  <c r="K10" i="58"/>
  <c r="H10" i="58"/>
  <c r="L10" i="58"/>
  <c r="G10" i="58"/>
  <c r="M10" i="58"/>
  <c r="N10" i="58"/>
  <c r="I10" i="58"/>
  <c r="M11" i="60"/>
  <c r="N11" i="60"/>
  <c r="K11" i="60"/>
  <c r="H11" i="60"/>
  <c r="I11" i="60"/>
  <c r="J11" i="60"/>
  <c r="L11" i="60"/>
  <c r="I7" i="58"/>
  <c r="N7" i="58"/>
  <c r="K7" i="58"/>
  <c r="E7" i="58"/>
  <c r="H7" i="58"/>
  <c r="M7" i="58"/>
  <c r="F7" i="58"/>
  <c r="G7" i="58"/>
  <c r="J7" i="58"/>
  <c r="D7" i="58"/>
  <c r="L7" i="58"/>
  <c r="L12" i="58"/>
  <c r="J12" i="58"/>
  <c r="K12" i="58"/>
  <c r="M12" i="58"/>
  <c r="I12" i="58"/>
  <c r="N12" i="58"/>
  <c r="K7" i="60"/>
  <c r="I7" i="60"/>
  <c r="E7" i="60"/>
  <c r="L7" i="60"/>
  <c r="G7" i="60"/>
  <c r="J7" i="60"/>
  <c r="M7" i="60"/>
  <c r="F7" i="60"/>
  <c r="N7" i="60"/>
  <c r="D7" i="60"/>
  <c r="H7" i="60"/>
  <c r="F6" i="58"/>
  <c r="K6" i="58"/>
  <c r="B19" i="58"/>
  <c r="E8" i="52" s="1"/>
  <c r="F8" i="52" s="1"/>
  <c r="I6" i="58"/>
  <c r="J6" i="58"/>
  <c r="M6" i="58"/>
  <c r="E6" i="58"/>
  <c r="G6" i="58"/>
  <c r="C6" i="58"/>
  <c r="D6" i="58"/>
  <c r="H6" i="58"/>
  <c r="L6" i="58"/>
  <c r="N6" i="58"/>
  <c r="N16" i="58"/>
  <c r="M16" i="58"/>
  <c r="M16" i="60"/>
  <c r="N16" i="60"/>
  <c r="K11" i="58"/>
  <c r="N11" i="58"/>
  <c r="M11" i="58"/>
  <c r="H11" i="58"/>
  <c r="L11" i="58"/>
  <c r="J11" i="58"/>
  <c r="I11" i="58"/>
  <c r="J13" i="60"/>
  <c r="N13" i="60"/>
  <c r="L13" i="60"/>
  <c r="M13" i="60"/>
  <c r="K13" i="60"/>
  <c r="G8" i="60"/>
  <c r="H8" i="60"/>
  <c r="J8" i="60"/>
  <c r="I8" i="60"/>
  <c r="L8" i="60"/>
  <c r="K8" i="60"/>
  <c r="N8" i="60"/>
  <c r="M8" i="60"/>
  <c r="F8" i="60"/>
  <c r="E8" i="60"/>
  <c r="L8" i="58"/>
  <c r="I8" i="58"/>
  <c r="K8" i="58"/>
  <c r="J8" i="58"/>
  <c r="F8" i="58"/>
  <c r="N8" i="58"/>
  <c r="H8" i="58"/>
  <c r="M8" i="58"/>
  <c r="E8" i="58"/>
  <c r="G8" i="58"/>
  <c r="F9" i="60"/>
  <c r="K9" i="60"/>
  <c r="I9" i="60"/>
  <c r="N9" i="60"/>
  <c r="H9" i="60"/>
  <c r="J9" i="60"/>
  <c r="M9" i="60"/>
  <c r="G9" i="60"/>
  <c r="L9" i="60"/>
  <c r="M13" i="58"/>
  <c r="N13" i="58"/>
  <c r="K13" i="58"/>
  <c r="L13" i="58"/>
  <c r="J13" i="58"/>
  <c r="O16" i="60" l="1"/>
  <c r="O16" i="58"/>
  <c r="O8" i="58"/>
  <c r="O13" i="58"/>
  <c r="F19" i="60"/>
  <c r="F22" i="60" s="1"/>
  <c r="O9" i="60"/>
  <c r="K19" i="58"/>
  <c r="K22" i="58" s="1"/>
  <c r="O14" i="60"/>
  <c r="D19" i="60"/>
  <c r="D22" i="60" s="1"/>
  <c r="F19" i="58"/>
  <c r="F22" i="58" s="1"/>
  <c r="O11" i="60"/>
  <c r="K19" i="60"/>
  <c r="K22" i="60" s="1"/>
  <c r="N19" i="60"/>
  <c r="N22" i="60" s="1"/>
  <c r="M19" i="60"/>
  <c r="M22" i="60" s="1"/>
  <c r="C19" i="60"/>
  <c r="C22" i="60" s="1"/>
  <c r="O6" i="60"/>
  <c r="N19" i="58"/>
  <c r="N22" i="58" s="1"/>
  <c r="E19" i="60"/>
  <c r="E22" i="60" s="1"/>
  <c r="O10" i="60"/>
  <c r="O7" i="60"/>
  <c r="O9" i="58"/>
  <c r="H19" i="58"/>
  <c r="H22" i="58" s="1"/>
  <c r="D19" i="58"/>
  <c r="D22" i="58" s="1"/>
  <c r="O10" i="58"/>
  <c r="O12" i="60"/>
  <c r="L19" i="58"/>
  <c r="L22" i="58" s="1"/>
  <c r="O6" i="58"/>
  <c r="C19" i="58"/>
  <c r="C22" i="58" s="1"/>
  <c r="L19" i="60"/>
  <c r="L22" i="60" s="1"/>
  <c r="G19" i="58"/>
  <c r="G22" i="58" s="1"/>
  <c r="H19" i="60"/>
  <c r="H22" i="60" s="1"/>
  <c r="O7" i="58"/>
  <c r="O13" i="60"/>
  <c r="O8" i="60"/>
  <c r="E19" i="58"/>
  <c r="E22" i="58" s="1"/>
  <c r="O14" i="58"/>
  <c r="J19" i="60"/>
  <c r="J22" i="60" s="1"/>
  <c r="M19" i="58"/>
  <c r="M22" i="58" s="1"/>
  <c r="I19" i="60"/>
  <c r="I22" i="60" s="1"/>
  <c r="O11" i="58"/>
  <c r="J19" i="58"/>
  <c r="J22" i="58" s="1"/>
  <c r="G19" i="60"/>
  <c r="G22" i="60" s="1"/>
  <c r="O15" i="60"/>
  <c r="I19" i="58"/>
  <c r="I22" i="58" s="1"/>
  <c r="O12" i="58"/>
  <c r="O15" i="58"/>
  <c r="E7" i="52"/>
  <c r="B18" i="60"/>
  <c r="I101" i="45" l="1" a="1"/>
  <c r="O22" i="58"/>
  <c r="E11" i="52"/>
  <c r="F7" i="52"/>
  <c r="F11" i="52" s="1"/>
  <c r="O19" i="58"/>
  <c r="E44" i="52" s="1"/>
  <c r="O22" i="60"/>
  <c r="H101" i="45" a="1"/>
  <c r="O19" i="60"/>
  <c r="E43" i="52" s="1"/>
  <c r="H110" i="45" l="1"/>
  <c r="J110" i="45" s="1"/>
  <c r="H104" i="45"/>
  <c r="J104" i="45" s="1"/>
  <c r="H102" i="45"/>
  <c r="J102" i="45" s="1"/>
  <c r="H103" i="45"/>
  <c r="J103" i="45" s="1"/>
  <c r="H107" i="45"/>
  <c r="J107" i="45" s="1"/>
  <c r="H106" i="45"/>
  <c r="J106" i="45" s="1"/>
  <c r="H101" i="45"/>
  <c r="H109" i="45"/>
  <c r="J109" i="45" s="1"/>
  <c r="H108" i="45"/>
  <c r="J108" i="45" s="1"/>
  <c r="H105" i="45"/>
  <c r="J105" i="45" s="1"/>
  <c r="H112" i="45"/>
  <c r="J112" i="45" s="1"/>
  <c r="H111" i="45"/>
  <c r="J111" i="45" s="1"/>
  <c r="O24" i="60"/>
  <c r="E79" i="52"/>
  <c r="O44" i="52"/>
  <c r="F44" i="52"/>
  <c r="E80" i="52"/>
  <c r="O24" i="58"/>
  <c r="O43" i="52"/>
  <c r="F43" i="52"/>
  <c r="E47" i="52"/>
  <c r="E119" i="52" s="1"/>
  <c r="I112" i="45"/>
  <c r="K112" i="45" s="1"/>
  <c r="I105" i="45"/>
  <c r="K105" i="45" s="1"/>
  <c r="I101" i="45"/>
  <c r="I107" i="45"/>
  <c r="K107" i="45" s="1"/>
  <c r="I104" i="45"/>
  <c r="K104" i="45" s="1"/>
  <c r="I106" i="45"/>
  <c r="K106" i="45" s="1"/>
  <c r="I111" i="45"/>
  <c r="K111" i="45" s="1"/>
  <c r="I110" i="45"/>
  <c r="K110" i="45" s="1"/>
  <c r="I109" i="45"/>
  <c r="K109" i="45" s="1"/>
  <c r="I108" i="45"/>
  <c r="K108" i="45" s="1"/>
  <c r="I102" i="45"/>
  <c r="K102" i="45" s="1"/>
  <c r="I103" i="45"/>
  <c r="K103" i="45" s="1"/>
  <c r="L103" i="45" l="1"/>
  <c r="L112" i="45"/>
  <c r="L105" i="45"/>
  <c r="L111" i="45"/>
  <c r="L108" i="45"/>
  <c r="I117" i="45"/>
  <c r="I118" i="45" s="1"/>
  <c r="I119" i="45" s="1"/>
  <c r="K101" i="45"/>
  <c r="K117" i="45" s="1"/>
  <c r="K118" i="45" s="1"/>
  <c r="E115" i="52"/>
  <c r="E83" i="52"/>
  <c r="F79" i="52"/>
  <c r="L106" i="45"/>
  <c r="L102" i="45"/>
  <c r="L109" i="45"/>
  <c r="L107" i="45"/>
  <c r="L104" i="45"/>
  <c r="J101" i="45"/>
  <c r="H117" i="45"/>
  <c r="F47" i="52"/>
  <c r="F119" i="52" s="1"/>
  <c r="E116" i="52"/>
  <c r="F80" i="52"/>
  <c r="F116" i="52" s="1"/>
  <c r="L110" i="45"/>
  <c r="L101" i="45" l="1"/>
  <c r="L117" i="45" s="1"/>
  <c r="J117" i="45"/>
  <c r="F83" i="52"/>
  <c r="F115" i="52"/>
  <c r="H124" i="45"/>
  <c r="H125" i="45" s="1"/>
  <c r="H118" i="45"/>
  <c r="H119" i="45" s="1"/>
  <c r="J124" i="45" l="1"/>
  <c r="J125" i="45" s="1"/>
  <c r="J118" i="45"/>
  <c r="N117" i="45"/>
  <c r="L118" i="45"/>
  <c r="D16" i="8"/>
  <c r="G16" i="8" l="1"/>
  <c r="C5" i="8" l="1"/>
  <c r="B9" i="57" l="1"/>
  <c r="B6" i="57"/>
  <c r="B16" i="57"/>
  <c r="B15" i="57"/>
  <c r="B13" i="57"/>
  <c r="B10" i="57"/>
  <c r="J26" i="14"/>
  <c r="J33" i="14" s="1"/>
  <c r="B17" i="57"/>
  <c r="N17" i="57" s="1"/>
  <c r="O17" i="57" s="1"/>
  <c r="B8" i="57"/>
  <c r="B7" i="57"/>
  <c r="B11" i="57"/>
  <c r="B12" i="57"/>
  <c r="B14" i="57"/>
  <c r="N14" i="57" l="1"/>
  <c r="L14" i="57"/>
  <c r="K14" i="57"/>
  <c r="M14" i="57"/>
  <c r="J12" i="57"/>
  <c r="L12" i="57"/>
  <c r="I12" i="57"/>
  <c r="K12" i="57"/>
  <c r="N12" i="57"/>
  <c r="M12" i="57"/>
  <c r="I11" i="57"/>
  <c r="M11" i="57"/>
  <c r="H11" i="57"/>
  <c r="N11" i="57"/>
  <c r="L11" i="57"/>
  <c r="K11" i="57"/>
  <c r="J11" i="57"/>
  <c r="N7" i="57"/>
  <c r="L7" i="57"/>
  <c r="G7" i="57"/>
  <c r="E7" i="57"/>
  <c r="M7" i="57"/>
  <c r="K7" i="57"/>
  <c r="D7" i="57"/>
  <c r="H7" i="57"/>
  <c r="J7" i="57"/>
  <c r="F7" i="57"/>
  <c r="I7" i="57"/>
  <c r="H8" i="57"/>
  <c r="N8" i="57"/>
  <c r="L8" i="57"/>
  <c r="I8" i="57"/>
  <c r="F8" i="57"/>
  <c r="G8" i="57"/>
  <c r="E8" i="57"/>
  <c r="M8" i="57"/>
  <c r="K8" i="57"/>
  <c r="J8" i="57"/>
  <c r="I10" i="57"/>
  <c r="G10" i="57"/>
  <c r="K10" i="57"/>
  <c r="J10" i="57"/>
  <c r="L10" i="57"/>
  <c r="N10" i="57"/>
  <c r="M10" i="57"/>
  <c r="H10" i="57"/>
  <c r="J13" i="57"/>
  <c r="K13" i="57"/>
  <c r="N13" i="57"/>
  <c r="M13" i="57"/>
  <c r="L13" i="57"/>
  <c r="N15" i="57"/>
  <c r="L15" i="57"/>
  <c r="M15" i="57"/>
  <c r="M16" i="57"/>
  <c r="N16" i="57"/>
  <c r="J6" i="57"/>
  <c r="M6" i="57"/>
  <c r="B19" i="57"/>
  <c r="E6" i="52" s="1"/>
  <c r="F6" i="57"/>
  <c r="E6" i="57"/>
  <c r="G6" i="57"/>
  <c r="H6" i="57"/>
  <c r="K6" i="57"/>
  <c r="L6" i="57"/>
  <c r="N6" i="57"/>
  <c r="I6" i="57"/>
  <c r="C6" i="57"/>
  <c r="D6" i="57"/>
  <c r="N9" i="57"/>
  <c r="L9" i="57"/>
  <c r="H9" i="57"/>
  <c r="J9" i="57"/>
  <c r="F9" i="57"/>
  <c r="G9" i="57"/>
  <c r="I9" i="57"/>
  <c r="K9" i="57"/>
  <c r="M9" i="57"/>
  <c r="E19" i="57" l="1"/>
  <c r="E22" i="57" s="1"/>
  <c r="F19" i="57"/>
  <c r="F22" i="57" s="1"/>
  <c r="H19" i="57"/>
  <c r="H22" i="57" s="1"/>
  <c r="K19" i="57"/>
  <c r="K22" i="57" s="1"/>
  <c r="O13" i="57"/>
  <c r="G19" i="57"/>
  <c r="G22" i="57" s="1"/>
  <c r="O11" i="57"/>
  <c r="F6" i="52"/>
  <c r="E9" i="52"/>
  <c r="E10" i="52"/>
  <c r="O9" i="57"/>
  <c r="M19" i="57"/>
  <c r="M22" i="57" s="1"/>
  <c r="J19" i="57"/>
  <c r="J22" i="57" s="1"/>
  <c r="O10" i="57"/>
  <c r="O7" i="57"/>
  <c r="O16" i="57"/>
  <c r="O12" i="57"/>
  <c r="D19" i="57"/>
  <c r="D22" i="57" s="1"/>
  <c r="O15" i="57"/>
  <c r="C19" i="57"/>
  <c r="C22" i="57" s="1"/>
  <c r="O6" i="57"/>
  <c r="I19" i="57"/>
  <c r="I22" i="57" s="1"/>
  <c r="O8" i="57"/>
  <c r="O14" i="57"/>
  <c r="N19" i="57"/>
  <c r="N22" i="57" s="1"/>
  <c r="L19" i="57"/>
  <c r="L22" i="57" s="1"/>
  <c r="I41" i="45" l="1" a="1"/>
  <c r="O22" i="57"/>
  <c r="K9" i="52"/>
  <c r="K11" i="52"/>
  <c r="F9" i="52"/>
  <c r="F10" i="52"/>
  <c r="O19" i="57"/>
  <c r="E42" i="52" s="1"/>
  <c r="F42" i="52" l="1"/>
  <c r="O42" i="52"/>
  <c r="E46" i="52"/>
  <c r="E118" i="52" s="1"/>
  <c r="E45" i="52"/>
  <c r="E78" i="52"/>
  <c r="O24" i="57"/>
  <c r="I50" i="45"/>
  <c r="K50" i="45" s="1"/>
  <c r="L50" i="45" s="1"/>
  <c r="I52" i="45"/>
  <c r="K52" i="45" s="1"/>
  <c r="L52" i="45" s="1"/>
  <c r="I45" i="45"/>
  <c r="K45" i="45" s="1"/>
  <c r="L45" i="45" s="1"/>
  <c r="I51" i="45"/>
  <c r="K51" i="45" s="1"/>
  <c r="L51" i="45" s="1"/>
  <c r="I42" i="45"/>
  <c r="K42" i="45" s="1"/>
  <c r="L42" i="45" s="1"/>
  <c r="I43" i="45"/>
  <c r="K43" i="45" s="1"/>
  <c r="L43" i="45" s="1"/>
  <c r="I46" i="45"/>
  <c r="K46" i="45" s="1"/>
  <c r="L46" i="45" s="1"/>
  <c r="I48" i="45"/>
  <c r="K48" i="45" s="1"/>
  <c r="L48" i="45" s="1"/>
  <c r="I41" i="45"/>
  <c r="I49" i="45"/>
  <c r="K49" i="45" s="1"/>
  <c r="L49" i="45" s="1"/>
  <c r="I44" i="45"/>
  <c r="K44" i="45" s="1"/>
  <c r="L44" i="45" s="1"/>
  <c r="I47" i="45"/>
  <c r="K47" i="45" s="1"/>
  <c r="L47" i="45" s="1"/>
  <c r="K41" i="45" l="1"/>
  <c r="I57" i="45"/>
  <c r="F78" i="52"/>
  <c r="E114" i="52"/>
  <c r="E82" i="52"/>
  <c r="E81" i="52"/>
  <c r="K45" i="52"/>
  <c r="K47" i="52"/>
  <c r="F45" i="52"/>
  <c r="F46" i="52"/>
  <c r="F118" i="52" s="1"/>
  <c r="E117" i="52" l="1"/>
  <c r="K81" i="52"/>
  <c r="K83" i="52"/>
  <c r="F81" i="52"/>
  <c r="F117" i="52" s="1"/>
  <c r="F114" i="52"/>
  <c r="F82" i="52"/>
  <c r="I58" i="45"/>
  <c r="I59" i="45" s="1"/>
  <c r="I124" i="45"/>
  <c r="I125" i="45" s="1"/>
  <c r="L41" i="45"/>
  <c r="L57" i="45" s="1"/>
  <c r="K57" i="45"/>
  <c r="L124" i="45" l="1"/>
  <c r="L125" i="45" s="1"/>
  <c r="C16" i="8"/>
  <c r="L58" i="45"/>
  <c r="N57" i="45"/>
  <c r="K124" i="45"/>
  <c r="K125" i="45" s="1"/>
  <c r="K58" i="45"/>
  <c r="F16" i="8" l="1"/>
  <c r="B16" i="8"/>
  <c r="C4" i="8" l="1"/>
  <c r="N53" i="55" l="1"/>
  <c r="N47" i="55"/>
  <c r="N46" i="55"/>
  <c r="M59" i="55" l="1"/>
  <c r="B25" i="55" s="1" a="1"/>
  <c r="N57" i="55"/>
  <c r="N59" i="55" s="1"/>
  <c r="M55" i="55"/>
  <c r="E5" i="55" s="1" a="1"/>
  <c r="N52" i="55"/>
  <c r="N55" i="55" s="1"/>
  <c r="M50" i="55"/>
  <c r="N45" i="55"/>
  <c r="N50" i="55" s="1"/>
  <c r="N62" i="55" s="1"/>
  <c r="B26" i="55" l="1"/>
  <c r="B33" i="55"/>
  <c r="B31" i="55"/>
  <c r="B29" i="55"/>
  <c r="B28" i="55"/>
  <c r="B27" i="55"/>
  <c r="B25" i="55"/>
  <c r="B36" i="55"/>
  <c r="B35" i="55"/>
  <c r="B32" i="55"/>
  <c r="B30" i="55"/>
  <c r="B34" i="55"/>
  <c r="E9" i="55"/>
  <c r="E6" i="55"/>
  <c r="E8" i="55"/>
  <c r="E16" i="55"/>
  <c r="E7" i="55"/>
  <c r="E12" i="55"/>
  <c r="E10" i="55"/>
  <c r="E14" i="55"/>
  <c r="E5" i="55"/>
  <c r="E13" i="55"/>
  <c r="E15" i="55"/>
  <c r="E11" i="55"/>
  <c r="M62" i="55"/>
  <c r="B5" i="55" a="1"/>
  <c r="C35" i="55" l="1"/>
  <c r="D35" i="55"/>
  <c r="F15" i="55" s="1"/>
  <c r="C28" i="55"/>
  <c r="D28" i="55"/>
  <c r="F8" i="55" s="1"/>
  <c r="G8" i="55" s="1"/>
  <c r="C78" i="3" s="1"/>
  <c r="E78" i="3" s="1"/>
  <c r="C79" i="61" s="1"/>
  <c r="G16" i="55"/>
  <c r="C86" i="3" s="1"/>
  <c r="E86" i="3" s="1"/>
  <c r="C87" i="61" s="1"/>
  <c r="C30" i="55"/>
  <c r="D30" i="55"/>
  <c r="F10" i="55" s="1"/>
  <c r="G10" i="55" s="1"/>
  <c r="C80" i="3" s="1"/>
  <c r="E80" i="3" s="1"/>
  <c r="C81" i="61" s="1"/>
  <c r="G11" i="55"/>
  <c r="C81" i="3" s="1"/>
  <c r="E81" i="3" s="1"/>
  <c r="C82" i="61" s="1"/>
  <c r="B38" i="55"/>
  <c r="C25" i="55"/>
  <c r="D25" i="55"/>
  <c r="G14" i="55"/>
  <c r="C84" i="3" s="1"/>
  <c r="E84" i="3" s="1"/>
  <c r="C85" i="61" s="1"/>
  <c r="C29" i="55"/>
  <c r="D29" i="55"/>
  <c r="F9" i="55" s="1"/>
  <c r="G9" i="55" s="1"/>
  <c r="C79" i="3" s="1"/>
  <c r="E79" i="3" s="1"/>
  <c r="C80" i="61" s="1"/>
  <c r="C36" i="55"/>
  <c r="D36" i="55"/>
  <c r="F16" i="55" s="1"/>
  <c r="C31" i="55"/>
  <c r="D31" i="55"/>
  <c r="F11" i="55" s="1"/>
  <c r="C34" i="55"/>
  <c r="D34" i="55"/>
  <c r="F14" i="55" s="1"/>
  <c r="C32" i="55"/>
  <c r="D32" i="55"/>
  <c r="F12" i="55" s="1"/>
  <c r="G15" i="55"/>
  <c r="C85" i="3" s="1"/>
  <c r="E85" i="3" s="1"/>
  <c r="C86" i="61" s="1"/>
  <c r="C27" i="55"/>
  <c r="D27" i="55"/>
  <c r="F7" i="55" s="1"/>
  <c r="G7" i="55" s="1"/>
  <c r="C77" i="3" s="1"/>
  <c r="E77" i="3" s="1"/>
  <c r="C78" i="61" s="1"/>
  <c r="G12" i="55"/>
  <c r="C82" i="3" s="1"/>
  <c r="E82" i="3" s="1"/>
  <c r="C83" i="61" s="1"/>
  <c r="C33" i="55"/>
  <c r="D33" i="55"/>
  <c r="F13" i="55" s="1"/>
  <c r="G13" i="55" s="1"/>
  <c r="C83" i="3" s="1"/>
  <c r="E83" i="3" s="1"/>
  <c r="C84" i="61" s="1"/>
  <c r="C26" i="55"/>
  <c r="D26" i="55"/>
  <c r="F6" i="55" s="1"/>
  <c r="G6" i="55" s="1"/>
  <c r="C76" i="3" s="1"/>
  <c r="E76" i="3" s="1"/>
  <c r="C77" i="61" s="1"/>
  <c r="E18" i="55"/>
  <c r="B14" i="55"/>
  <c r="B10" i="55"/>
  <c r="B12" i="55"/>
  <c r="B6" i="55"/>
  <c r="B16" i="55"/>
  <c r="B15" i="55"/>
  <c r="B13" i="55"/>
  <c r="B9" i="55"/>
  <c r="B8" i="55"/>
  <c r="B7" i="55"/>
  <c r="B5" i="55"/>
  <c r="B11" i="55"/>
  <c r="C13" i="55" l="1"/>
  <c r="E33" i="55"/>
  <c r="E25" i="55"/>
  <c r="D38" i="55"/>
  <c r="F5" i="55"/>
  <c r="C7" i="55"/>
  <c r="D7" i="55" s="1"/>
  <c r="E27" i="55"/>
  <c r="D15" i="55"/>
  <c r="H15" i="55" s="1"/>
  <c r="I15" i="55" s="1"/>
  <c r="C5" i="55"/>
  <c r="D5" i="55" s="1"/>
  <c r="C38" i="55"/>
  <c r="D6" i="55"/>
  <c r="H6" i="55" s="1"/>
  <c r="I6" i="55" s="1"/>
  <c r="C14" i="55"/>
  <c r="D14" i="55" s="1"/>
  <c r="E34" i="55"/>
  <c r="C12" i="55"/>
  <c r="D12" i="55" s="1"/>
  <c r="E32" i="55"/>
  <c r="C10" i="55"/>
  <c r="D10" i="55" s="1"/>
  <c r="E30" i="55"/>
  <c r="D13" i="55"/>
  <c r="H13" i="55" s="1"/>
  <c r="I13" i="55" s="1"/>
  <c r="C8" i="55"/>
  <c r="D8" i="55" s="1"/>
  <c r="E28" i="55"/>
  <c r="C15" i="55"/>
  <c r="E35" i="55"/>
  <c r="C9" i="55"/>
  <c r="D9" i="55" s="1"/>
  <c r="E29" i="55"/>
  <c r="C11" i="55"/>
  <c r="D11" i="55" s="1"/>
  <c r="H11" i="55" s="1"/>
  <c r="I11" i="55" s="1"/>
  <c r="E31" i="55"/>
  <c r="C6" i="55"/>
  <c r="E26" i="55"/>
  <c r="C16" i="55"/>
  <c r="D16" i="55" s="1"/>
  <c r="E36" i="55"/>
  <c r="B18" i="55"/>
  <c r="C37" i="3"/>
  <c r="E37" i="3" s="1"/>
  <c r="C37" i="61" s="1"/>
  <c r="C36" i="3" l="1"/>
  <c r="E36" i="3" s="1"/>
  <c r="C36" i="61" s="1"/>
  <c r="H12" i="55"/>
  <c r="I12" i="55" s="1"/>
  <c r="H16" i="55"/>
  <c r="I18" i="55" s="1"/>
  <c r="C40" i="3"/>
  <c r="E40" i="3" s="1"/>
  <c r="C40" i="61" s="1"/>
  <c r="C39" i="3"/>
  <c r="E39" i="3" s="1"/>
  <c r="C39" i="61" s="1"/>
  <c r="H7" i="55"/>
  <c r="I7" i="55" s="1"/>
  <c r="C31" i="3"/>
  <c r="E31" i="3" s="1"/>
  <c r="C31" i="61" s="1"/>
  <c r="C38" i="3"/>
  <c r="E38" i="3" s="1"/>
  <c r="C38" i="61" s="1"/>
  <c r="H14" i="55"/>
  <c r="I14" i="55" s="1"/>
  <c r="C33" i="3"/>
  <c r="E33" i="3" s="1"/>
  <c r="C33" i="61" s="1"/>
  <c r="H9" i="55"/>
  <c r="I9" i="55" s="1"/>
  <c r="C32" i="3"/>
  <c r="E32" i="3" s="1"/>
  <c r="C32" i="61" s="1"/>
  <c r="H8" i="55"/>
  <c r="I8" i="55" s="1"/>
  <c r="H10" i="55"/>
  <c r="I10" i="55" s="1"/>
  <c r="C34" i="3"/>
  <c r="E34" i="3" s="1"/>
  <c r="C34" i="61" s="1"/>
  <c r="E38" i="55"/>
  <c r="C35" i="3"/>
  <c r="E35" i="3" s="1"/>
  <c r="C35" i="61" s="1"/>
  <c r="C18" i="55"/>
  <c r="C30" i="3"/>
  <c r="E30" i="3" s="1"/>
  <c r="C30" i="61" s="1"/>
  <c r="F18" i="55"/>
  <c r="G5" i="55"/>
  <c r="H5" i="55" s="1"/>
  <c r="C29" i="3"/>
  <c r="D18" i="55"/>
  <c r="G18" i="55" l="1"/>
  <c r="C75" i="3"/>
  <c r="H18" i="55"/>
  <c r="I5" i="55"/>
  <c r="C45" i="3"/>
  <c r="E29" i="3"/>
  <c r="C42" i="3"/>
  <c r="C91" i="3" l="1"/>
  <c r="C96" i="3" s="1"/>
  <c r="C99" i="3" s="1"/>
  <c r="E75" i="3"/>
  <c r="C88" i="3"/>
  <c r="C93" i="3" s="1"/>
  <c r="C29" i="61"/>
  <c r="E29" i="61" s="1"/>
  <c r="F29" i="61" s="1"/>
  <c r="G29" i="3"/>
  <c r="H29" i="3"/>
  <c r="C76" i="61" l="1"/>
  <c r="E76" i="61" s="1"/>
  <c r="F76" i="61" s="1"/>
  <c r="G75" i="3"/>
  <c r="H75" i="3" s="1"/>
  <c r="B76" i="3" s="1"/>
  <c r="G76" i="3" s="1"/>
  <c r="Z75" i="3"/>
  <c r="B30" i="3"/>
  <c r="G30" i="3" s="1"/>
  <c r="H30" i="3" s="1"/>
  <c r="Z29" i="3"/>
  <c r="B30" i="61"/>
  <c r="E30" i="61" s="1"/>
  <c r="F30" i="61" s="1"/>
  <c r="T29" i="61"/>
  <c r="B77" i="61" l="1"/>
  <c r="E77" i="61" s="1"/>
  <c r="F77" i="61" s="1"/>
  <c r="T76" i="61"/>
  <c r="H76" i="3"/>
  <c r="B31" i="61"/>
  <c r="E31" i="61" s="1"/>
  <c r="F31" i="61" s="1"/>
  <c r="T30" i="61"/>
  <c r="B31" i="3"/>
  <c r="G31" i="3" s="1"/>
  <c r="H31" i="3" s="1"/>
  <c r="Z30" i="3"/>
  <c r="B78" i="61" l="1"/>
  <c r="E78" i="61" s="1"/>
  <c r="F78" i="61" s="1"/>
  <c r="T77" i="61"/>
  <c r="B77" i="3"/>
  <c r="G77" i="3" s="1"/>
  <c r="Z76" i="3"/>
  <c r="B32" i="3"/>
  <c r="G32" i="3" s="1"/>
  <c r="Z31" i="3"/>
  <c r="B32" i="61"/>
  <c r="E32" i="61" s="1"/>
  <c r="F32" i="61" s="1"/>
  <c r="T31" i="61"/>
  <c r="B79" i="61" l="1"/>
  <c r="E79" i="61" s="1"/>
  <c r="F79" i="61" s="1"/>
  <c r="T78" i="61"/>
  <c r="H77" i="3"/>
  <c r="B33" i="61"/>
  <c r="E33" i="61" s="1"/>
  <c r="F33" i="61" s="1"/>
  <c r="T32" i="61"/>
  <c r="H32" i="3"/>
  <c r="B80" i="61" l="1"/>
  <c r="E80" i="61" s="1"/>
  <c r="F80" i="61" s="1"/>
  <c r="T79" i="61"/>
  <c r="B78" i="3"/>
  <c r="G78" i="3" s="1"/>
  <c r="Z77" i="3"/>
  <c r="B33" i="3"/>
  <c r="G33" i="3" s="1"/>
  <c r="Z32" i="3"/>
  <c r="B34" i="61"/>
  <c r="E34" i="61" s="1"/>
  <c r="F34" i="61" s="1"/>
  <c r="T33" i="61"/>
  <c r="B81" i="61" l="1"/>
  <c r="E81" i="61" s="1"/>
  <c r="F81" i="61" s="1"/>
  <c r="T80" i="61"/>
  <c r="H78" i="3"/>
  <c r="B35" i="61"/>
  <c r="E35" i="61" s="1"/>
  <c r="F35" i="61" s="1"/>
  <c r="T34" i="61"/>
  <c r="H33" i="3"/>
  <c r="B82" i="61" l="1"/>
  <c r="E82" i="61" s="1"/>
  <c r="F82" i="61" s="1"/>
  <c r="T81" i="61"/>
  <c r="B79" i="3"/>
  <c r="Z78" i="3"/>
  <c r="B34" i="3"/>
  <c r="G34" i="3" s="1"/>
  <c r="H34" i="3" s="1"/>
  <c r="Z33" i="3"/>
  <c r="B36" i="61"/>
  <c r="E36" i="61" s="1"/>
  <c r="F36" i="61" s="1"/>
  <c r="T35" i="61"/>
  <c r="B83" i="61" l="1"/>
  <c r="E83" i="61" s="1"/>
  <c r="F83" i="61" s="1"/>
  <c r="T82" i="61"/>
  <c r="G79" i="3"/>
  <c r="H79" i="3"/>
  <c r="B37" i="61"/>
  <c r="E37" i="61" s="1"/>
  <c r="F37" i="61" s="1"/>
  <c r="T36" i="61"/>
  <c r="B35" i="3"/>
  <c r="G35" i="3" s="1"/>
  <c r="H35" i="3" s="1"/>
  <c r="Z34" i="3"/>
  <c r="B84" i="61" l="1"/>
  <c r="E84" i="61" s="1"/>
  <c r="F84" i="61" s="1"/>
  <c r="T83" i="61"/>
  <c r="B80" i="3"/>
  <c r="Z79" i="3"/>
  <c r="B36" i="3"/>
  <c r="G36" i="3" s="1"/>
  <c r="H36" i="3" s="1"/>
  <c r="Z35" i="3"/>
  <c r="B38" i="61"/>
  <c r="E38" i="61" s="1"/>
  <c r="F38" i="61" s="1"/>
  <c r="T37" i="61"/>
  <c r="B85" i="61" l="1"/>
  <c r="E85" i="61" s="1"/>
  <c r="F85" i="61" s="1"/>
  <c r="T84" i="61"/>
  <c r="G80" i="3"/>
  <c r="H80" i="3"/>
  <c r="B39" i="61"/>
  <c r="E39" i="61" s="1"/>
  <c r="F39" i="61" s="1"/>
  <c r="T38" i="61"/>
  <c r="B37" i="3"/>
  <c r="G37" i="3" s="1"/>
  <c r="H37" i="3" s="1"/>
  <c r="Z36" i="3"/>
  <c r="B86" i="61" l="1"/>
  <c r="E86" i="61" s="1"/>
  <c r="F86" i="61" s="1"/>
  <c r="T85" i="61"/>
  <c r="B81" i="3"/>
  <c r="G81" i="3" s="1"/>
  <c r="H81" i="3" s="1"/>
  <c r="Z80" i="3"/>
  <c r="B38" i="3"/>
  <c r="G38" i="3" s="1"/>
  <c r="H38" i="3" s="1"/>
  <c r="Z37" i="3"/>
  <c r="B40" i="61"/>
  <c r="E40" i="61" s="1"/>
  <c r="F40" i="61" s="1"/>
  <c r="T39" i="61"/>
  <c r="B87" i="61" l="1"/>
  <c r="E87" i="61" s="1"/>
  <c r="F87" i="61" s="1"/>
  <c r="T86" i="61"/>
  <c r="B82" i="3"/>
  <c r="G82" i="3" s="1"/>
  <c r="H82" i="3" s="1"/>
  <c r="Z81" i="3"/>
  <c r="F45" i="61"/>
  <c r="T40" i="61"/>
  <c r="T45" i="61" s="1"/>
  <c r="B39" i="3"/>
  <c r="G39" i="3" s="1"/>
  <c r="H39" i="3" s="1"/>
  <c r="Z38" i="3"/>
  <c r="F92" i="61" l="1"/>
  <c r="F98" i="61" s="1"/>
  <c r="T87" i="61"/>
  <c r="T92" i="61" s="1"/>
  <c r="T98" i="61" s="1"/>
  <c r="B83" i="3"/>
  <c r="G83" i="3" s="1"/>
  <c r="H83" i="3" s="1"/>
  <c r="Z82" i="3"/>
  <c r="B40" i="3"/>
  <c r="Z39" i="3"/>
  <c r="B84" i="3" l="1"/>
  <c r="Z83" i="3"/>
  <c r="G40" i="3"/>
  <c r="H40" i="3"/>
  <c r="G84" i="3" l="1"/>
  <c r="H84" i="3"/>
  <c r="H45" i="3"/>
  <c r="H42" i="3"/>
  <c r="Z40" i="3"/>
  <c r="G42" i="3"/>
  <c r="G45" i="3"/>
  <c r="B85" i="3" l="1"/>
  <c r="G85" i="3" s="1"/>
  <c r="H85" i="3" s="1"/>
  <c r="Z84" i="3"/>
  <c r="Z42" i="3"/>
  <c r="Z45" i="3"/>
  <c r="C13" i="8"/>
  <c r="B86" i="3" l="1"/>
  <c r="Z85" i="3"/>
  <c r="F13" i="8"/>
  <c r="C27" i="8"/>
  <c r="G86" i="3" l="1"/>
  <c r="H86" i="3"/>
  <c r="B4" i="8"/>
  <c r="F4" i="8" s="1"/>
  <c r="F27" i="8"/>
  <c r="C36" i="8" s="1"/>
  <c r="D36" i="8" s="1"/>
  <c r="H91" i="3" l="1"/>
  <c r="H96" i="3" s="1"/>
  <c r="H88" i="3"/>
  <c r="Z86" i="3"/>
  <c r="G91" i="3"/>
  <c r="G96" i="3" s="1"/>
  <c r="G88" i="3"/>
  <c r="G93" i="3" s="1"/>
  <c r="Z91" i="3" l="1"/>
  <c r="Z96" i="3" s="1"/>
  <c r="Z88" i="3"/>
  <c r="Z93" i="3" s="1"/>
  <c r="D13" i="8"/>
  <c r="H93" i="3"/>
  <c r="G13" i="8" l="1"/>
  <c r="D27" i="8"/>
  <c r="B13" i="8"/>
  <c r="B27" i="8" s="1"/>
  <c r="B5" i="8" l="1"/>
  <c r="F5" i="8" s="1"/>
  <c r="G27" i="8"/>
  <c r="C38" i="8" l="1"/>
  <c r="D38" i="8" s="1"/>
  <c r="C37" i="8"/>
  <c r="D37" i="8" s="1"/>
</calcChain>
</file>

<file path=xl/sharedStrings.xml><?xml version="1.0" encoding="utf-8"?>
<sst xmlns="http://schemas.openxmlformats.org/spreadsheetml/2006/main" count="1385" uniqueCount="302">
  <si>
    <t>Costs</t>
  </si>
  <si>
    <t>Total</t>
  </si>
  <si>
    <t>Residential</t>
  </si>
  <si>
    <t>Non-Residential</t>
  </si>
  <si>
    <t>1. Cost Recovery</t>
  </si>
  <si>
    <t>2. Throughput Disincentive</t>
  </si>
  <si>
    <t>3. Earning Opportunity</t>
  </si>
  <si>
    <t>4. Commission Ordered Adj.</t>
  </si>
  <si>
    <t>Commission Adjustments</t>
  </si>
  <si>
    <t>Commission Adj. Reconciliation</t>
  </si>
  <si>
    <t>DSIM Charge ($)</t>
  </si>
  <si>
    <t>- Reflects Opt-Out Sales</t>
  </si>
  <si>
    <t>Bill Impact Analysis</t>
  </si>
  <si>
    <t>Monthly</t>
  </si>
  <si>
    <t xml:space="preserve">DSIM </t>
  </si>
  <si>
    <t>Over Current Authorized Rates</t>
  </si>
  <si>
    <t>Use (kWh)</t>
  </si>
  <si>
    <t>Charge</t>
  </si>
  <si>
    <t>Amount ($)</t>
  </si>
  <si>
    <t>RG</t>
  </si>
  <si>
    <t>Program</t>
  </si>
  <si>
    <t>By Class</t>
  </si>
  <si>
    <t>Total Residential</t>
  </si>
  <si>
    <t>Portfolio Costs</t>
  </si>
  <si>
    <t>Total Portfolio</t>
  </si>
  <si>
    <t>Direct Costs</t>
  </si>
  <si>
    <t>Admin Costs</t>
  </si>
  <si>
    <t>kWh Allocator %</t>
  </si>
  <si>
    <t>EE Program Costs</t>
  </si>
  <si>
    <t>Carrying</t>
  </si>
  <si>
    <t>Starting Balance</t>
  </si>
  <si>
    <t>Costs Rate</t>
  </si>
  <si>
    <t>Ending Balance</t>
  </si>
  <si>
    <t>Lighting</t>
  </si>
  <si>
    <t>Total Savings (MWh)</t>
  </si>
  <si>
    <t>Total Savings (kWh)</t>
  </si>
  <si>
    <t>Rate ($ per kWh)</t>
  </si>
  <si>
    <t>Total Savings ($)</t>
  </si>
  <si>
    <t>Net-to-Gross Factor (%)</t>
  </si>
  <si>
    <t>Portfolio Breakdown</t>
  </si>
  <si>
    <t>Heating</t>
  </si>
  <si>
    <t>Cooling</t>
  </si>
  <si>
    <t>2nd Step</t>
  </si>
  <si>
    <t>Fuel</t>
  </si>
  <si>
    <t>Net Rate</t>
  </si>
  <si>
    <t>Summer</t>
  </si>
  <si>
    <t>Winter</t>
  </si>
  <si>
    <t>RES</t>
  </si>
  <si>
    <t>BUS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</si>
  <si>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</si>
  <si>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</si>
  <si>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</si>
  <si>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</si>
  <si>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</si>
  <si>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</si>
  <si>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</si>
  <si>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</si>
  <si>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</si>
  <si>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</si>
  <si>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</si>
  <si>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</si>
  <si>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Source: Ameren Missouri, Stipulation and Agreement, Appendix G (File No. EO-2018-0211)</t>
  </si>
  <si>
    <t>Incentive Rate Calculation ($/MWh)</t>
  </si>
  <si>
    <t>Incentive Amount</t>
  </si>
  <si>
    <t>Program Costs</t>
  </si>
  <si>
    <t>Incentive %</t>
  </si>
  <si>
    <t>Total Incentive</t>
  </si>
  <si>
    <t>Incentive Amount by Class</t>
  </si>
  <si>
    <t>Forecast Sales by Class (kWh)</t>
  </si>
  <si>
    <t>kWh</t>
  </si>
  <si>
    <t>%</t>
  </si>
  <si>
    <t>Net Sales</t>
  </si>
  <si>
    <t>Sales Forecast</t>
  </si>
  <si>
    <t>RG-Residential</t>
  </si>
  <si>
    <t>CB-Commercial</t>
  </si>
  <si>
    <t>GP-General Power</t>
  </si>
  <si>
    <t>Efficient Products</t>
  </si>
  <si>
    <t>HVAC Rebate</t>
  </si>
  <si>
    <t>SBDI</t>
  </si>
  <si>
    <t>Portfolio Administration</t>
  </si>
  <si>
    <t>Portfolio Marketing</t>
  </si>
  <si>
    <t>Portfolio EM&amp;V</t>
  </si>
  <si>
    <t>Portfolio R&amp;D</t>
  </si>
  <si>
    <t>Projected 12 Month Period Sales (kWh)</t>
  </si>
  <si>
    <t>12-Month Projected kWh Sales</t>
  </si>
  <si>
    <t>Residential Total</t>
  </si>
  <si>
    <t>Grand Total</t>
  </si>
  <si>
    <t>Portfolio</t>
  </si>
  <si>
    <t>Allocation</t>
  </si>
  <si>
    <t>MEEIA Costs</t>
  </si>
  <si>
    <t>Non-Residential Total</t>
  </si>
  <si>
    <t>Small C&amp;I</t>
  </si>
  <si>
    <t>Large C&amp;I</t>
  </si>
  <si>
    <t>HVAC</t>
  </si>
  <si>
    <t>IEMF</t>
  </si>
  <si>
    <t>Program kWh Goals</t>
  </si>
  <si>
    <t>Total C&amp;I</t>
  </si>
  <si>
    <t>Residential HVAC</t>
  </si>
  <si>
    <t>Sector</t>
  </si>
  <si>
    <t>Incentive</t>
  </si>
  <si>
    <t>Administration</t>
  </si>
  <si>
    <t>Marketing</t>
  </si>
  <si>
    <t>Other</t>
  </si>
  <si>
    <t>Total Budget</t>
  </si>
  <si>
    <t>Portfolio Level</t>
  </si>
  <si>
    <t>Portfolio Level Subtotal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</si>
  <si>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</si>
  <si>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</si>
  <si>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</si>
  <si>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</si>
  <si>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</si>
  <si>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</si>
  <si>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</si>
  <si>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</si>
  <si>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</si>
  <si>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</si>
  <si>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</si>
  <si>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 xml:space="preserve">Total </t>
  </si>
  <si>
    <t>Low-Income Multi-Family</t>
  </si>
  <si>
    <t>Pay As You Save ("PAYS")</t>
  </si>
  <si>
    <t xml:space="preserve">Residential Total </t>
  </si>
  <si>
    <t>Small Business Direct Install ("SBDI")</t>
  </si>
  <si>
    <t>C&amp;I Rebate Program</t>
  </si>
  <si>
    <t xml:space="preserve">Portfolio Total </t>
  </si>
  <si>
    <t>Efficiency Products</t>
  </si>
  <si>
    <t>Large C&amp;I GH</t>
  </si>
  <si>
    <t>HVAC GH</t>
  </si>
  <si>
    <t>Rate Class</t>
  </si>
  <si>
    <t>Load Shape</t>
  </si>
  <si>
    <t>Power Strips</t>
  </si>
  <si>
    <t>Thermostats</t>
  </si>
  <si>
    <t>Bulbs</t>
  </si>
  <si>
    <t>Off-Peak Credit</t>
  </si>
  <si>
    <t>Residential Lighting</t>
  </si>
  <si>
    <t>Non-Residential Service</t>
  </si>
  <si>
    <t>Residential Service</t>
  </si>
  <si>
    <t>NPC/PE</t>
  </si>
  <si>
    <t>($/kWh)</t>
  </si>
  <si>
    <t>NTD/PE</t>
  </si>
  <si>
    <t>NEO/PE</t>
  </si>
  <si>
    <t>NOA/PE</t>
  </si>
  <si>
    <t>Total DSIM</t>
  </si>
  <si>
    <t>Breakdown of DSIM Components</t>
  </si>
  <si>
    <t>Collection</t>
  </si>
  <si>
    <t>Throughput</t>
  </si>
  <si>
    <t>Disincentive</t>
  </si>
  <si>
    <t xml:space="preserve">Small C&amp;I </t>
  </si>
  <si>
    <t>1st Step</t>
  </si>
  <si>
    <t>Jan - May'22</t>
  </si>
  <si>
    <t>Jun - October'22</t>
  </si>
  <si>
    <t xml:space="preserve">Residential </t>
  </si>
  <si>
    <t>Opt-Out</t>
  </si>
  <si>
    <t>by End Use</t>
  </si>
  <si>
    <t>Direct</t>
  </si>
  <si>
    <t>Allocation of</t>
  </si>
  <si>
    <t>Program Spending</t>
  </si>
  <si>
    <t>3rd Step</t>
  </si>
  <si>
    <t>KWH Blocks</t>
  </si>
  <si>
    <t xml:space="preserve">  First 600 kWh</t>
  </si>
  <si>
    <t xml:space="preserve">  Over 600 kWh</t>
  </si>
  <si>
    <t xml:space="preserve">  First 700 kWh</t>
  </si>
  <si>
    <t xml:space="preserve">  Over 700 kWh</t>
  </si>
  <si>
    <t>Demand Charge</t>
  </si>
  <si>
    <t>Facilities Demand Charge</t>
  </si>
  <si>
    <t>Metered Demand (Energy)</t>
  </si>
  <si>
    <t xml:space="preserve">  First 150 Hrs Use</t>
  </si>
  <si>
    <t xml:space="preserve">  Next 200 Hrs Use</t>
  </si>
  <si>
    <t xml:space="preserve">  All Additional kWh</t>
  </si>
  <si>
    <t>TOTAL</t>
  </si>
  <si>
    <t>Source:  WP (Input Revenues) - Billing Determinants, Tab "Adj. 4 WN-Covid"</t>
  </si>
  <si>
    <t>From Docket No. ER-2021-0312</t>
  </si>
  <si>
    <t>Total Non-Residential</t>
  </si>
  <si>
    <t>DSIM Charge</t>
  </si>
  <si>
    <t>Weather and COVID Adjustment</t>
  </si>
  <si>
    <t>Sales Adjustment</t>
  </si>
  <si>
    <t>Proposed Charges</t>
  </si>
  <si>
    <t>Proposed Costs</t>
  </si>
  <si>
    <t>Installed in</t>
  </si>
  <si>
    <t>Throughput Disincentive</t>
  </si>
  <si>
    <t>Check</t>
  </si>
  <si>
    <t>2023</t>
  </si>
  <si>
    <t>2024</t>
  </si>
  <si>
    <t>2022</t>
  </si>
  <si>
    <t>Residential Lighting Installed in 2022</t>
  </si>
  <si>
    <t>Residential HVAC Installed in 2022</t>
  </si>
  <si>
    <t>Small C&amp;I HVAC Installed in 2022</t>
  </si>
  <si>
    <t>Large C&amp;I Lighting Installed in 2022</t>
  </si>
  <si>
    <t>Residential Lighting Installed in 2023</t>
  </si>
  <si>
    <t>Residential HVAC Installed in 2023</t>
  </si>
  <si>
    <t>Residential Lighting Installed in 2024</t>
  </si>
  <si>
    <t>Residential HVAC Installed in 2024</t>
  </si>
  <si>
    <t>Small C&amp;I HVAC Installed in 2024</t>
  </si>
  <si>
    <t>Large C&amp;I Lighting Installed in 2024</t>
  </si>
  <si>
    <t>Small C&amp;I HVAC Installed in 2023</t>
  </si>
  <si>
    <t>Large C&amp;I Lighting Installed in 2023</t>
  </si>
  <si>
    <t>Missouri MWH Calendar Sales</t>
  </si>
  <si>
    <t>RESIDENTIAL</t>
  </si>
  <si>
    <t>COMMERCIAL</t>
  </si>
  <si>
    <t>OPP</t>
  </si>
  <si>
    <t>OTHER INDUSTRIAL **</t>
  </si>
  <si>
    <t>ST &amp; HWY LIGHTING</t>
  </si>
  <si>
    <t>PUBLIC AUTHORITY</t>
  </si>
  <si>
    <t>INTERDEPARTMENTAL</t>
  </si>
  <si>
    <t>2023 Sales Forecast kWh</t>
  </si>
  <si>
    <t>2022 kWh Installed Savings</t>
  </si>
  <si>
    <t>Load Shapes</t>
  </si>
  <si>
    <t>Short-Term Rates</t>
  </si>
  <si>
    <t>Throughput  Disincentive</t>
  </si>
  <si>
    <t>Summary Results</t>
  </si>
  <si>
    <t>Non-Residential Small C&amp;I HVAC</t>
  </si>
  <si>
    <t>Non-Residential Large C&amp;I Lighting</t>
  </si>
  <si>
    <t>Checks</t>
  </si>
  <si>
    <t>Installed Savings (kWh)</t>
  </si>
  <si>
    <t>Realized Savings in 2022 (kWh)</t>
  </si>
  <si>
    <t>Realized Savings in 2023 (kWh)</t>
  </si>
  <si>
    <t>Realized Margin Savings in 2022 ($) - 12 Months</t>
  </si>
  <si>
    <t>Realized Margin Savings in 2023 ($) - 12 Months</t>
  </si>
  <si>
    <t>Projected Margin Savings in 2024 ($) - 12 Months</t>
  </si>
  <si>
    <t>Realized Margin Savings in 2022 ($/kWh) - 12 Months</t>
  </si>
  <si>
    <t>Realized Margin Savings in 2023 ($/kWh) - 12 Months</t>
  </si>
  <si>
    <t>Projected Margin Savings in 2024 ($/kWh) - 12 Months</t>
  </si>
  <si>
    <t>Realized</t>
  </si>
  <si>
    <t>Projected</t>
  </si>
  <si>
    <t>Realized Savings in 2022</t>
  </si>
  <si>
    <t>Realized Savings in 2023</t>
  </si>
  <si>
    <t>Projected Savings in 2024</t>
  </si>
  <si>
    <t>Realized kWh Savings in 2022</t>
  </si>
  <si>
    <t>Realized kWh Savings in 2023</t>
  </si>
  <si>
    <t>Projected kWh Savings in 2024</t>
  </si>
  <si>
    <t>Actual Installed Savings</t>
  </si>
  <si>
    <t>Projected Installed Savings</t>
  </si>
  <si>
    <t>2023 kWh Installed Savings</t>
  </si>
  <si>
    <t xml:space="preserve">    TOTAL </t>
  </si>
  <si>
    <t xml:space="preserve">Non-Residential Total </t>
  </si>
  <si>
    <t>2025 Projected Program Cost (PPC)</t>
  </si>
  <si>
    <t>2025 Projected Throughput Disincentive (PTD)</t>
  </si>
  <si>
    <t>2025 MEEIA Filing</t>
  </si>
  <si>
    <t>2025 Costs and Savings</t>
  </si>
  <si>
    <t>2025 Sales Forecast kWh</t>
  </si>
  <si>
    <t>2024 kWh Installed Savings</t>
  </si>
  <si>
    <t>2024 MEEIA Costs</t>
  </si>
  <si>
    <t>Projected Savings in 2025</t>
  </si>
  <si>
    <t>Projected Savings in 2025 (kWh)</t>
  </si>
  <si>
    <t>Projected Margin Savings in 2025 ($) - 12 Months</t>
  </si>
  <si>
    <t>Realized kWh Savings in 2024</t>
  </si>
  <si>
    <t>Projected kWh Savings in 2025</t>
  </si>
  <si>
    <t>2025</t>
  </si>
  <si>
    <t>Jan-Dec'25</t>
  </si>
  <si>
    <t>Nov-Dec'22, Jan-Dec'23 &amp; '24 &amp; '25</t>
  </si>
  <si>
    <t>Jan-Dec'23 &amp; '24 &amp; '25</t>
  </si>
  <si>
    <t>Jan-Dec'24 &amp; '25</t>
  </si>
  <si>
    <t xml:space="preserve">Installed in </t>
  </si>
  <si>
    <t>Realized Savings in 2024 (kWh)</t>
  </si>
  <si>
    <t>Proj. Installed in</t>
  </si>
  <si>
    <t>Projected Margin Savings in 2025 ($/kWh) - 12 Months</t>
  </si>
  <si>
    <t>Program 2023</t>
  </si>
  <si>
    <t>Program 2024</t>
  </si>
  <si>
    <t>Bulbs and Other</t>
  </si>
  <si>
    <t>Low Income Weatherization</t>
  </si>
  <si>
    <t>C&amp;I Demand Response</t>
  </si>
  <si>
    <t>Residential Demand Response</t>
  </si>
  <si>
    <t>[Open]</t>
  </si>
  <si>
    <t>Expenditures</t>
  </si>
  <si>
    <t>(Over)/ Under</t>
  </si>
  <si>
    <t>Carrying Costs</t>
  </si>
  <si>
    <t>Rate</t>
  </si>
  <si>
    <t>$</t>
  </si>
  <si>
    <t>TD</t>
  </si>
  <si>
    <t>Collections</t>
  </si>
  <si>
    <t>EO</t>
  </si>
  <si>
    <t>2024 Collections</t>
  </si>
  <si>
    <t>TD Collections</t>
  </si>
  <si>
    <t>Program Cost Collections</t>
  </si>
  <si>
    <t>EO Collections</t>
  </si>
  <si>
    <t>2022-2024 TD Reconciliation (TDR)</t>
  </si>
  <si>
    <t>2022-2024 Program Cost Reconciliation (PCR)</t>
  </si>
  <si>
    <t>Program 2022</t>
  </si>
  <si>
    <t>HB/TB</t>
  </si>
  <si>
    <t>TB Only</t>
  </si>
  <si>
    <t>Scenario</t>
  </si>
  <si>
    <t>2022-2024 Reconciliation</t>
  </si>
  <si>
    <t>Beginning Balance</t>
  </si>
  <si>
    <t>EO Reconciliation (EOR)</t>
  </si>
  <si>
    <t>EO Amortization (EO)</t>
  </si>
  <si>
    <t>General Service</t>
  </si>
  <si>
    <t>Large General Service</t>
  </si>
  <si>
    <t>Residential Thermostats Installed in 2025</t>
  </si>
  <si>
    <t>Rate Classes</t>
  </si>
  <si>
    <t>Breakdown of Non-Residential Program</t>
  </si>
  <si>
    <t>Breakdown (%)</t>
  </si>
  <si>
    <t>Breakdown (%) based on 2024 program performance</t>
  </si>
  <si>
    <t>C&amp;I Rebate (GS) Installed in 2025</t>
  </si>
  <si>
    <t>CI&amp; Rebate (LGS) Installed in 2025</t>
  </si>
  <si>
    <t xml:space="preserve"> Total</t>
  </si>
  <si>
    <t>Net-to-Gross for C&amp;I</t>
  </si>
  <si>
    <t>Rate applied to TD kWh</t>
  </si>
  <si>
    <t>Program 2023 (2024 Filing)</t>
  </si>
  <si>
    <t>Breakdown (kWh)</t>
  </si>
  <si>
    <t>Lighting Load Shape</t>
  </si>
  <si>
    <t>Heating-based Load Shape</t>
  </si>
  <si>
    <t>Cooling-based Load Shape</t>
  </si>
  <si>
    <t>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</si>
</sst>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&quot;$&quot;* #,##0.000000_);_(&quot;$&quot;* \(#,##0.000000\);_(&quot;$&quot;* &quot;-&quot;??_);_(@_)"/>
    <numFmt numFmtId="168" formatCode="[$-409]mmmm\-yy;@"/>
    <numFmt numFmtId="169" formatCode="_(&quot;$&quot;* #,##0.00000_);_(&quot;$&quot;* \(#,##0.00000\);_(&quot;$&quot;* &quot;-&quot;??_);_(@_)"/>
    <numFmt numFmtId="170" formatCode="0.0000%"/>
    <numFmt numFmtId="171" formatCode="_(* #,##0.00000_);_(* \(#,##0.00000\);_(* &quot;-&quot;??_);_(@_)"/>
    <numFmt numFmtId="172" formatCode="_(&quot;$&quot;* #,##0.00000_);_(&quot;$&quot;* \(#,##0.00000\);_(&quot;$&quot;* &quot;-&quot;?????_);_(@_)"/>
    <numFmt numFmtId="173" formatCode="&quot;$&quot;#,##0"/>
    <numFmt numFmtId="174" formatCode="_(&quot;$&quot;* #,##0.000_);_(&quot;$&quot;* \(#,##0.000\);_(&quot;$&quot;* &quot;-&quot;??_);_(@_)"/>
    <numFmt numFmtId="175" formatCode="_(* #,##0.000_);_(* \(#,##0.000\);_(* &quot;-&quot;??_);_(@_)"/>
  </numFmts>
  <fonts count="47" x14ac:knownFonts="1"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color theme="1"/>
      <name val="Calibri"/>
      <family val="2"/>
    </font>
    <font>
      <sz val="10"/>
      <color rgb="FF0033CC"/>
      <name val="Calibri"/>
      <family val="2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i/>
      <sz val="10"/>
      <color theme="1"/>
      <name val="Calibri"/>
      <family val="2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3333FF"/>
      <name val="Calibri"/>
      <family val="2"/>
      <scheme val="minor"/>
    </font>
    <font>
      <b/>
      <sz val="10"/>
      <color rgb="FF3333FF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name val="Calibri"/>
      <family val="2"/>
    </font>
    <font>
      <sz val="10"/>
      <color theme="0"/>
      <name val="Calibri"/>
      <family val="2"/>
    </font>
    <font>
      <b/>
      <u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3333FF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sz val="10"/>
      <color rgb="FF3333FF"/>
      <name val="Calibri"/>
      <family val="2"/>
    </font>
    <font>
      <sz val="11"/>
      <color theme="1"/>
      <name val="Calibri"/>
      <family val="2"/>
    </font>
    <font>
      <b/>
      <sz val="10"/>
      <name val="Calibri"/>
      <family val="2"/>
    </font>
    <font>
      <b/>
      <sz val="11"/>
      <color theme="1"/>
      <name val="Calibri"/>
      <family val="2"/>
    </font>
    <font>
      <sz val="10"/>
      <color theme="0" tint="-4.9989318521683403E-2"/>
      <name val="Calibri"/>
      <family val="2"/>
    </font>
    <font>
      <b/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 tint="0.34998626667073579"/>
        <bgColor rgb="FF000000"/>
      </patternFill>
    </fill>
    <fill>
      <patternFill patternType="solid">
        <fgColor rgb="FF00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</borders>
  <cellStyleXfs count="96">
    <xf numFmtId="0" fontId="0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0" fontId="36" fillId="0" borderId="0"/>
    <xf numFmtId="0" fontId="36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37" fillId="0" borderId="0"/>
    <xf numFmtId="44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84">
    <xf numFmtId="0" fontId="0" fillId="0" borderId="0" xfId="0"/>
    <xf numFmtId="0" fontId="13" fillId="2" borderId="9" xfId="0" applyFont="1" applyFill="1" applyBorder="1" applyAlignment="1">
      <alignment horizontal="right"/>
    </xf>
    <xf numFmtId="0" fontId="13" fillId="2" borderId="10" xfId="0" applyFont="1" applyFill="1" applyBorder="1" applyAlignment="1">
      <alignment horizontal="right"/>
    </xf>
    <xf numFmtId="0" fontId="13" fillId="2" borderId="7" xfId="0" applyFont="1" applyFill="1" applyBorder="1" applyAlignment="1">
      <alignment horizontal="left"/>
    </xf>
    <xf numFmtId="164" fontId="0" fillId="0" borderId="0" xfId="2" applyNumberFormat="1" applyFont="1"/>
    <xf numFmtId="9" fontId="15" fillId="0" borderId="0" xfId="0" applyNumberFormat="1" applyFont="1"/>
    <xf numFmtId="165" fontId="0" fillId="0" borderId="0" xfId="1" applyNumberFormat="1" applyFont="1"/>
    <xf numFmtId="164" fontId="14" fillId="0" borderId="11" xfId="2" applyNumberFormat="1" applyFont="1" applyBorder="1"/>
    <xf numFmtId="0" fontId="14" fillId="0" borderId="0" xfId="0" applyFont="1" applyAlignment="1">
      <alignment horizontal="left"/>
    </xf>
    <xf numFmtId="0" fontId="13" fillId="2" borderId="8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14" fillId="0" borderId="8" xfId="0" applyFont="1" applyBorder="1"/>
    <xf numFmtId="0" fontId="13" fillId="2" borderId="14" xfId="0" applyFont="1" applyFill="1" applyBorder="1" applyAlignment="1">
      <alignment horizontal="left"/>
    </xf>
    <xf numFmtId="168" fontId="0" fillId="0" borderId="0" xfId="0" applyNumberFormat="1" applyAlignment="1">
      <alignment horizontal="left" indent="1"/>
    </xf>
    <xf numFmtId="43" fontId="0" fillId="0" borderId="0" xfId="1" applyFont="1"/>
    <xf numFmtId="165" fontId="19" fillId="0" borderId="0" xfId="1" applyNumberFormat="1" applyFont="1"/>
    <xf numFmtId="165" fontId="17" fillId="0" borderId="0" xfId="1" applyNumberFormat="1" applyFont="1" applyAlignment="1">
      <alignment horizontal="right"/>
    </xf>
    <xf numFmtId="0" fontId="19" fillId="0" borderId="0" xfId="5" applyFont="1"/>
    <xf numFmtId="17" fontId="19" fillId="0" borderId="0" xfId="5" applyNumberFormat="1" applyFont="1" applyAlignment="1">
      <alignment horizontal="left"/>
    </xf>
    <xf numFmtId="43" fontId="19" fillId="0" borderId="0" xfId="5" applyNumberFormat="1" applyFont="1"/>
    <xf numFmtId="165" fontId="12" fillId="0" borderId="0" xfId="6" applyNumberFormat="1" applyFont="1" applyAlignment="1">
      <alignment horizontal="left"/>
    </xf>
    <xf numFmtId="0" fontId="25" fillId="0" borderId="0" xfId="5" applyFont="1" applyAlignment="1">
      <alignment horizontal="left"/>
    </xf>
    <xf numFmtId="0" fontId="19" fillId="0" borderId="0" xfId="5" applyFont="1" applyAlignment="1">
      <alignment horizontal="left"/>
    </xf>
    <xf numFmtId="166" fontId="19" fillId="0" borderId="0" xfId="5" applyNumberFormat="1" applyFont="1"/>
    <xf numFmtId="165" fontId="26" fillId="0" borderId="0" xfId="6" applyNumberFormat="1" applyFont="1"/>
    <xf numFmtId="165" fontId="12" fillId="0" borderId="0" xfId="6" applyNumberFormat="1" applyFont="1"/>
    <xf numFmtId="0" fontId="19" fillId="0" borderId="14" xfId="5" applyFont="1" applyBorder="1" applyAlignment="1">
      <alignment horizontal="left"/>
    </xf>
    <xf numFmtId="164" fontId="19" fillId="0" borderId="0" xfId="5" applyNumberFormat="1" applyFont="1"/>
    <xf numFmtId="169" fontId="12" fillId="0" borderId="0" xfId="7" applyNumberFormat="1" applyFont="1"/>
    <xf numFmtId="167" fontId="0" fillId="0" borderId="0" xfId="0" applyNumberFormat="1"/>
    <xf numFmtId="169" fontId="0" fillId="0" borderId="0" xfId="2" applyNumberFormat="1" applyFont="1"/>
    <xf numFmtId="169" fontId="0" fillId="0" borderId="0" xfId="0" applyNumberFormat="1"/>
    <xf numFmtId="169" fontId="14" fillId="0" borderId="8" xfId="0" applyNumberFormat="1" applyFont="1" applyBorder="1"/>
    <xf numFmtId="169" fontId="14" fillId="0" borderId="11" xfId="0" applyNumberFormat="1" applyFont="1" applyBorder="1"/>
    <xf numFmtId="0" fontId="0" fillId="0" borderId="11" xfId="0" applyBorder="1"/>
    <xf numFmtId="164" fontId="22" fillId="0" borderId="0" xfId="2" applyNumberFormat="1" applyFont="1" applyBorder="1" applyAlignment="1">
      <alignment horizontal="left"/>
    </xf>
    <xf numFmtId="164" fontId="0" fillId="0" borderId="0" xfId="2" applyNumberFormat="1" applyFont="1" applyFill="1" applyBorder="1"/>
    <xf numFmtId="164" fontId="20" fillId="0" borderId="0" xfId="2" applyNumberFormat="1" applyFont="1" applyFill="1" applyBorder="1" applyAlignment="1">
      <alignment vertical="center"/>
    </xf>
    <xf numFmtId="164" fontId="12" fillId="0" borderId="0" xfId="2" applyNumberFormat="1" applyFont="1" applyFill="1" applyBorder="1" applyAlignment="1">
      <alignment vertical="center"/>
    </xf>
    <xf numFmtId="164" fontId="0" fillId="0" borderId="11" xfId="2" applyNumberFormat="1" applyFont="1" applyBorder="1"/>
    <xf numFmtId="164" fontId="14" fillId="0" borderId="0" xfId="2" applyNumberFormat="1" applyFont="1" applyFill="1" applyBorder="1" applyAlignment="1">
      <alignment horizontal="center"/>
    </xf>
    <xf numFmtId="165" fontId="0" fillId="0" borderId="0" xfId="1" applyNumberFormat="1" applyFont="1" applyFill="1" applyBorder="1"/>
    <xf numFmtId="164" fontId="12" fillId="0" borderId="11" xfId="2" applyNumberFormat="1" applyFont="1" applyFill="1" applyBorder="1"/>
    <xf numFmtId="165" fontId="12" fillId="0" borderId="11" xfId="1" applyNumberFormat="1" applyFont="1" applyFill="1" applyBorder="1"/>
    <xf numFmtId="166" fontId="12" fillId="0" borderId="11" xfId="3" applyNumberFormat="1" applyFont="1" applyFill="1" applyBorder="1"/>
    <xf numFmtId="43" fontId="13" fillId="3" borderId="4" xfId="1" applyFont="1" applyFill="1" applyBorder="1" applyAlignment="1">
      <alignment horizontal="right"/>
    </xf>
    <xf numFmtId="43" fontId="13" fillId="3" borderId="6" xfId="1" applyFont="1" applyFill="1" applyBorder="1" applyAlignment="1">
      <alignment horizontal="right"/>
    </xf>
    <xf numFmtId="0" fontId="13" fillId="3" borderId="6" xfId="0" applyFont="1" applyFill="1" applyBorder="1"/>
    <xf numFmtId="164" fontId="13" fillId="3" borderId="2" xfId="2" applyNumberFormat="1" applyFont="1" applyFill="1" applyBorder="1"/>
    <xf numFmtId="164" fontId="21" fillId="3" borderId="8" xfId="2" applyNumberFormat="1" applyFont="1" applyFill="1" applyBorder="1" applyAlignment="1">
      <alignment vertical="center"/>
    </xf>
    <xf numFmtId="164" fontId="21" fillId="3" borderId="8" xfId="2" applyNumberFormat="1" applyFont="1" applyFill="1" applyBorder="1" applyAlignment="1">
      <alignment horizontal="right" vertical="center"/>
    </xf>
    <xf numFmtId="164" fontId="21" fillId="3" borderId="10" xfId="2" applyNumberFormat="1" applyFont="1" applyFill="1" applyBorder="1" applyAlignment="1">
      <alignment horizontal="right" vertical="center"/>
    </xf>
    <xf numFmtId="164" fontId="13" fillId="3" borderId="2" xfId="2" applyNumberFormat="1" applyFont="1" applyFill="1" applyBorder="1" applyAlignment="1">
      <alignment horizontal="right" vertical="center"/>
    </xf>
    <xf numFmtId="164" fontId="13" fillId="3" borderId="9" xfId="2" applyNumberFormat="1" applyFont="1" applyFill="1" applyBorder="1" applyAlignment="1">
      <alignment horizontal="right" vertical="center"/>
    </xf>
    <xf numFmtId="164" fontId="12" fillId="0" borderId="0" xfId="2" applyNumberFormat="1" applyFont="1" applyBorder="1"/>
    <xf numFmtId="164" fontId="20" fillId="0" borderId="11" xfId="2" applyNumberFormat="1" applyFont="1" applyFill="1" applyBorder="1" applyAlignment="1">
      <alignment vertical="center"/>
    </xf>
    <xf numFmtId="164" fontId="12" fillId="0" borderId="0" xfId="2" applyNumberFormat="1" applyFont="1" applyFill="1" applyBorder="1"/>
    <xf numFmtId="164" fontId="13" fillId="3" borderId="4" xfId="2" applyNumberFormat="1" applyFont="1" applyFill="1" applyBorder="1" applyAlignment="1">
      <alignment horizontal="right" vertical="center"/>
    </xf>
    <xf numFmtId="164" fontId="13" fillId="3" borderId="6" xfId="2" applyNumberFormat="1" applyFont="1" applyFill="1" applyBorder="1" applyAlignment="1">
      <alignment horizontal="right" vertical="center"/>
    </xf>
    <xf numFmtId="164" fontId="13" fillId="3" borderId="0" xfId="2" applyNumberFormat="1" applyFont="1" applyFill="1" applyBorder="1" applyAlignment="1">
      <alignment horizontal="center"/>
    </xf>
    <xf numFmtId="166" fontId="19" fillId="0" borderId="0" xfId="3" applyNumberFormat="1" applyFont="1"/>
    <xf numFmtId="0" fontId="13" fillId="2" borderId="2" xfId="0" applyFont="1" applyFill="1" applyBorder="1" applyAlignment="1">
      <alignment horizontal="right"/>
    </xf>
    <xf numFmtId="0" fontId="13" fillId="2" borderId="8" xfId="0" applyFont="1" applyFill="1" applyBorder="1" applyAlignment="1">
      <alignment horizontal="right"/>
    </xf>
    <xf numFmtId="0" fontId="13" fillId="0" borderId="0" xfId="0" applyFont="1" applyAlignment="1">
      <alignment horizontal="center"/>
    </xf>
    <xf numFmtId="0" fontId="13" fillId="3" borderId="2" xfId="0" applyFont="1" applyFill="1" applyBorder="1" applyAlignment="1">
      <alignment horizontal="right"/>
    </xf>
    <xf numFmtId="0" fontId="13" fillId="3" borderId="9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right"/>
    </xf>
    <xf numFmtId="0" fontId="13" fillId="3" borderId="10" xfId="0" applyFont="1" applyFill="1" applyBorder="1" applyAlignment="1">
      <alignment horizontal="center"/>
    </xf>
    <xf numFmtId="169" fontId="12" fillId="0" borderId="0" xfId="2" applyNumberFormat="1" applyFont="1" applyAlignment="1">
      <alignment horizontal="right"/>
    </xf>
    <xf numFmtId="44" fontId="12" fillId="0" borderId="0" xfId="2" applyFont="1" applyAlignment="1">
      <alignment horizontal="right"/>
    </xf>
    <xf numFmtId="43" fontId="12" fillId="0" borderId="0" xfId="1" applyFont="1" applyAlignment="1">
      <alignment horizontal="right"/>
    </xf>
    <xf numFmtId="171" fontId="12" fillId="0" borderId="0" xfId="1" applyNumberFormat="1" applyFont="1" applyAlignment="1">
      <alignment horizontal="right"/>
    </xf>
    <xf numFmtId="166" fontId="12" fillId="4" borderId="1" xfId="8" applyNumberFormat="1" applyFont="1" applyFill="1" applyBorder="1"/>
    <xf numFmtId="166" fontId="12" fillId="4" borderId="2" xfId="8" applyNumberFormat="1" applyFont="1" applyFill="1" applyBorder="1"/>
    <xf numFmtId="166" fontId="19" fillId="4" borderId="2" xfId="5" applyNumberFormat="1" applyFont="1" applyFill="1" applyBorder="1"/>
    <xf numFmtId="166" fontId="19" fillId="4" borderId="9" xfId="5" applyNumberFormat="1" applyFont="1" applyFill="1" applyBorder="1"/>
    <xf numFmtId="166" fontId="12" fillId="4" borderId="14" xfId="8" applyNumberFormat="1" applyFont="1" applyFill="1" applyBorder="1"/>
    <xf numFmtId="166" fontId="12" fillId="4" borderId="0" xfId="8" applyNumberFormat="1" applyFont="1" applyFill="1" applyBorder="1"/>
    <xf numFmtId="166" fontId="19" fillId="4" borderId="0" xfId="5" applyNumberFormat="1" applyFont="1" applyFill="1"/>
    <xf numFmtId="166" fontId="19" fillId="4" borderId="13" xfId="5" applyNumberFormat="1" applyFont="1" applyFill="1" applyBorder="1"/>
    <xf numFmtId="166" fontId="12" fillId="4" borderId="7" xfId="8" applyNumberFormat="1" applyFont="1" applyFill="1" applyBorder="1"/>
    <xf numFmtId="166" fontId="12" fillId="4" borderId="8" xfId="8" applyNumberFormat="1" applyFont="1" applyFill="1" applyBorder="1"/>
    <xf numFmtId="166" fontId="19" fillId="4" borderId="8" xfId="5" applyNumberFormat="1" applyFont="1" applyFill="1" applyBorder="1"/>
    <xf numFmtId="166" fontId="19" fillId="4" borderId="10" xfId="5" applyNumberFormat="1" applyFont="1" applyFill="1" applyBorder="1"/>
    <xf numFmtId="164" fontId="25" fillId="0" borderId="11" xfId="2" applyNumberFormat="1" applyFont="1" applyBorder="1"/>
    <xf numFmtId="164" fontId="13" fillId="3" borderId="0" xfId="2" applyNumberFormat="1" applyFont="1" applyFill="1" applyBorder="1" applyAlignment="1">
      <alignment horizontal="center" wrapText="1"/>
    </xf>
    <xf numFmtId="165" fontId="14" fillId="0" borderId="0" xfId="0" applyNumberFormat="1" applyFont="1" applyAlignment="1">
      <alignment horizontal="left"/>
    </xf>
    <xf numFmtId="43" fontId="18" fillId="3" borderId="7" xfId="1" applyFont="1" applyFill="1" applyBorder="1" applyAlignment="1">
      <alignment horizontal="left"/>
    </xf>
    <xf numFmtId="43" fontId="19" fillId="0" borderId="0" xfId="1" applyFont="1" applyAlignment="1">
      <alignment horizontal="left"/>
    </xf>
    <xf numFmtId="172" fontId="19" fillId="0" borderId="0" xfId="5" applyNumberFormat="1" applyFont="1"/>
    <xf numFmtId="165" fontId="14" fillId="0" borderId="11" xfId="1" applyNumberFormat="1" applyFont="1" applyBorder="1"/>
    <xf numFmtId="0" fontId="13" fillId="3" borderId="13" xfId="0" applyFont="1" applyFill="1" applyBorder="1" applyAlignment="1">
      <alignment horizontal="center"/>
    </xf>
    <xf numFmtId="10" fontId="0" fillId="0" borderId="0" xfId="3" applyNumberFormat="1" applyFont="1" applyFill="1" applyBorder="1"/>
    <xf numFmtId="165" fontId="12" fillId="5" borderId="18" xfId="1" applyNumberFormat="1" applyFont="1" applyFill="1" applyBorder="1" applyAlignment="1">
      <alignment horizontal="center"/>
    </xf>
    <xf numFmtId="165" fontId="12" fillId="5" borderId="19" xfId="1" applyNumberFormat="1" applyFont="1" applyFill="1" applyBorder="1" applyAlignment="1">
      <alignment horizontal="center"/>
    </xf>
    <xf numFmtId="165" fontId="12" fillId="5" borderId="17" xfId="1" applyNumberFormat="1" applyFont="1" applyFill="1" applyBorder="1" applyAlignment="1">
      <alignment horizontal="center"/>
    </xf>
    <xf numFmtId="165" fontId="12" fillId="5" borderId="18" xfId="1" applyNumberFormat="1" applyFont="1" applyFill="1" applyBorder="1" applyAlignment="1">
      <alignment horizontal="left"/>
    </xf>
    <xf numFmtId="165" fontId="12" fillId="5" borderId="19" xfId="1" applyNumberFormat="1" applyFont="1" applyFill="1" applyBorder="1" applyAlignment="1">
      <alignment horizontal="left"/>
    </xf>
    <xf numFmtId="165" fontId="12" fillId="5" borderId="17" xfId="1" applyNumberFormat="1" applyFont="1" applyFill="1" applyBorder="1" applyAlignment="1">
      <alignment horizontal="left"/>
    </xf>
    <xf numFmtId="164" fontId="20" fillId="5" borderId="18" xfId="2" applyNumberFormat="1" applyFont="1" applyFill="1" applyBorder="1" applyAlignment="1">
      <alignment vertical="center"/>
    </xf>
    <xf numFmtId="164" fontId="20" fillId="5" borderId="19" xfId="2" applyNumberFormat="1" applyFont="1" applyFill="1" applyBorder="1" applyAlignment="1">
      <alignment vertical="center"/>
    </xf>
    <xf numFmtId="164" fontId="20" fillId="5" borderId="17" xfId="2" applyNumberFormat="1" applyFont="1" applyFill="1" applyBorder="1" applyAlignment="1">
      <alignment vertical="center"/>
    </xf>
    <xf numFmtId="164" fontId="13" fillId="3" borderId="2" xfId="2" quotePrefix="1" applyNumberFormat="1" applyFont="1" applyFill="1" applyBorder="1" applyAlignment="1">
      <alignment horizontal="right" vertical="center"/>
    </xf>
    <xf numFmtId="43" fontId="18" fillId="3" borderId="1" xfId="1" applyFont="1" applyFill="1" applyBorder="1" applyAlignment="1"/>
    <xf numFmtId="0" fontId="32" fillId="3" borderId="9" xfId="0" applyFont="1" applyFill="1" applyBorder="1" applyAlignment="1">
      <alignment horizontal="center"/>
    </xf>
    <xf numFmtId="0" fontId="19" fillId="0" borderId="0" xfId="0" applyFont="1"/>
    <xf numFmtId="43" fontId="18" fillId="3" borderId="14" xfId="1" quotePrefix="1" applyFont="1" applyFill="1" applyBorder="1" applyAlignment="1">
      <alignment horizontal="left"/>
    </xf>
    <xf numFmtId="0" fontId="18" fillId="3" borderId="0" xfId="0" applyFont="1" applyFill="1" applyAlignment="1">
      <alignment horizontal="center"/>
    </xf>
    <xf numFmtId="0" fontId="18" fillId="3" borderId="13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center"/>
    </xf>
    <xf numFmtId="0" fontId="18" fillId="3" borderId="10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168" fontId="19" fillId="0" borderId="0" xfId="0" applyNumberFormat="1" applyFont="1" applyAlignment="1">
      <alignment horizontal="left" indent="1"/>
    </xf>
    <xf numFmtId="164" fontId="28" fillId="5" borderId="18" xfId="2" applyNumberFormat="1" applyFont="1" applyFill="1" applyBorder="1"/>
    <xf numFmtId="164" fontId="19" fillId="0" borderId="0" xfId="0" applyNumberFormat="1" applyFont="1"/>
    <xf numFmtId="165" fontId="28" fillId="5" borderId="19" xfId="1" applyNumberFormat="1" applyFont="1" applyFill="1" applyBorder="1"/>
    <xf numFmtId="165" fontId="19" fillId="0" borderId="0" xfId="0" applyNumberFormat="1" applyFont="1"/>
    <xf numFmtId="165" fontId="28" fillId="5" borderId="17" xfId="1" applyNumberFormat="1" applyFont="1" applyFill="1" applyBorder="1"/>
    <xf numFmtId="0" fontId="25" fillId="0" borderId="0" xfId="0" applyFont="1" applyAlignment="1">
      <alignment horizontal="left"/>
    </xf>
    <xf numFmtId="0" fontId="19" fillId="0" borderId="11" xfId="0" applyFont="1" applyBorder="1"/>
    <xf numFmtId="43" fontId="19" fillId="0" borderId="0" xfId="1" applyFont="1"/>
    <xf numFmtId="164" fontId="19" fillId="0" borderId="0" xfId="2" applyNumberFormat="1" applyFont="1"/>
    <xf numFmtId="0" fontId="18" fillId="3" borderId="2" xfId="0" applyFont="1" applyFill="1" applyBorder="1"/>
    <xf numFmtId="0" fontId="18" fillId="3" borderId="9" xfId="0" applyFont="1" applyFill="1" applyBorder="1"/>
    <xf numFmtId="164" fontId="18" fillId="3" borderId="8" xfId="2" applyNumberFormat="1" applyFont="1" applyFill="1" applyBorder="1" applyAlignment="1">
      <alignment horizontal="center"/>
    </xf>
    <xf numFmtId="164" fontId="18" fillId="3" borderId="10" xfId="2" applyNumberFormat="1" applyFont="1" applyFill="1" applyBorder="1"/>
    <xf numFmtId="164" fontId="19" fillId="0" borderId="11" xfId="2" applyNumberFormat="1" applyFont="1" applyFill="1" applyBorder="1"/>
    <xf numFmtId="164" fontId="19" fillId="0" borderId="0" xfId="2" applyNumberFormat="1" applyFont="1" applyFill="1" applyAlignment="1">
      <alignment horizontal="right" indent="2"/>
    </xf>
    <xf numFmtId="164" fontId="19" fillId="0" borderId="0" xfId="2" applyNumberFormat="1" applyFont="1" applyFill="1"/>
    <xf numFmtId="164" fontId="19" fillId="0" borderId="0" xfId="2" applyNumberFormat="1" applyFont="1" applyFill="1" applyAlignment="1">
      <alignment horizontal="center"/>
    </xf>
    <xf numFmtId="164" fontId="19" fillId="0" borderId="0" xfId="2" applyNumberFormat="1" applyFont="1" applyAlignment="1">
      <alignment horizontal="left"/>
    </xf>
    <xf numFmtId="0" fontId="19" fillId="0" borderId="0" xfId="0" applyFont="1" applyAlignment="1">
      <alignment horizontal="left"/>
    </xf>
    <xf numFmtId="164" fontId="25" fillId="0" borderId="11" xfId="2" applyNumberFormat="1" applyFont="1" applyFill="1" applyBorder="1" applyAlignment="1">
      <alignment horizontal="left"/>
    </xf>
    <xf numFmtId="164" fontId="25" fillId="0" borderId="11" xfId="2" applyNumberFormat="1" applyFont="1" applyBorder="1" applyAlignment="1">
      <alignment horizontal="left"/>
    </xf>
    <xf numFmtId="165" fontId="15" fillId="5" borderId="18" xfId="1" applyNumberFormat="1" applyFont="1" applyFill="1" applyBorder="1" applyAlignment="1">
      <alignment horizontal="right"/>
    </xf>
    <xf numFmtId="165" fontId="15" fillId="5" borderId="19" xfId="1" applyNumberFormat="1" applyFont="1" applyFill="1" applyBorder="1" applyAlignment="1">
      <alignment horizontal="right"/>
    </xf>
    <xf numFmtId="165" fontId="15" fillId="5" borderId="17" xfId="1" applyNumberFormat="1" applyFont="1" applyFill="1" applyBorder="1" applyAlignment="1">
      <alignment horizontal="right"/>
    </xf>
    <xf numFmtId="164" fontId="0" fillId="5" borderId="0" xfId="2" applyNumberFormat="1" applyFont="1" applyFill="1"/>
    <xf numFmtId="165" fontId="0" fillId="5" borderId="0" xfId="1" applyNumberFormat="1" applyFont="1" applyFill="1"/>
    <xf numFmtId="0" fontId="28" fillId="0" borderId="0" xfId="0" applyFont="1"/>
    <xf numFmtId="43" fontId="12" fillId="0" borderId="0" xfId="13" applyFont="1"/>
    <xf numFmtId="0" fontId="19" fillId="0" borderId="0" xfId="15" applyFont="1"/>
    <xf numFmtId="0" fontId="34" fillId="0" borderId="0" xfId="15" applyFont="1" applyAlignment="1">
      <alignment horizontal="center" vertical="center" wrapText="1"/>
    </xf>
    <xf numFmtId="0" fontId="19" fillId="0" borderId="0" xfId="15" applyFont="1" applyAlignment="1">
      <alignment horizontal="center" vertical="center"/>
    </xf>
    <xf numFmtId="165" fontId="18" fillId="3" borderId="2" xfId="1" applyNumberFormat="1" applyFont="1" applyFill="1" applyBorder="1" applyAlignment="1">
      <alignment horizontal="right" vertical="center"/>
    </xf>
    <xf numFmtId="165" fontId="18" fillId="3" borderId="14" xfId="1" applyNumberFormat="1" applyFont="1" applyFill="1" applyBorder="1" applyAlignment="1">
      <alignment horizontal="left"/>
    </xf>
    <xf numFmtId="165" fontId="18" fillId="3" borderId="0" xfId="1" applyNumberFormat="1" applyFont="1" applyFill="1" applyBorder="1" applyAlignment="1">
      <alignment horizontal="right" vertical="center"/>
    </xf>
    <xf numFmtId="0" fontId="0" fillId="3" borderId="9" xfId="0" applyFill="1" applyBorder="1"/>
    <xf numFmtId="165" fontId="33" fillId="7" borderId="7" xfId="1" applyNumberFormat="1" applyFont="1" applyFill="1" applyBorder="1" applyAlignment="1">
      <alignment horizontal="left"/>
    </xf>
    <xf numFmtId="165" fontId="27" fillId="7" borderId="8" xfId="1" applyNumberFormat="1" applyFont="1" applyFill="1" applyBorder="1" applyAlignment="1">
      <alignment horizontal="right" vertical="center"/>
    </xf>
    <xf numFmtId="0" fontId="13" fillId="7" borderId="10" xfId="0" applyFont="1" applyFill="1" applyBorder="1" applyAlignment="1">
      <alignment horizontal="center"/>
    </xf>
    <xf numFmtId="165" fontId="33" fillId="7" borderId="1" xfId="1" applyNumberFormat="1" applyFont="1" applyFill="1" applyBorder="1" applyAlignment="1">
      <alignment horizontal="left"/>
    </xf>
    <xf numFmtId="165" fontId="27" fillId="7" borderId="2" xfId="1" applyNumberFormat="1" applyFont="1" applyFill="1" applyBorder="1" applyAlignment="1">
      <alignment horizontal="right" vertical="center"/>
    </xf>
    <xf numFmtId="0" fontId="13" fillId="7" borderId="9" xfId="0" applyFont="1" applyFill="1" applyBorder="1" applyAlignment="1">
      <alignment horizontal="center"/>
    </xf>
    <xf numFmtId="165" fontId="35" fillId="0" borderId="0" xfId="1" applyNumberFormat="1" applyFont="1"/>
    <xf numFmtId="165" fontId="18" fillId="3" borderId="0" xfId="23" applyNumberFormat="1" applyFont="1" applyFill="1" applyBorder="1" applyAlignment="1">
      <alignment horizontal="right" vertical="center"/>
    </xf>
    <xf numFmtId="0" fontId="18" fillId="3" borderId="7" xfId="5" applyFont="1" applyFill="1" applyBorder="1" applyAlignment="1">
      <alignment horizontal="right" vertical="center"/>
    </xf>
    <xf numFmtId="0" fontId="18" fillId="3" borderId="8" xfId="5" applyFont="1" applyFill="1" applyBorder="1" applyAlignment="1">
      <alignment horizontal="right" vertical="center"/>
    </xf>
    <xf numFmtId="0" fontId="18" fillId="3" borderId="10" xfId="5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8" xfId="0" quotePrefix="1" applyFont="1" applyFill="1" applyBorder="1" applyAlignment="1">
      <alignment horizontal="center" vertical="center"/>
    </xf>
    <xf numFmtId="0" fontId="13" fillId="3" borderId="10" xfId="0" quotePrefix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13" fillId="3" borderId="8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/>
    </xf>
    <xf numFmtId="0" fontId="31" fillId="3" borderId="2" xfId="0" applyFont="1" applyFill="1" applyBorder="1"/>
    <xf numFmtId="0" fontId="31" fillId="3" borderId="8" xfId="0" applyFont="1" applyFill="1" applyBorder="1"/>
    <xf numFmtId="43" fontId="13" fillId="3" borderId="1" xfId="1" applyFont="1" applyFill="1" applyBorder="1"/>
    <xf numFmtId="43" fontId="21" fillId="3" borderId="7" xfId="1" applyFont="1" applyFill="1" applyBorder="1" applyAlignment="1">
      <alignment vertical="center"/>
    </xf>
    <xf numFmtId="43" fontId="13" fillId="3" borderId="5" xfId="1" applyFont="1" applyFill="1" applyBorder="1"/>
    <xf numFmtId="43" fontId="20" fillId="0" borderId="0" xfId="1" applyFont="1" applyFill="1" applyBorder="1" applyAlignment="1">
      <alignment vertical="center"/>
    </xf>
    <xf numFmtId="43" fontId="12" fillId="0" borderId="0" xfId="1" applyFont="1" applyBorder="1"/>
    <xf numFmtId="43" fontId="20" fillId="0" borderId="16" xfId="1" applyFont="1" applyFill="1" applyBorder="1" applyAlignment="1">
      <alignment vertical="center"/>
    </xf>
    <xf numFmtId="43" fontId="13" fillId="3" borderId="3" xfId="1" applyFont="1" applyFill="1" applyBorder="1"/>
    <xf numFmtId="43" fontId="12" fillId="0" borderId="11" xfId="1" applyFont="1" applyFill="1" applyBorder="1"/>
    <xf numFmtId="43" fontId="13" fillId="3" borderId="0" xfId="1" applyFont="1" applyFill="1" applyBorder="1"/>
    <xf numFmtId="43" fontId="12" fillId="0" borderId="0" xfId="1" applyFont="1" applyFill="1" applyBorder="1"/>
    <xf numFmtId="43" fontId="17" fillId="0" borderId="0" xfId="1" applyFont="1" applyFill="1" applyBorder="1"/>
    <xf numFmtId="43" fontId="13" fillId="3" borderId="7" xfId="1" applyFont="1" applyFill="1" applyBorder="1"/>
    <xf numFmtId="43" fontId="13" fillId="3" borderId="1" xfId="1" applyFont="1" applyFill="1" applyBorder="1" applyAlignment="1">
      <alignment horizontal="left"/>
    </xf>
    <xf numFmtId="43" fontId="13" fillId="3" borderId="7" xfId="1" applyFont="1" applyFill="1" applyBorder="1" applyAlignment="1">
      <alignment horizontal="left"/>
    </xf>
    <xf numFmtId="43" fontId="14" fillId="0" borderId="8" xfId="1" applyFont="1" applyBorder="1"/>
    <xf numFmtId="43" fontId="0" fillId="0" borderId="0" xfId="1" applyFont="1" applyAlignment="1">
      <alignment horizontal="left" indent="1"/>
    </xf>
    <xf numFmtId="43" fontId="14" fillId="0" borderId="11" xfId="1" applyFont="1" applyBorder="1" applyAlignment="1">
      <alignment horizontal="left"/>
    </xf>
    <xf numFmtId="43" fontId="14" fillId="0" borderId="0" xfId="1" applyFont="1" applyAlignment="1">
      <alignment horizontal="left"/>
    </xf>
    <xf numFmtId="43" fontId="0" fillId="0" borderId="0" xfId="1" quotePrefix="1" applyFont="1"/>
    <xf numFmtId="43" fontId="19" fillId="0" borderId="14" xfId="1" applyFont="1" applyBorder="1" applyAlignment="1">
      <alignment horizontal="left" indent="2"/>
    </xf>
    <xf numFmtId="0" fontId="13" fillId="2" borderId="13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166" fontId="12" fillId="4" borderId="9" xfId="8" applyNumberFormat="1" applyFont="1" applyFill="1" applyBorder="1"/>
    <xf numFmtId="166" fontId="12" fillId="4" borderId="13" xfId="8" applyNumberFormat="1" applyFont="1" applyFill="1" applyBorder="1"/>
    <xf numFmtId="166" fontId="12" fillId="4" borderId="10" xfId="8" applyNumberFormat="1" applyFont="1" applyFill="1" applyBorder="1"/>
    <xf numFmtId="0" fontId="29" fillId="0" borderId="0" xfId="5" applyFont="1" applyAlignment="1">
      <alignment horizontal="left"/>
    </xf>
    <xf numFmtId="0" fontId="29" fillId="0" borderId="0" xfId="5" applyFont="1"/>
    <xf numFmtId="0" fontId="18" fillId="3" borderId="1" xfId="5" applyFont="1" applyFill="1" applyBorder="1" applyAlignment="1">
      <alignment horizontal="left"/>
    </xf>
    <xf numFmtId="0" fontId="18" fillId="3" borderId="7" xfId="5" applyFont="1" applyFill="1" applyBorder="1" applyAlignment="1">
      <alignment horizontal="left"/>
    </xf>
    <xf numFmtId="164" fontId="0" fillId="0" borderId="0" xfId="0" applyNumberFormat="1"/>
    <xf numFmtId="170" fontId="15" fillId="5" borderId="1" xfId="0" applyNumberFormat="1" applyFont="1" applyFill="1" applyBorder="1"/>
    <xf numFmtId="170" fontId="15" fillId="5" borderId="2" xfId="0" applyNumberFormat="1" applyFont="1" applyFill="1" applyBorder="1"/>
    <xf numFmtId="170" fontId="15" fillId="5" borderId="9" xfId="0" applyNumberFormat="1" applyFont="1" applyFill="1" applyBorder="1"/>
    <xf numFmtId="170" fontId="15" fillId="5" borderId="14" xfId="0" applyNumberFormat="1" applyFont="1" applyFill="1" applyBorder="1"/>
    <xf numFmtId="170" fontId="15" fillId="5" borderId="0" xfId="0" applyNumberFormat="1" applyFont="1" applyFill="1"/>
    <xf numFmtId="170" fontId="15" fillId="5" borderId="13" xfId="0" applyNumberFormat="1" applyFont="1" applyFill="1" applyBorder="1"/>
    <xf numFmtId="170" fontId="15" fillId="5" borderId="7" xfId="0" applyNumberFormat="1" applyFont="1" applyFill="1" applyBorder="1"/>
    <xf numFmtId="170" fontId="15" fillId="5" borderId="8" xfId="0" applyNumberFormat="1" applyFont="1" applyFill="1" applyBorder="1"/>
    <xf numFmtId="170" fontId="15" fillId="5" borderId="10" xfId="0" applyNumberFormat="1" applyFont="1" applyFill="1" applyBorder="1"/>
    <xf numFmtId="170" fontId="31" fillId="3" borderId="4" xfId="0" applyNumberFormat="1" applyFont="1" applyFill="1" applyBorder="1"/>
    <xf numFmtId="170" fontId="31" fillId="3" borderId="6" xfId="0" applyNumberFormat="1" applyFont="1" applyFill="1" applyBorder="1"/>
    <xf numFmtId="43" fontId="34" fillId="0" borderId="0" xfId="1" applyFont="1" applyAlignment="1">
      <alignment horizontal="left" vertical="center"/>
    </xf>
    <xf numFmtId="43" fontId="19" fillId="0" borderId="0" xfId="1" applyFont="1" applyAlignment="1">
      <alignment horizontal="left" vertical="center"/>
    </xf>
    <xf numFmtId="43" fontId="13" fillId="2" borderId="7" xfId="1" applyFont="1" applyFill="1" applyBorder="1" applyAlignment="1">
      <alignment horizontal="left"/>
    </xf>
    <xf numFmtId="43" fontId="31" fillId="3" borderId="3" xfId="1" applyFont="1" applyFill="1" applyBorder="1"/>
    <xf numFmtId="43" fontId="14" fillId="0" borderId="0" xfId="1" applyFont="1"/>
    <xf numFmtId="17" fontId="18" fillId="3" borderId="8" xfId="5" applyNumberFormat="1" applyFont="1" applyFill="1" applyBorder="1" applyAlignment="1">
      <alignment horizontal="right"/>
    </xf>
    <xf numFmtId="43" fontId="13" fillId="3" borderId="8" xfId="13" applyFont="1" applyFill="1" applyBorder="1"/>
    <xf numFmtId="0" fontId="18" fillId="3" borderId="3" xfId="0" applyFont="1" applyFill="1" applyBorder="1"/>
    <xf numFmtId="0" fontId="18" fillId="3" borderId="4" xfId="0" applyFont="1" applyFill="1" applyBorder="1"/>
    <xf numFmtId="166" fontId="18" fillId="3" borderId="4" xfId="3" applyNumberFormat="1" applyFont="1" applyFill="1" applyBorder="1"/>
    <xf numFmtId="166" fontId="18" fillId="3" borderId="6" xfId="0" applyNumberFormat="1" applyFont="1" applyFill="1" applyBorder="1"/>
    <xf numFmtId="43" fontId="18" fillId="3" borderId="14" xfId="1" applyFont="1" applyFill="1" applyBorder="1" applyAlignment="1">
      <alignment horizontal="left"/>
    </xf>
    <xf numFmtId="43" fontId="18" fillId="3" borderId="1" xfId="1" applyFont="1" applyFill="1" applyBorder="1"/>
    <xf numFmtId="166" fontId="12" fillId="5" borderId="1" xfId="8" applyNumberFormat="1" applyFont="1" applyFill="1" applyBorder="1"/>
    <xf numFmtId="166" fontId="12" fillId="5" borderId="2" xfId="8" applyNumberFormat="1" applyFont="1" applyFill="1" applyBorder="1"/>
    <xf numFmtId="166" fontId="19" fillId="5" borderId="2" xfId="5" applyNumberFormat="1" applyFont="1" applyFill="1" applyBorder="1"/>
    <xf numFmtId="166" fontId="19" fillId="5" borderId="9" xfId="5" applyNumberFormat="1" applyFont="1" applyFill="1" applyBorder="1"/>
    <xf numFmtId="166" fontId="12" fillId="5" borderId="14" xfId="8" applyNumberFormat="1" applyFont="1" applyFill="1" applyBorder="1"/>
    <xf numFmtId="166" fontId="12" fillId="5" borderId="0" xfId="8" applyNumberFormat="1" applyFont="1" applyFill="1" applyBorder="1"/>
    <xf numFmtId="166" fontId="19" fillId="5" borderId="0" xfId="5" applyNumberFormat="1" applyFont="1" applyFill="1"/>
    <xf numFmtId="166" fontId="19" fillId="5" borderId="13" xfId="5" applyNumberFormat="1" applyFont="1" applyFill="1" applyBorder="1"/>
    <xf numFmtId="166" fontId="12" fillId="5" borderId="7" xfId="8" applyNumberFormat="1" applyFont="1" applyFill="1" applyBorder="1"/>
    <xf numFmtId="166" fontId="12" fillId="5" borderId="8" xfId="8" applyNumberFormat="1" applyFont="1" applyFill="1" applyBorder="1"/>
    <xf numFmtId="166" fontId="19" fillId="5" borderId="8" xfId="5" applyNumberFormat="1" applyFont="1" applyFill="1" applyBorder="1"/>
    <xf numFmtId="166" fontId="19" fillId="5" borderId="10" xfId="5" applyNumberFormat="1" applyFont="1" applyFill="1" applyBorder="1"/>
    <xf numFmtId="0" fontId="36" fillId="0" borderId="0" xfId="19"/>
    <xf numFmtId="0" fontId="39" fillId="0" borderId="5" xfId="27" applyFont="1" applyBorder="1" applyAlignment="1">
      <alignment horizontal="center"/>
    </xf>
    <xf numFmtId="0" fontId="39" fillId="0" borderId="0" xfId="27" applyFont="1"/>
    <xf numFmtId="165" fontId="0" fillId="0" borderId="0" xfId="20" applyNumberFormat="1" applyFont="1"/>
    <xf numFmtId="165" fontId="0" fillId="0" borderId="8" xfId="20" applyNumberFormat="1" applyFont="1" applyBorder="1"/>
    <xf numFmtId="165" fontId="0" fillId="0" borderId="0" xfId="20" applyNumberFormat="1" applyFont="1" applyBorder="1"/>
    <xf numFmtId="165" fontId="38" fillId="0" borderId="8" xfId="20" applyNumberFormat="1" applyFont="1" applyBorder="1"/>
    <xf numFmtId="165" fontId="0" fillId="0" borderId="0" xfId="20" applyNumberFormat="1" applyFont="1" applyFill="1"/>
    <xf numFmtId="165" fontId="39" fillId="0" borderId="0" xfId="20" applyNumberFormat="1" applyFont="1" applyFill="1"/>
    <xf numFmtId="165" fontId="0" fillId="0" borderId="8" xfId="20" applyNumberFormat="1" applyFont="1" applyFill="1" applyBorder="1"/>
    <xf numFmtId="165" fontId="38" fillId="0" borderId="8" xfId="20" applyNumberFormat="1" applyFont="1" applyFill="1" applyBorder="1"/>
    <xf numFmtId="165" fontId="38" fillId="0" borderId="0" xfId="27" applyNumberFormat="1" applyFont="1"/>
    <xf numFmtId="43" fontId="18" fillId="3" borderId="15" xfId="6" applyFont="1" applyFill="1" applyBorder="1" applyAlignment="1">
      <alignment horizontal="right"/>
    </xf>
    <xf numFmtId="0" fontId="18" fillId="3" borderId="0" xfId="5" applyFont="1" applyFill="1" applyAlignment="1">
      <alignment horizontal="right" vertical="center"/>
    </xf>
    <xf numFmtId="0" fontId="24" fillId="3" borderId="21" xfId="5" applyFont="1" applyFill="1" applyBorder="1" applyAlignment="1">
      <alignment horizontal="right"/>
    </xf>
    <xf numFmtId="0" fontId="24" fillId="3" borderId="12" xfId="5" applyFont="1" applyFill="1" applyBorder="1" applyAlignment="1">
      <alignment horizontal="right"/>
    </xf>
    <xf numFmtId="17" fontId="24" fillId="3" borderId="12" xfId="5" applyNumberFormat="1" applyFont="1" applyFill="1" applyBorder="1" applyAlignment="1">
      <alignment horizontal="right"/>
    </xf>
    <xf numFmtId="0" fontId="18" fillId="3" borderId="25" xfId="5" applyFont="1" applyFill="1" applyBorder="1" applyAlignment="1">
      <alignment horizontal="right" vertical="center"/>
    </xf>
    <xf numFmtId="10" fontId="26" fillId="5" borderId="5" xfId="3" applyNumberFormat="1" applyFont="1" applyFill="1" applyBorder="1"/>
    <xf numFmtId="169" fontId="26" fillId="5" borderId="2" xfId="7" applyNumberFormat="1" applyFont="1" applyFill="1" applyBorder="1"/>
    <xf numFmtId="169" fontId="26" fillId="5" borderId="9" xfId="7" applyNumberFormat="1" applyFont="1" applyFill="1" applyBorder="1"/>
    <xf numFmtId="166" fontId="26" fillId="5" borderId="13" xfId="8" applyNumberFormat="1" applyFont="1" applyFill="1" applyBorder="1"/>
    <xf numFmtId="0" fontId="26" fillId="5" borderId="8" xfId="5" applyFont="1" applyFill="1" applyBorder="1" applyAlignment="1">
      <alignment horizontal="left"/>
    </xf>
    <xf numFmtId="166" fontId="26" fillId="5" borderId="10" xfId="8" applyNumberFormat="1" applyFont="1" applyFill="1" applyBorder="1"/>
    <xf numFmtId="0" fontId="29" fillId="3" borderId="21" xfId="5" applyFont="1" applyFill="1" applyBorder="1" applyAlignment="1">
      <alignment horizontal="left"/>
    </xf>
    <xf numFmtId="0" fontId="29" fillId="3" borderId="20" xfId="5" applyFont="1" applyFill="1" applyBorder="1"/>
    <xf numFmtId="0" fontId="26" fillId="5" borderId="0" xfId="5" applyFont="1" applyFill="1" applyAlignment="1">
      <alignment horizontal="left"/>
    </xf>
    <xf numFmtId="0" fontId="26" fillId="5" borderId="2" xfId="5" applyFont="1" applyFill="1" applyBorder="1" applyAlignment="1">
      <alignment horizontal="left"/>
    </xf>
    <xf numFmtId="166" fontId="26" fillId="5" borderId="9" xfId="8" applyNumberFormat="1" applyFont="1" applyFill="1" applyBorder="1"/>
    <xf numFmtId="0" fontId="29" fillId="3" borderId="9" xfId="5" applyFont="1" applyFill="1" applyBorder="1"/>
    <xf numFmtId="169" fontId="26" fillId="5" borderId="1" xfId="7" applyNumberFormat="1" applyFont="1" applyFill="1" applyBorder="1"/>
    <xf numFmtId="169" fontId="26" fillId="5" borderId="7" xfId="7" applyNumberFormat="1" applyFont="1" applyFill="1" applyBorder="1"/>
    <xf numFmtId="169" fontId="26" fillId="5" borderId="8" xfId="7" applyNumberFormat="1" applyFont="1" applyFill="1" applyBorder="1"/>
    <xf numFmtId="169" fontId="26" fillId="5" borderId="10" xfId="7" applyNumberFormat="1" applyFont="1" applyFill="1" applyBorder="1"/>
    <xf numFmtId="0" fontId="18" fillId="3" borderId="4" xfId="5" applyFont="1" applyFill="1" applyBorder="1" applyAlignment="1">
      <alignment horizontal="left"/>
    </xf>
    <xf numFmtId="0" fontId="18" fillId="3" borderId="6" xfId="5" applyFont="1" applyFill="1" applyBorder="1"/>
    <xf numFmtId="43" fontId="18" fillId="3" borderId="6" xfId="6" applyFont="1" applyFill="1" applyBorder="1" applyAlignment="1">
      <alignment horizontal="right"/>
    </xf>
    <xf numFmtId="0" fontId="18" fillId="3" borderId="2" xfId="5" applyFont="1" applyFill="1" applyBorder="1" applyAlignment="1">
      <alignment horizontal="right"/>
    </xf>
    <xf numFmtId="0" fontId="18" fillId="3" borderId="8" xfId="5" applyFont="1" applyFill="1" applyBorder="1" applyAlignment="1">
      <alignment horizontal="right"/>
    </xf>
    <xf numFmtId="169" fontId="41" fillId="5" borderId="8" xfId="7" applyNumberFormat="1" applyFont="1" applyFill="1" applyBorder="1"/>
    <xf numFmtId="169" fontId="41" fillId="5" borderId="10" xfId="7" applyNumberFormat="1" applyFont="1" applyFill="1" applyBorder="1"/>
    <xf numFmtId="0" fontId="18" fillId="3" borderId="2" xfId="5" applyFont="1" applyFill="1" applyBorder="1" applyAlignment="1">
      <alignment horizontal="left"/>
    </xf>
    <xf numFmtId="0" fontId="18" fillId="3" borderId="9" xfId="5" applyFont="1" applyFill="1" applyBorder="1"/>
    <xf numFmtId="0" fontId="18" fillId="3" borderId="14" xfId="5" applyFont="1" applyFill="1" applyBorder="1" applyAlignment="1">
      <alignment horizontal="right" vertical="center"/>
    </xf>
    <xf numFmtId="10" fontId="26" fillId="5" borderId="3" xfId="3" applyNumberFormat="1" applyFont="1" applyFill="1" applyBorder="1"/>
    <xf numFmtId="10" fontId="26" fillId="5" borderId="6" xfId="3" applyNumberFormat="1" applyFont="1" applyFill="1" applyBorder="1"/>
    <xf numFmtId="169" fontId="26" fillId="5" borderId="14" xfId="7" applyNumberFormat="1" applyFont="1" applyFill="1" applyBorder="1"/>
    <xf numFmtId="169" fontId="26" fillId="5" borderId="0" xfId="7" applyNumberFormat="1" applyFont="1" applyFill="1" applyBorder="1"/>
    <xf numFmtId="169" fontId="26" fillId="5" borderId="13" xfId="7" applyNumberFormat="1" applyFont="1" applyFill="1" applyBorder="1"/>
    <xf numFmtId="0" fontId="29" fillId="3" borderId="9" xfId="5" applyFont="1" applyFill="1" applyBorder="1" applyAlignment="1">
      <alignment horizontal="left"/>
    </xf>
    <xf numFmtId="10" fontId="26" fillId="5" borderId="1" xfId="3" applyNumberFormat="1" applyFont="1" applyFill="1" applyBorder="1" applyAlignment="1">
      <alignment horizontal="right"/>
    </xf>
    <xf numFmtId="10" fontId="26" fillId="5" borderId="2" xfId="3" applyNumberFormat="1" applyFont="1" applyFill="1" applyBorder="1" applyAlignment="1">
      <alignment horizontal="right"/>
    </xf>
    <xf numFmtId="10" fontId="26" fillId="5" borderId="9" xfId="3" applyNumberFormat="1" applyFont="1" applyFill="1" applyBorder="1" applyAlignment="1">
      <alignment horizontal="right"/>
    </xf>
    <xf numFmtId="10" fontId="26" fillId="5" borderId="7" xfId="3" applyNumberFormat="1" applyFont="1" applyFill="1" applyBorder="1" applyAlignment="1">
      <alignment horizontal="right"/>
    </xf>
    <xf numFmtId="10" fontId="26" fillId="5" borderId="8" xfId="3" applyNumberFormat="1" applyFont="1" applyFill="1" applyBorder="1" applyAlignment="1">
      <alignment horizontal="right"/>
    </xf>
    <xf numFmtId="10" fontId="26" fillId="5" borderId="10" xfId="3" applyNumberFormat="1" applyFont="1" applyFill="1" applyBorder="1" applyAlignment="1">
      <alignment horizontal="right"/>
    </xf>
    <xf numFmtId="166" fontId="26" fillId="5" borderId="1" xfId="3" applyNumberFormat="1" applyFont="1" applyFill="1" applyBorder="1"/>
    <xf numFmtId="166" fontId="26" fillId="5" borderId="2" xfId="3" applyNumberFormat="1" applyFont="1" applyFill="1" applyBorder="1"/>
    <xf numFmtId="166" fontId="26" fillId="5" borderId="9" xfId="3" applyNumberFormat="1" applyFont="1" applyFill="1" applyBorder="1"/>
    <xf numFmtId="166" fontId="26" fillId="5" borderId="7" xfId="3" applyNumberFormat="1" applyFont="1" applyFill="1" applyBorder="1"/>
    <xf numFmtId="166" fontId="26" fillId="5" borderId="8" xfId="3" applyNumberFormat="1" applyFont="1" applyFill="1" applyBorder="1"/>
    <xf numFmtId="166" fontId="26" fillId="5" borderId="10" xfId="3" applyNumberFormat="1" applyFont="1" applyFill="1" applyBorder="1"/>
    <xf numFmtId="165" fontId="0" fillId="5" borderId="0" xfId="1" applyNumberFormat="1" applyFont="1" applyFill="1" applyBorder="1"/>
    <xf numFmtId="0" fontId="39" fillId="0" borderId="6" xfId="27" applyFont="1" applyBorder="1" applyAlignment="1">
      <alignment horizontal="center"/>
    </xf>
    <xf numFmtId="0" fontId="18" fillId="3" borderId="2" xfId="15" applyFont="1" applyFill="1" applyBorder="1" applyAlignment="1">
      <alignment horizontal="center" vertical="center"/>
    </xf>
    <xf numFmtId="0" fontId="18" fillId="3" borderId="9" xfId="15" applyFont="1" applyFill="1" applyBorder="1" applyAlignment="1">
      <alignment horizontal="center" vertical="center"/>
    </xf>
    <xf numFmtId="43" fontId="18" fillId="3" borderId="7" xfId="1" applyFont="1" applyFill="1" applyBorder="1" applyAlignment="1">
      <alignment horizontal="left" vertical="center"/>
    </xf>
    <xf numFmtId="0" fontId="18" fillId="3" borderId="8" xfId="15" applyFont="1" applyFill="1" applyBorder="1" applyAlignment="1">
      <alignment horizontal="center" vertical="center" wrapText="1"/>
    </xf>
    <xf numFmtId="0" fontId="18" fillId="3" borderId="10" xfId="15" applyFont="1" applyFill="1" applyBorder="1" applyAlignment="1">
      <alignment horizontal="center" vertical="center"/>
    </xf>
    <xf numFmtId="165" fontId="0" fillId="5" borderId="1" xfId="1" applyNumberFormat="1" applyFont="1" applyFill="1" applyBorder="1"/>
    <xf numFmtId="165" fontId="0" fillId="5" borderId="2" xfId="1" applyNumberFormat="1" applyFont="1" applyFill="1" applyBorder="1"/>
    <xf numFmtId="165" fontId="0" fillId="5" borderId="14" xfId="1" applyNumberFormat="1" applyFont="1" applyFill="1" applyBorder="1"/>
    <xf numFmtId="165" fontId="0" fillId="5" borderId="13" xfId="1" applyNumberFormat="1" applyFont="1" applyFill="1" applyBorder="1"/>
    <xf numFmtId="165" fontId="0" fillId="5" borderId="7" xfId="1" applyNumberFormat="1" applyFont="1" applyFill="1" applyBorder="1"/>
    <xf numFmtId="165" fontId="0" fillId="5" borderId="8" xfId="1" applyNumberFormat="1" applyFont="1" applyFill="1" applyBorder="1"/>
    <xf numFmtId="165" fontId="0" fillId="5" borderId="10" xfId="1" applyNumberFormat="1" applyFont="1" applyFill="1" applyBorder="1"/>
    <xf numFmtId="165" fontId="0" fillId="0" borderId="0" xfId="0" applyNumberFormat="1"/>
    <xf numFmtId="43" fontId="14" fillId="7" borderId="5" xfId="1" applyFont="1" applyFill="1" applyBorder="1"/>
    <xf numFmtId="0" fontId="18" fillId="3" borderId="2" xfId="5" applyFont="1" applyFill="1" applyBorder="1" applyAlignment="1">
      <alignment horizontal="center"/>
    </xf>
    <xf numFmtId="164" fontId="28" fillId="5" borderId="0" xfId="2" applyNumberFormat="1" applyFont="1" applyFill="1" applyBorder="1"/>
    <xf numFmtId="164" fontId="28" fillId="5" borderId="1" xfId="2" applyNumberFormat="1" applyFont="1" applyFill="1" applyBorder="1"/>
    <xf numFmtId="164" fontId="28" fillId="5" borderId="2" xfId="2" applyNumberFormat="1" applyFont="1" applyFill="1" applyBorder="1"/>
    <xf numFmtId="164" fontId="28" fillId="5" borderId="9" xfId="2" applyNumberFormat="1" applyFont="1" applyFill="1" applyBorder="1"/>
    <xf numFmtId="164" fontId="28" fillId="5" borderId="14" xfId="2" applyNumberFormat="1" applyFont="1" applyFill="1" applyBorder="1"/>
    <xf numFmtId="164" fontId="28" fillId="5" borderId="13" xfId="2" applyNumberFormat="1" applyFont="1" applyFill="1" applyBorder="1"/>
    <xf numFmtId="164" fontId="28" fillId="5" borderId="7" xfId="2" applyNumberFormat="1" applyFont="1" applyFill="1" applyBorder="1"/>
    <xf numFmtId="164" fontId="28" fillId="5" borderId="8" xfId="2" applyNumberFormat="1" applyFont="1" applyFill="1" applyBorder="1"/>
    <xf numFmtId="164" fontId="28" fillId="5" borderId="10" xfId="2" applyNumberFormat="1" applyFont="1" applyFill="1" applyBorder="1"/>
    <xf numFmtId="164" fontId="28" fillId="5" borderId="3" xfId="2" applyNumberFormat="1" applyFont="1" applyFill="1" applyBorder="1"/>
    <xf numFmtId="164" fontId="28" fillId="5" borderId="4" xfId="2" applyNumberFormat="1" applyFont="1" applyFill="1" applyBorder="1"/>
    <xf numFmtId="164" fontId="28" fillId="5" borderId="6" xfId="2" applyNumberFormat="1" applyFont="1" applyFill="1" applyBorder="1"/>
    <xf numFmtId="44" fontId="19" fillId="0" borderId="0" xfId="0" applyNumberFormat="1" applyFont="1"/>
    <xf numFmtId="164" fontId="12" fillId="5" borderId="1" xfId="2" applyNumberFormat="1" applyFont="1" applyFill="1" applyBorder="1"/>
    <xf numFmtId="164" fontId="12" fillId="5" borderId="2" xfId="2" applyNumberFormat="1" applyFont="1" applyFill="1" applyBorder="1"/>
    <xf numFmtId="0" fontId="13" fillId="3" borderId="2" xfId="12" applyFont="1" applyFill="1" applyBorder="1"/>
    <xf numFmtId="0" fontId="13" fillId="3" borderId="9" xfId="12" applyFont="1" applyFill="1" applyBorder="1"/>
    <xf numFmtId="0" fontId="12" fillId="0" borderId="0" xfId="12" applyFont="1"/>
    <xf numFmtId="0" fontId="13" fillId="3" borderId="8" xfId="12" applyFont="1" applyFill="1" applyBorder="1"/>
    <xf numFmtId="17" fontId="13" fillId="3" borderId="8" xfId="5" applyNumberFormat="1" applyFont="1" applyFill="1" applyBorder="1" applyAlignment="1">
      <alignment horizontal="right"/>
    </xf>
    <xf numFmtId="0" fontId="13" fillId="3" borderId="10" xfId="12" applyFont="1" applyFill="1" applyBorder="1" applyAlignment="1">
      <alignment horizontal="center"/>
    </xf>
    <xf numFmtId="43" fontId="12" fillId="0" borderId="0" xfId="1" applyFont="1"/>
    <xf numFmtId="164" fontId="12" fillId="5" borderId="7" xfId="2" applyNumberFormat="1" applyFont="1" applyFill="1" applyBorder="1"/>
    <xf numFmtId="164" fontId="12" fillId="5" borderId="8" xfId="2" applyNumberFormat="1" applyFont="1" applyFill="1" applyBorder="1"/>
    <xf numFmtId="43" fontId="12" fillId="0" borderId="11" xfId="1" applyFont="1" applyBorder="1"/>
    <xf numFmtId="0" fontId="12" fillId="0" borderId="11" xfId="12" applyFont="1" applyBorder="1"/>
    <xf numFmtId="164" fontId="12" fillId="0" borderId="11" xfId="12" applyNumberFormat="1" applyFont="1" applyBorder="1"/>
    <xf numFmtId="164" fontId="20" fillId="5" borderId="9" xfId="2" applyNumberFormat="1" applyFont="1" applyFill="1" applyBorder="1"/>
    <xf numFmtId="164" fontId="20" fillId="5" borderId="10" xfId="2" applyNumberFormat="1" applyFont="1" applyFill="1" applyBorder="1"/>
    <xf numFmtId="43" fontId="31" fillId="3" borderId="1" xfId="1" applyFont="1" applyFill="1" applyBorder="1"/>
    <xf numFmtId="165" fontId="15" fillId="5" borderId="1" xfId="1" applyNumberFormat="1" applyFont="1" applyFill="1" applyBorder="1"/>
    <xf numFmtId="165" fontId="15" fillId="5" borderId="2" xfId="1" applyNumberFormat="1" applyFont="1" applyFill="1" applyBorder="1"/>
    <xf numFmtId="165" fontId="15" fillId="5" borderId="9" xfId="1" applyNumberFormat="1" applyFont="1" applyFill="1" applyBorder="1"/>
    <xf numFmtId="165" fontId="15" fillId="5" borderId="14" xfId="1" applyNumberFormat="1" applyFont="1" applyFill="1" applyBorder="1"/>
    <xf numFmtId="165" fontId="15" fillId="5" borderId="0" xfId="1" applyNumberFormat="1" applyFont="1" applyFill="1" applyBorder="1"/>
    <xf numFmtId="165" fontId="15" fillId="5" borderId="13" xfId="1" applyNumberFormat="1" applyFont="1" applyFill="1" applyBorder="1"/>
    <xf numFmtId="165" fontId="15" fillId="5" borderId="7" xfId="1" applyNumberFormat="1" applyFont="1" applyFill="1" applyBorder="1"/>
    <xf numFmtId="165" fontId="15" fillId="5" borderId="8" xfId="1" applyNumberFormat="1" applyFont="1" applyFill="1" applyBorder="1"/>
    <xf numFmtId="165" fontId="15" fillId="5" borderId="10" xfId="1" applyNumberFormat="1" applyFont="1" applyFill="1" applyBorder="1"/>
    <xf numFmtId="43" fontId="18" fillId="3" borderId="3" xfId="1" applyFont="1" applyFill="1" applyBorder="1" applyAlignment="1">
      <alignment horizontal="left"/>
    </xf>
    <xf numFmtId="43" fontId="25" fillId="0" borderId="0" xfId="1" applyFont="1" applyAlignment="1">
      <alignment horizontal="left"/>
    </xf>
    <xf numFmtId="43" fontId="18" fillId="3" borderId="1" xfId="1" applyFont="1" applyFill="1" applyBorder="1" applyAlignment="1">
      <alignment horizontal="left"/>
    </xf>
    <xf numFmtId="43" fontId="26" fillId="5" borderId="1" xfId="1" applyFont="1" applyFill="1" applyBorder="1" applyAlignment="1">
      <alignment horizontal="left"/>
    </xf>
    <xf numFmtId="43" fontId="26" fillId="5" borderId="14" xfId="1" applyFont="1" applyFill="1" applyBorder="1" applyAlignment="1">
      <alignment horizontal="left"/>
    </xf>
    <xf numFmtId="43" fontId="26" fillId="5" borderId="7" xfId="1" applyFont="1" applyFill="1" applyBorder="1" applyAlignment="1">
      <alignment horizontal="left"/>
    </xf>
    <xf numFmtId="43" fontId="19" fillId="0" borderId="14" xfId="1" applyFont="1" applyBorder="1" applyAlignment="1">
      <alignment horizontal="left"/>
    </xf>
    <xf numFmtId="169" fontId="19" fillId="4" borderId="0" xfId="7" applyNumberFormat="1" applyFont="1" applyFill="1" applyBorder="1"/>
    <xf numFmtId="165" fontId="19" fillId="4" borderId="2" xfId="1" applyNumberFormat="1" applyFont="1" applyFill="1" applyBorder="1"/>
    <xf numFmtId="165" fontId="19" fillId="4" borderId="9" xfId="1" applyNumberFormat="1" applyFont="1" applyFill="1" applyBorder="1"/>
    <xf numFmtId="165" fontId="19" fillId="4" borderId="14" xfId="1" applyNumberFormat="1" applyFont="1" applyFill="1" applyBorder="1"/>
    <xf numFmtId="165" fontId="19" fillId="4" borderId="0" xfId="1" applyNumberFormat="1" applyFont="1" applyFill="1" applyBorder="1"/>
    <xf numFmtId="165" fontId="19" fillId="4" borderId="13" xfId="1" applyNumberFormat="1" applyFont="1" applyFill="1" applyBorder="1"/>
    <xf numFmtId="165" fontId="19" fillId="4" borderId="14" xfId="5" applyNumberFormat="1" applyFont="1" applyFill="1" applyBorder="1"/>
    <xf numFmtId="165" fontId="19" fillId="4" borderId="0" xfId="5" applyNumberFormat="1" applyFont="1" applyFill="1"/>
    <xf numFmtId="165" fontId="19" fillId="4" borderId="13" xfId="5" applyNumberFormat="1" applyFont="1" applyFill="1" applyBorder="1"/>
    <xf numFmtId="169" fontId="19" fillId="4" borderId="14" xfId="7" applyNumberFormat="1" applyFont="1" applyFill="1" applyBorder="1"/>
    <xf numFmtId="169" fontId="19" fillId="4" borderId="13" xfId="7" applyNumberFormat="1" applyFont="1" applyFill="1" applyBorder="1"/>
    <xf numFmtId="164" fontId="25" fillId="4" borderId="3" xfId="2" applyNumberFormat="1" applyFont="1" applyFill="1" applyBorder="1"/>
    <xf numFmtId="164" fontId="25" fillId="4" borderId="4" xfId="2" applyNumberFormat="1" applyFont="1" applyFill="1" applyBorder="1"/>
    <xf numFmtId="164" fontId="25" fillId="4" borderId="6" xfId="2" applyNumberFormat="1" applyFont="1" applyFill="1" applyBorder="1"/>
    <xf numFmtId="169" fontId="19" fillId="5" borderId="0" xfId="7" applyNumberFormat="1" applyFont="1" applyFill="1" applyBorder="1"/>
    <xf numFmtId="165" fontId="19" fillId="5" borderId="1" xfId="1" applyNumberFormat="1" applyFont="1" applyFill="1" applyBorder="1"/>
    <xf numFmtId="165" fontId="19" fillId="5" borderId="2" xfId="1" applyNumberFormat="1" applyFont="1" applyFill="1" applyBorder="1"/>
    <xf numFmtId="165" fontId="19" fillId="5" borderId="9" xfId="1" applyNumberFormat="1" applyFont="1" applyFill="1" applyBorder="1"/>
    <xf numFmtId="165" fontId="19" fillId="5" borderId="14" xfId="1" applyNumberFormat="1" applyFont="1" applyFill="1" applyBorder="1"/>
    <xf numFmtId="165" fontId="19" fillId="5" borderId="0" xfId="1" applyNumberFormat="1" applyFont="1" applyFill="1" applyBorder="1"/>
    <xf numFmtId="165" fontId="19" fillId="5" borderId="13" xfId="1" applyNumberFormat="1" applyFont="1" applyFill="1" applyBorder="1"/>
    <xf numFmtId="165" fontId="19" fillId="5" borderId="14" xfId="5" applyNumberFormat="1" applyFont="1" applyFill="1" applyBorder="1"/>
    <xf numFmtId="165" fontId="19" fillId="5" borderId="0" xfId="5" applyNumberFormat="1" applyFont="1" applyFill="1"/>
    <xf numFmtId="165" fontId="19" fillId="5" borderId="13" xfId="5" applyNumberFormat="1" applyFont="1" applyFill="1" applyBorder="1"/>
    <xf numFmtId="169" fontId="19" fillId="5" borderId="14" xfId="7" applyNumberFormat="1" applyFont="1" applyFill="1" applyBorder="1"/>
    <xf numFmtId="169" fontId="19" fillId="5" borderId="13" xfId="7" applyNumberFormat="1" applyFont="1" applyFill="1" applyBorder="1"/>
    <xf numFmtId="164" fontId="25" fillId="5" borderId="3" xfId="2" applyNumberFormat="1" applyFont="1" applyFill="1" applyBorder="1"/>
    <xf numFmtId="164" fontId="25" fillId="5" borderId="4" xfId="2" applyNumberFormat="1" applyFont="1" applyFill="1" applyBorder="1"/>
    <xf numFmtId="164" fontId="25" fillId="5" borderId="6" xfId="2" applyNumberFormat="1" applyFont="1" applyFill="1" applyBorder="1"/>
    <xf numFmtId="0" fontId="18" fillId="3" borderId="9" xfId="5" applyFont="1" applyFill="1" applyBorder="1" applyAlignment="1">
      <alignment horizontal="center"/>
    </xf>
    <xf numFmtId="17" fontId="18" fillId="3" borderId="10" xfId="5" quotePrefix="1" applyNumberFormat="1" applyFont="1" applyFill="1" applyBorder="1" applyAlignment="1">
      <alignment horizontal="center"/>
    </xf>
    <xf numFmtId="165" fontId="29" fillId="3" borderId="1" xfId="1" applyNumberFormat="1" applyFont="1" applyFill="1" applyBorder="1"/>
    <xf numFmtId="165" fontId="29" fillId="3" borderId="14" xfId="1" applyNumberFormat="1" applyFont="1" applyFill="1" applyBorder="1"/>
    <xf numFmtId="165" fontId="29" fillId="3" borderId="14" xfId="5" applyNumberFormat="1" applyFont="1" applyFill="1" applyBorder="1"/>
    <xf numFmtId="165" fontId="29" fillId="3" borderId="13" xfId="5" applyNumberFormat="1" applyFont="1" applyFill="1" applyBorder="1"/>
    <xf numFmtId="169" fontId="29" fillId="3" borderId="14" xfId="7" applyNumberFormat="1" applyFont="1" applyFill="1" applyBorder="1"/>
    <xf numFmtId="169" fontId="29" fillId="3" borderId="13" xfId="7" applyNumberFormat="1" applyFont="1" applyFill="1" applyBorder="1"/>
    <xf numFmtId="165" fontId="29" fillId="3" borderId="3" xfId="1" applyNumberFormat="1" applyFont="1" applyFill="1" applyBorder="1"/>
    <xf numFmtId="165" fontId="29" fillId="3" borderId="6" xfId="1" applyNumberFormat="1" applyFont="1" applyFill="1" applyBorder="1"/>
    <xf numFmtId="165" fontId="29" fillId="3" borderId="0" xfId="1" applyNumberFormat="1" applyFont="1" applyFill="1" applyBorder="1"/>
    <xf numFmtId="165" fontId="29" fillId="3" borderId="0" xfId="5" applyNumberFormat="1" applyFont="1" applyFill="1"/>
    <xf numFmtId="169" fontId="29" fillId="3" borderId="0" xfId="7" applyNumberFormat="1" applyFont="1" applyFill="1" applyBorder="1"/>
    <xf numFmtId="17" fontId="18" fillId="3" borderId="8" xfId="5" quotePrefix="1" applyNumberFormat="1" applyFont="1" applyFill="1" applyBorder="1" applyAlignment="1">
      <alignment horizontal="center"/>
    </xf>
    <xf numFmtId="165" fontId="12" fillId="5" borderId="1" xfId="1" applyNumberFormat="1" applyFont="1" applyFill="1" applyBorder="1" applyAlignment="1">
      <alignment horizontal="center"/>
    </xf>
    <xf numFmtId="165" fontId="12" fillId="5" borderId="14" xfId="1" applyNumberFormat="1" applyFont="1" applyFill="1" applyBorder="1" applyAlignment="1">
      <alignment horizontal="center"/>
    </xf>
    <xf numFmtId="165" fontId="12" fillId="5" borderId="7" xfId="1" applyNumberFormat="1" applyFont="1" applyFill="1" applyBorder="1" applyAlignment="1">
      <alignment horizontal="center"/>
    </xf>
    <xf numFmtId="169" fontId="19" fillId="7" borderId="5" xfId="7" applyNumberFormat="1" applyFont="1" applyFill="1" applyBorder="1"/>
    <xf numFmtId="166" fontId="12" fillId="5" borderId="9" xfId="8" applyNumberFormat="1" applyFont="1" applyFill="1" applyBorder="1"/>
    <xf numFmtId="166" fontId="12" fillId="5" borderId="13" xfId="8" applyNumberFormat="1" applyFont="1" applyFill="1" applyBorder="1"/>
    <xf numFmtId="166" fontId="12" fillId="5" borderId="10" xfId="8" applyNumberFormat="1" applyFont="1" applyFill="1" applyBorder="1"/>
    <xf numFmtId="165" fontId="29" fillId="3" borderId="2" xfId="1" applyNumberFormat="1" applyFont="1" applyFill="1" applyBorder="1"/>
    <xf numFmtId="165" fontId="29" fillId="3" borderId="4" xfId="1" applyNumberFormat="1" applyFont="1" applyFill="1" applyBorder="1"/>
    <xf numFmtId="166" fontId="12" fillId="0" borderId="0" xfId="8" applyNumberFormat="1" applyFont="1" applyFill="1" applyBorder="1"/>
    <xf numFmtId="165" fontId="12" fillId="5" borderId="1" xfId="1" applyNumberFormat="1" applyFont="1" applyFill="1" applyBorder="1" applyAlignment="1">
      <alignment horizontal="left"/>
    </xf>
    <xf numFmtId="165" fontId="12" fillId="5" borderId="14" xfId="1" applyNumberFormat="1" applyFont="1" applyFill="1" applyBorder="1" applyAlignment="1">
      <alignment horizontal="left"/>
    </xf>
    <xf numFmtId="165" fontId="12" fillId="5" borderId="7" xfId="1" applyNumberFormat="1" applyFont="1" applyFill="1" applyBorder="1" applyAlignment="1">
      <alignment horizontal="left"/>
    </xf>
    <xf numFmtId="166" fontId="12" fillId="7" borderId="1" xfId="8" applyNumberFormat="1" applyFont="1" applyFill="1" applyBorder="1"/>
    <xf numFmtId="166" fontId="12" fillId="7" borderId="2" xfId="8" applyNumberFormat="1" applyFont="1" applyFill="1" applyBorder="1"/>
    <xf numFmtId="166" fontId="12" fillId="7" borderId="9" xfId="8" applyNumberFormat="1" applyFont="1" applyFill="1" applyBorder="1"/>
    <xf numFmtId="166" fontId="12" fillId="7" borderId="14" xfId="8" applyNumberFormat="1" applyFont="1" applyFill="1" applyBorder="1"/>
    <xf numFmtId="166" fontId="12" fillId="7" borderId="0" xfId="8" applyNumberFormat="1" applyFont="1" applyFill="1" applyBorder="1"/>
    <xf numFmtId="166" fontId="12" fillId="7" borderId="13" xfId="8" applyNumberFormat="1" applyFont="1" applyFill="1" applyBorder="1"/>
    <xf numFmtId="166" fontId="12" fillId="7" borderId="7" xfId="8" applyNumberFormat="1" applyFont="1" applyFill="1" applyBorder="1"/>
    <xf numFmtId="166" fontId="12" fillId="7" borderId="8" xfId="8" applyNumberFormat="1" applyFont="1" applyFill="1" applyBorder="1"/>
    <xf numFmtId="166" fontId="12" fillId="7" borderId="10" xfId="8" applyNumberFormat="1" applyFont="1" applyFill="1" applyBorder="1"/>
    <xf numFmtId="165" fontId="19" fillId="5" borderId="3" xfId="1" applyNumberFormat="1" applyFont="1" applyFill="1" applyBorder="1"/>
    <xf numFmtId="165" fontId="19" fillId="5" borderId="4" xfId="1" applyNumberFormat="1" applyFont="1" applyFill="1" applyBorder="1"/>
    <xf numFmtId="165" fontId="19" fillId="5" borderId="6" xfId="1" applyNumberFormat="1" applyFont="1" applyFill="1" applyBorder="1"/>
    <xf numFmtId="174" fontId="19" fillId="0" borderId="0" xfId="2" applyNumberFormat="1" applyFont="1"/>
    <xf numFmtId="164" fontId="29" fillId="3" borderId="3" xfId="2" applyNumberFormat="1" applyFont="1" applyFill="1" applyBorder="1"/>
    <xf numFmtId="164" fontId="29" fillId="3" borderId="6" xfId="2" applyNumberFormat="1" applyFont="1" applyFill="1" applyBorder="1"/>
    <xf numFmtId="44" fontId="19" fillId="0" borderId="0" xfId="5" applyNumberFormat="1" applyFont="1"/>
    <xf numFmtId="166" fontId="19" fillId="7" borderId="2" xfId="5" applyNumberFormat="1" applyFont="1" applyFill="1" applyBorder="1"/>
    <xf numFmtId="166" fontId="19" fillId="7" borderId="9" xfId="5" applyNumberFormat="1" applyFont="1" applyFill="1" applyBorder="1"/>
    <xf numFmtId="166" fontId="19" fillId="7" borderId="13" xfId="5" applyNumberFormat="1" applyFont="1" applyFill="1" applyBorder="1"/>
    <xf numFmtId="166" fontId="19" fillId="7" borderId="8" xfId="5" applyNumberFormat="1" applyFont="1" applyFill="1" applyBorder="1"/>
    <xf numFmtId="166" fontId="19" fillId="7" borderId="10" xfId="5" applyNumberFormat="1" applyFont="1" applyFill="1" applyBorder="1"/>
    <xf numFmtId="166" fontId="19" fillId="7" borderId="0" xfId="5" applyNumberFormat="1" applyFont="1" applyFill="1"/>
    <xf numFmtId="165" fontId="13" fillId="3" borderId="1" xfId="1" applyNumberFormat="1" applyFont="1" applyFill="1" applyBorder="1"/>
    <xf numFmtId="165" fontId="18" fillId="3" borderId="7" xfId="1" applyNumberFormat="1" applyFont="1" applyFill="1" applyBorder="1" applyAlignment="1">
      <alignment horizontal="left"/>
    </xf>
    <xf numFmtId="165" fontId="19" fillId="0" borderId="0" xfId="1" applyNumberFormat="1" applyFont="1" applyAlignment="1">
      <alignment horizontal="left"/>
    </xf>
    <xf numFmtId="165" fontId="25" fillId="0" borderId="0" xfId="1" applyNumberFormat="1" applyFont="1" applyAlignment="1">
      <alignment horizontal="left"/>
    </xf>
    <xf numFmtId="165" fontId="18" fillId="3" borderId="1" xfId="1" applyNumberFormat="1" applyFont="1" applyFill="1" applyBorder="1" applyAlignment="1">
      <alignment horizontal="left"/>
    </xf>
    <xf numFmtId="165" fontId="19" fillId="0" borderId="14" xfId="1" applyNumberFormat="1" applyFont="1" applyBorder="1" applyAlignment="1">
      <alignment horizontal="left"/>
    </xf>
    <xf numFmtId="43" fontId="18" fillId="3" borderId="24" xfId="1" applyFont="1" applyFill="1" applyBorder="1" applyAlignment="1">
      <alignment horizontal="left"/>
    </xf>
    <xf numFmtId="43" fontId="18" fillId="3" borderId="23" xfId="1" applyFont="1" applyFill="1" applyBorder="1" applyAlignment="1">
      <alignment horizontal="left"/>
    </xf>
    <xf numFmtId="165" fontId="18" fillId="3" borderId="14" xfId="1" quotePrefix="1" applyNumberFormat="1" applyFont="1" applyFill="1" applyBorder="1" applyAlignment="1">
      <alignment horizontal="left"/>
    </xf>
    <xf numFmtId="165" fontId="19" fillId="4" borderId="3" xfId="1" applyNumberFormat="1" applyFont="1" applyFill="1" applyBorder="1"/>
    <xf numFmtId="165" fontId="19" fillId="4" borderId="4" xfId="1" applyNumberFormat="1" applyFont="1" applyFill="1" applyBorder="1"/>
    <xf numFmtId="165" fontId="19" fillId="4" borderId="6" xfId="1" applyNumberFormat="1" applyFont="1" applyFill="1" applyBorder="1"/>
    <xf numFmtId="165" fontId="18" fillId="3" borderId="0" xfId="30" applyNumberFormat="1" applyFont="1" applyFill="1" applyBorder="1" applyAlignment="1">
      <alignment horizontal="right" vertical="center"/>
    </xf>
    <xf numFmtId="164" fontId="0" fillId="4" borderId="1" xfId="2" applyNumberFormat="1" applyFont="1" applyFill="1" applyBorder="1"/>
    <xf numFmtId="164" fontId="0" fillId="4" borderId="2" xfId="2" applyNumberFormat="1" applyFont="1" applyFill="1" applyBorder="1"/>
    <xf numFmtId="164" fontId="0" fillId="4" borderId="9" xfId="2" applyNumberFormat="1" applyFont="1" applyFill="1" applyBorder="1"/>
    <xf numFmtId="165" fontId="0" fillId="4" borderId="14" xfId="1" applyNumberFormat="1" applyFont="1" applyFill="1" applyBorder="1"/>
    <xf numFmtId="165" fontId="0" fillId="4" borderId="0" xfId="1" applyNumberFormat="1" applyFont="1" applyFill="1" applyBorder="1"/>
    <xf numFmtId="165" fontId="0" fillId="4" borderId="13" xfId="1" applyNumberFormat="1" applyFont="1" applyFill="1" applyBorder="1"/>
    <xf numFmtId="165" fontId="0" fillId="4" borderId="7" xfId="1" applyNumberFormat="1" applyFont="1" applyFill="1" applyBorder="1"/>
    <xf numFmtId="165" fontId="0" fillId="4" borderId="8" xfId="1" applyNumberFormat="1" applyFont="1" applyFill="1" applyBorder="1"/>
    <xf numFmtId="164" fontId="0" fillId="5" borderId="2" xfId="2" applyNumberFormat="1" applyFont="1" applyFill="1" applyBorder="1"/>
    <xf numFmtId="164" fontId="0" fillId="5" borderId="9" xfId="2" applyNumberFormat="1" applyFont="1" applyFill="1" applyBorder="1"/>
    <xf numFmtId="43" fontId="41" fillId="5" borderId="1" xfId="13" applyFont="1" applyFill="1" applyBorder="1"/>
    <xf numFmtId="44" fontId="41" fillId="5" borderId="9" xfId="14" applyFont="1" applyFill="1" applyBorder="1"/>
    <xf numFmtId="43" fontId="41" fillId="5" borderId="7" xfId="13" applyFont="1" applyFill="1" applyBorder="1"/>
    <xf numFmtId="44" fontId="41" fillId="5" borderId="10" xfId="14" applyFont="1" applyFill="1" applyBorder="1"/>
    <xf numFmtId="43" fontId="41" fillId="5" borderId="14" xfId="13" applyFont="1" applyFill="1" applyBorder="1"/>
    <xf numFmtId="44" fontId="41" fillId="5" borderId="13" xfId="14" applyFont="1" applyFill="1" applyBorder="1"/>
    <xf numFmtId="0" fontId="13" fillId="3" borderId="2" xfId="9" applyFont="1" applyFill="1" applyBorder="1" applyAlignment="1">
      <alignment horizontal="center"/>
    </xf>
    <xf numFmtId="0" fontId="13" fillId="3" borderId="9" xfId="9" applyFont="1" applyFill="1" applyBorder="1" applyAlignment="1">
      <alignment horizontal="center"/>
    </xf>
    <xf numFmtId="0" fontId="12" fillId="0" borderId="0" xfId="9" applyFont="1"/>
    <xf numFmtId="165" fontId="13" fillId="3" borderId="8" xfId="9" applyNumberFormat="1" applyFont="1" applyFill="1" applyBorder="1" applyAlignment="1">
      <alignment horizontal="center"/>
    </xf>
    <xf numFmtId="0" fontId="13" fillId="3" borderId="8" xfId="9" applyFont="1" applyFill="1" applyBorder="1" applyAlignment="1">
      <alignment horizontal="center"/>
    </xf>
    <xf numFmtId="0" fontId="13" fillId="3" borderId="10" xfId="9" applyFont="1" applyFill="1" applyBorder="1" applyAlignment="1">
      <alignment horizontal="center"/>
    </xf>
    <xf numFmtId="43" fontId="12" fillId="0" borderId="0" xfId="1" applyFont="1" applyFill="1" applyBorder="1" applyAlignment="1">
      <alignment horizontal="left"/>
    </xf>
    <xf numFmtId="41" fontId="12" fillId="5" borderId="1" xfId="16" applyNumberFormat="1" applyFont="1" applyFill="1" applyBorder="1"/>
    <xf numFmtId="41" fontId="12" fillId="5" borderId="9" xfId="16" applyNumberFormat="1" applyFont="1" applyFill="1" applyBorder="1"/>
    <xf numFmtId="165" fontId="12" fillId="0" borderId="0" xfId="1" applyNumberFormat="1" applyFont="1" applyFill="1" applyBorder="1"/>
    <xf numFmtId="10" fontId="12" fillId="0" borderId="0" xfId="3" applyNumberFormat="1" applyFont="1"/>
    <xf numFmtId="41" fontId="12" fillId="5" borderId="7" xfId="16" applyNumberFormat="1" applyFont="1" applyFill="1" applyBorder="1"/>
    <xf numFmtId="41" fontId="12" fillId="5" borderId="10" xfId="16" applyNumberFormat="1" applyFont="1" applyFill="1" applyBorder="1"/>
    <xf numFmtId="43" fontId="12" fillId="0" borderId="11" xfId="1" applyFont="1" applyFill="1" applyBorder="1" applyAlignment="1">
      <alignment horizontal="left"/>
    </xf>
    <xf numFmtId="10" fontId="12" fillId="0" borderId="11" xfId="3" applyNumberFormat="1" applyFont="1" applyFill="1" applyBorder="1"/>
    <xf numFmtId="43" fontId="12" fillId="0" borderId="0" xfId="1" applyFont="1" applyAlignment="1">
      <alignment horizontal="left"/>
    </xf>
    <xf numFmtId="166" fontId="12" fillId="0" borderId="0" xfId="3" applyNumberFormat="1" applyFont="1"/>
    <xf numFmtId="0" fontId="17" fillId="0" borderId="0" xfId="31" applyFont="1"/>
    <xf numFmtId="0" fontId="12" fillId="0" borderId="0" xfId="31" applyFont="1"/>
    <xf numFmtId="165" fontId="12" fillId="0" borderId="0" xfId="9" applyNumberFormat="1" applyFont="1"/>
    <xf numFmtId="0" fontId="13" fillId="3" borderId="7" xfId="31" applyFont="1" applyFill="1" applyBorder="1"/>
    <xf numFmtId="14" fontId="13" fillId="3" borderId="8" xfId="31" applyNumberFormat="1" applyFont="1" applyFill="1" applyBorder="1" applyAlignment="1">
      <alignment horizontal="center" vertical="center"/>
    </xf>
    <xf numFmtId="14" fontId="13" fillId="3" borderId="10" xfId="31" applyNumberFormat="1" applyFont="1" applyFill="1" applyBorder="1" applyAlignment="1">
      <alignment horizontal="center" vertical="center"/>
    </xf>
    <xf numFmtId="165" fontId="12" fillId="0" borderId="11" xfId="31" applyNumberFormat="1" applyFont="1" applyBorder="1"/>
    <xf numFmtId="0" fontId="17" fillId="0" borderId="11" xfId="31" applyFont="1" applyBorder="1"/>
    <xf numFmtId="0" fontId="18" fillId="3" borderId="8" xfId="45" applyFont="1" applyFill="1" applyBorder="1" applyAlignment="1">
      <alignment horizontal="center" vertical="center" wrapText="1"/>
    </xf>
    <xf numFmtId="0" fontId="29" fillId="3" borderId="2" xfId="45" applyFont="1" applyFill="1" applyBorder="1" applyAlignment="1">
      <alignment horizontal="center" vertical="center"/>
    </xf>
    <xf numFmtId="0" fontId="34" fillId="0" borderId="0" xfId="45" applyFont="1" applyAlignment="1">
      <alignment horizontal="center" vertical="center" wrapText="1"/>
    </xf>
    <xf numFmtId="0" fontId="19" fillId="0" borderId="0" xfId="45" applyFont="1" applyAlignment="1">
      <alignment horizontal="center" vertical="center"/>
    </xf>
    <xf numFmtId="6" fontId="42" fillId="0" borderId="0" xfId="0" applyNumberFormat="1" applyFont="1"/>
    <xf numFmtId="43" fontId="0" fillId="0" borderId="11" xfId="1" applyFont="1" applyBorder="1"/>
    <xf numFmtId="43" fontId="0" fillId="0" borderId="0" xfId="1" applyFont="1" applyFill="1" applyBorder="1"/>
    <xf numFmtId="0" fontId="18" fillId="3" borderId="1" xfId="51" applyFont="1" applyFill="1" applyBorder="1"/>
    <xf numFmtId="0" fontId="18" fillId="3" borderId="2" xfId="51" applyFont="1" applyFill="1" applyBorder="1" applyAlignment="1">
      <alignment horizontal="right"/>
    </xf>
    <xf numFmtId="0" fontId="18" fillId="3" borderId="9" xfId="51" applyFont="1" applyFill="1" applyBorder="1" applyAlignment="1">
      <alignment horizontal="right"/>
    </xf>
    <xf numFmtId="0" fontId="19" fillId="0" borderId="0" xfId="51" applyFont="1"/>
    <xf numFmtId="0" fontId="18" fillId="3" borderId="7" xfId="51" applyFont="1" applyFill="1" applyBorder="1"/>
    <xf numFmtId="0" fontId="18" fillId="3" borderId="8" xfId="51" applyFont="1" applyFill="1" applyBorder="1" applyAlignment="1">
      <alignment horizontal="right"/>
    </xf>
    <xf numFmtId="0" fontId="18" fillId="3" borderId="10" xfId="51" applyFont="1" applyFill="1" applyBorder="1" applyAlignment="1">
      <alignment horizontal="right"/>
    </xf>
    <xf numFmtId="0" fontId="18" fillId="3" borderId="5" xfId="51" applyFont="1" applyFill="1" applyBorder="1"/>
    <xf numFmtId="0" fontId="19" fillId="0" borderId="0" xfId="51" applyFont="1" applyAlignment="1">
      <alignment horizontal="right"/>
    </xf>
    <xf numFmtId="3" fontId="23" fillId="0" borderId="0" xfId="51" applyNumberFormat="1" applyFont="1" applyAlignment="1">
      <alignment horizontal="right"/>
    </xf>
    <xf numFmtId="3" fontId="19" fillId="0" borderId="0" xfId="51" applyNumberFormat="1" applyFont="1" applyAlignment="1">
      <alignment horizontal="right"/>
    </xf>
    <xf numFmtId="3" fontId="19" fillId="0" borderId="11" xfId="51" applyNumberFormat="1" applyFont="1" applyBorder="1" applyAlignment="1">
      <alignment horizontal="right"/>
    </xf>
    <xf numFmtId="10" fontId="19" fillId="0" borderId="0" xfId="3" applyNumberFormat="1" applyFont="1" applyAlignment="1">
      <alignment horizontal="right"/>
    </xf>
    <xf numFmtId="164" fontId="23" fillId="0" borderId="0" xfId="52" applyNumberFormat="1" applyFont="1" applyFill="1" applyBorder="1" applyAlignment="1">
      <alignment horizontal="right"/>
    </xf>
    <xf numFmtId="164" fontId="12" fillId="0" borderId="0" xfId="52" applyNumberFormat="1" applyFont="1" applyFill="1" applyBorder="1" applyAlignment="1">
      <alignment horizontal="right"/>
    </xf>
    <xf numFmtId="165" fontId="23" fillId="0" borderId="0" xfId="53" applyNumberFormat="1" applyFont="1" applyFill="1" applyBorder="1" applyAlignment="1">
      <alignment horizontal="right"/>
    </xf>
    <xf numFmtId="164" fontId="12" fillId="0" borderId="11" xfId="52" applyNumberFormat="1" applyFont="1" applyFill="1" applyBorder="1" applyAlignment="1">
      <alignment horizontal="right"/>
    </xf>
    <xf numFmtId="165" fontId="23" fillId="0" borderId="0" xfId="1" applyNumberFormat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4" fontId="23" fillId="0" borderId="0" xfId="2" applyNumberFormat="1" applyFont="1" applyAlignment="1">
      <alignment horizontal="right"/>
    </xf>
    <xf numFmtId="165" fontId="23" fillId="0" borderId="0" xfId="1" applyNumberFormat="1" applyFont="1" applyAlignment="1">
      <alignment horizontal="right"/>
    </xf>
    <xf numFmtId="174" fontId="23" fillId="0" borderId="0" xfId="2" applyNumberFormat="1" applyFont="1" applyFill="1" applyBorder="1" applyAlignment="1">
      <alignment horizontal="right"/>
    </xf>
    <xf numFmtId="175" fontId="23" fillId="0" borderId="0" xfId="1" applyNumberFormat="1" applyFont="1" applyFill="1" applyBorder="1" applyAlignment="1">
      <alignment horizontal="right"/>
    </xf>
    <xf numFmtId="174" fontId="23" fillId="0" borderId="11" xfId="2" applyNumberFormat="1" applyFont="1" applyFill="1" applyBorder="1" applyAlignment="1">
      <alignment horizontal="right"/>
    </xf>
    <xf numFmtId="0" fontId="19" fillId="0" borderId="0" xfId="51" applyFont="1" applyAlignment="1">
      <alignment horizontal="center"/>
    </xf>
    <xf numFmtId="164" fontId="19" fillId="0" borderId="0" xfId="51" applyNumberFormat="1" applyFont="1"/>
    <xf numFmtId="43" fontId="13" fillId="2" borderId="1" xfId="0" applyNumberFormat="1" applyFont="1" applyFill="1" applyBorder="1"/>
    <xf numFmtId="43" fontId="38" fillId="0" borderId="17" xfId="1" applyFont="1" applyBorder="1" applyAlignment="1">
      <alignment horizontal="left" vertical="center"/>
    </xf>
    <xf numFmtId="43" fontId="36" fillId="0" borderId="0" xfId="1" applyFont="1" applyAlignment="1">
      <alignment horizontal="left" vertical="center"/>
    </xf>
    <xf numFmtId="43" fontId="39" fillId="0" borderId="0" xfId="1" applyFont="1" applyAlignment="1">
      <alignment horizontal="left" vertical="center"/>
    </xf>
    <xf numFmtId="43" fontId="38" fillId="0" borderId="0" xfId="1" applyFont="1" applyAlignment="1">
      <alignment horizontal="left" vertical="center"/>
    </xf>
    <xf numFmtId="0" fontId="18" fillId="3" borderId="8" xfId="15" applyFont="1" applyFill="1" applyBorder="1" applyAlignment="1">
      <alignment horizontal="center" vertical="center"/>
    </xf>
    <xf numFmtId="165" fontId="19" fillId="4" borderId="1" xfId="1" applyNumberFormat="1" applyFont="1" applyFill="1" applyBorder="1"/>
    <xf numFmtId="165" fontId="29" fillId="3" borderId="18" xfId="1" applyNumberFormat="1" applyFont="1" applyFill="1" applyBorder="1"/>
    <xf numFmtId="165" fontId="29" fillId="3" borderId="19" xfId="1" applyNumberFormat="1" applyFont="1" applyFill="1" applyBorder="1"/>
    <xf numFmtId="165" fontId="29" fillId="3" borderId="17" xfId="1" applyNumberFormat="1" applyFont="1" applyFill="1" applyBorder="1"/>
    <xf numFmtId="165" fontId="29" fillId="3" borderId="10" xfId="1" applyNumberFormat="1" applyFont="1" applyFill="1" applyBorder="1"/>
    <xf numFmtId="165" fontId="29" fillId="3" borderId="7" xfId="1" applyNumberFormat="1" applyFont="1" applyFill="1" applyBorder="1"/>
    <xf numFmtId="164" fontId="25" fillId="5" borderId="7" xfId="2" applyNumberFormat="1" applyFont="1" applyFill="1" applyBorder="1"/>
    <xf numFmtId="164" fontId="25" fillId="5" borderId="8" xfId="2" applyNumberFormat="1" applyFont="1" applyFill="1" applyBorder="1"/>
    <xf numFmtId="164" fontId="25" fillId="5" borderId="10" xfId="2" applyNumberFormat="1" applyFont="1" applyFill="1" applyBorder="1"/>
    <xf numFmtId="165" fontId="41" fillId="5" borderId="2" xfId="1" applyNumberFormat="1" applyFont="1" applyFill="1" applyBorder="1"/>
    <xf numFmtId="165" fontId="41" fillId="5" borderId="8" xfId="1" applyNumberFormat="1" applyFont="1" applyFill="1" applyBorder="1"/>
    <xf numFmtId="165" fontId="41" fillId="5" borderId="0" xfId="1" applyNumberFormat="1" applyFont="1" applyFill="1" applyBorder="1"/>
    <xf numFmtId="165" fontId="17" fillId="4" borderId="0" xfId="1" applyNumberFormat="1" applyFont="1" applyFill="1" applyBorder="1"/>
    <xf numFmtId="165" fontId="0" fillId="4" borderId="1" xfId="1" applyNumberFormat="1" applyFont="1" applyFill="1" applyBorder="1"/>
    <xf numFmtId="165" fontId="17" fillId="4" borderId="2" xfId="1" applyNumberFormat="1" applyFont="1" applyFill="1" applyBorder="1"/>
    <xf numFmtId="165" fontId="0" fillId="4" borderId="2" xfId="1" applyNumberFormat="1" applyFont="1" applyFill="1" applyBorder="1"/>
    <xf numFmtId="165" fontId="17" fillId="4" borderId="8" xfId="1" applyNumberFormat="1" applyFont="1" applyFill="1" applyBorder="1"/>
    <xf numFmtId="165" fontId="17" fillId="5" borderId="2" xfId="1" applyNumberFormat="1" applyFont="1" applyFill="1" applyBorder="1"/>
    <xf numFmtId="164" fontId="14" fillId="0" borderId="0" xfId="2" applyNumberFormat="1" applyFont="1" applyBorder="1"/>
    <xf numFmtId="165" fontId="12" fillId="0" borderId="0" xfId="1" applyNumberFormat="1" applyFont="1" applyBorder="1"/>
    <xf numFmtId="165" fontId="12" fillId="0" borderId="0" xfId="1" applyNumberFormat="1" applyFont="1"/>
    <xf numFmtId="165" fontId="17" fillId="0" borderId="0" xfId="1" applyNumberFormat="1" applyFont="1" applyFill="1" applyAlignment="1">
      <alignment horizontal="right"/>
    </xf>
    <xf numFmtId="10" fontId="28" fillId="4" borderId="1" xfId="45" applyNumberFormat="1" applyFont="1" applyFill="1" applyBorder="1" applyAlignment="1">
      <alignment horizontal="center" vertical="center"/>
    </xf>
    <xf numFmtId="10" fontId="28" fillId="4" borderId="2" xfId="15" applyNumberFormat="1" applyFont="1" applyFill="1" applyBorder="1" applyAlignment="1">
      <alignment horizontal="center" vertical="center"/>
    </xf>
    <xf numFmtId="10" fontId="28" fillId="4" borderId="14" xfId="45" applyNumberFormat="1" applyFont="1" applyFill="1" applyBorder="1" applyAlignment="1">
      <alignment horizontal="center" vertical="center"/>
    </xf>
    <xf numFmtId="10" fontId="28" fillId="4" borderId="0" xfId="15" applyNumberFormat="1" applyFont="1" applyFill="1" applyAlignment="1">
      <alignment horizontal="center" vertical="center"/>
    </xf>
    <xf numFmtId="10" fontId="28" fillId="4" borderId="7" xfId="45" applyNumberFormat="1" applyFont="1" applyFill="1" applyBorder="1" applyAlignment="1">
      <alignment horizontal="center" vertical="center"/>
    </xf>
    <xf numFmtId="10" fontId="28" fillId="4" borderId="8" xfId="15" applyNumberFormat="1" applyFont="1" applyFill="1" applyBorder="1" applyAlignment="1">
      <alignment horizontal="center" vertical="center"/>
    </xf>
    <xf numFmtId="165" fontId="12" fillId="5" borderId="1" xfId="32" applyNumberFormat="1" applyFont="1" applyFill="1" applyBorder="1"/>
    <xf numFmtId="165" fontId="12" fillId="5" borderId="2" xfId="32" applyNumberFormat="1" applyFont="1" applyFill="1" applyBorder="1"/>
    <xf numFmtId="165" fontId="12" fillId="5" borderId="9" xfId="32" applyNumberFormat="1" applyFont="1" applyFill="1" applyBorder="1"/>
    <xf numFmtId="165" fontId="12" fillId="5" borderId="14" xfId="32" applyNumberFormat="1" applyFont="1" applyFill="1" applyBorder="1"/>
    <xf numFmtId="165" fontId="12" fillId="5" borderId="0" xfId="32" applyNumberFormat="1" applyFont="1" applyFill="1" applyBorder="1"/>
    <xf numFmtId="165" fontId="12" fillId="5" borderId="13" xfId="32" applyNumberFormat="1" applyFont="1" applyFill="1" applyBorder="1"/>
    <xf numFmtId="165" fontId="12" fillId="5" borderId="7" xfId="32" applyNumberFormat="1" applyFont="1" applyFill="1" applyBorder="1"/>
    <xf numFmtId="165" fontId="12" fillId="5" borderId="8" xfId="32" applyNumberFormat="1" applyFont="1" applyFill="1" applyBorder="1"/>
    <xf numFmtId="165" fontId="12" fillId="5" borderId="10" xfId="32" applyNumberFormat="1" applyFont="1" applyFill="1" applyBorder="1"/>
    <xf numFmtId="164" fontId="12" fillId="0" borderId="11" xfId="2" applyNumberFormat="1" applyFont="1" applyBorder="1"/>
    <xf numFmtId="0" fontId="13" fillId="3" borderId="0" xfId="0" applyFont="1" applyFill="1" applyAlignment="1">
      <alignment horizontal="center" vertical="center"/>
    </xf>
    <xf numFmtId="43" fontId="13" fillId="3" borderId="0" xfId="13" applyFont="1" applyFill="1" applyAlignment="1">
      <alignment horizontal="center" vertical="center"/>
    </xf>
    <xf numFmtId="44" fontId="13" fillId="3" borderId="0" xfId="14" applyFont="1" applyFill="1" applyAlignment="1">
      <alignment horizontal="center" vertical="center"/>
    </xf>
    <xf numFmtId="43" fontId="17" fillId="0" borderId="0" xfId="1" applyFont="1" applyAlignment="1">
      <alignment horizontal="left"/>
    </xf>
    <xf numFmtId="43" fontId="12" fillId="0" borderId="0" xfId="1" applyFont="1" applyBorder="1" applyAlignment="1">
      <alignment horizontal="left"/>
    </xf>
    <xf numFmtId="43" fontId="43" fillId="0" borderId="11" xfId="1" applyFont="1" applyBorder="1" applyAlignment="1">
      <alignment horizontal="left"/>
    </xf>
    <xf numFmtId="43" fontId="14" fillId="0" borderId="11" xfId="13" applyFont="1" applyFill="1" applyBorder="1"/>
    <xf numFmtId="165" fontId="14" fillId="0" borderId="11" xfId="1" applyNumberFormat="1" applyFont="1" applyFill="1" applyBorder="1"/>
    <xf numFmtId="165" fontId="12" fillId="5" borderId="18" xfId="1" applyNumberFormat="1" applyFont="1" applyFill="1" applyBorder="1"/>
    <xf numFmtId="166" fontId="12" fillId="0" borderId="0" xfId="3" applyNumberFormat="1" applyFont="1" applyFill="1" applyBorder="1"/>
    <xf numFmtId="165" fontId="12" fillId="5" borderId="17" xfId="1" applyNumberFormat="1" applyFont="1" applyFill="1" applyBorder="1"/>
    <xf numFmtId="43" fontId="14" fillId="0" borderId="11" xfId="13" applyFont="1" applyBorder="1"/>
    <xf numFmtId="0" fontId="21" fillId="9" borderId="18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173" fontId="41" fillId="5" borderId="1" xfId="1" applyNumberFormat="1" applyFont="1" applyFill="1" applyBorder="1"/>
    <xf numFmtId="173" fontId="41" fillId="5" borderId="2" xfId="1" applyNumberFormat="1" applyFont="1" applyFill="1" applyBorder="1"/>
    <xf numFmtId="173" fontId="41" fillId="5" borderId="9" xfId="1" applyNumberFormat="1" applyFont="1" applyFill="1" applyBorder="1"/>
    <xf numFmtId="173" fontId="17" fillId="0" borderId="0" xfId="1" applyNumberFormat="1" applyFont="1" applyFill="1" applyBorder="1"/>
    <xf numFmtId="173" fontId="41" fillId="5" borderId="14" xfId="1" applyNumberFormat="1" applyFont="1" applyFill="1" applyBorder="1"/>
    <xf numFmtId="173" fontId="41" fillId="5" borderId="0" xfId="1" applyNumberFormat="1" applyFont="1" applyFill="1" applyBorder="1"/>
    <xf numFmtId="173" fontId="41" fillId="5" borderId="13" xfId="1" applyNumberFormat="1" applyFont="1" applyFill="1" applyBorder="1"/>
    <xf numFmtId="173" fontId="41" fillId="5" borderId="7" xfId="1" applyNumberFormat="1" applyFont="1" applyFill="1" applyBorder="1"/>
    <xf numFmtId="173" fontId="41" fillId="5" borderId="8" xfId="1" applyNumberFormat="1" applyFont="1" applyFill="1" applyBorder="1"/>
    <xf numFmtId="173" fontId="41" fillId="5" borderId="10" xfId="1" applyNumberFormat="1" applyFont="1" applyFill="1" applyBorder="1"/>
    <xf numFmtId="0" fontId="43" fillId="0" borderId="0" xfId="0" applyFont="1" applyAlignment="1">
      <alignment vertical="center"/>
    </xf>
    <xf numFmtId="173" fontId="43" fillId="0" borderId="0" xfId="1" applyNumberFormat="1" applyFont="1" applyFill="1" applyBorder="1"/>
    <xf numFmtId="173" fontId="41" fillId="5" borderId="2" xfId="0" applyNumberFormat="1" applyFont="1" applyFill="1" applyBorder="1" applyAlignment="1">
      <alignment vertical="center"/>
    </xf>
    <xf numFmtId="173" fontId="41" fillId="5" borderId="9" xfId="0" applyNumberFormat="1" applyFont="1" applyFill="1" applyBorder="1" applyAlignment="1">
      <alignment vertical="center"/>
    </xf>
    <xf numFmtId="173" fontId="41" fillId="5" borderId="0" xfId="0" applyNumberFormat="1" applyFont="1" applyFill="1" applyAlignment="1">
      <alignment vertical="center"/>
    </xf>
    <xf numFmtId="173" fontId="41" fillId="5" borderId="13" xfId="0" applyNumberFormat="1" applyFont="1" applyFill="1" applyBorder="1" applyAlignment="1">
      <alignment vertical="center"/>
    </xf>
    <xf numFmtId="0" fontId="41" fillId="5" borderId="0" xfId="0" applyFont="1" applyFill="1"/>
    <xf numFmtId="0" fontId="41" fillId="5" borderId="8" xfId="0" applyFont="1" applyFill="1" applyBorder="1"/>
    <xf numFmtId="173" fontId="41" fillId="5" borderId="8" xfId="0" applyNumberFormat="1" applyFont="1" applyFill="1" applyBorder="1" applyAlignment="1">
      <alignment vertical="center"/>
    </xf>
    <xf numFmtId="173" fontId="41" fillId="5" borderId="10" xfId="0" applyNumberFormat="1" applyFont="1" applyFill="1" applyBorder="1" applyAlignment="1">
      <alignment vertical="center"/>
    </xf>
    <xf numFmtId="0" fontId="13" fillId="3" borderId="3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173" fontId="13" fillId="9" borderId="4" xfId="1" applyNumberFormat="1" applyFont="1" applyFill="1" applyBorder="1"/>
    <xf numFmtId="173" fontId="13" fillId="9" borderId="6" xfId="1" applyNumberFormat="1" applyFont="1" applyFill="1" applyBorder="1"/>
    <xf numFmtId="0" fontId="31" fillId="2" borderId="1" xfId="0" applyFont="1" applyFill="1" applyBorder="1" applyAlignment="1">
      <alignment horizontal="center"/>
    </xf>
    <xf numFmtId="0" fontId="31" fillId="2" borderId="2" xfId="0" applyFont="1" applyFill="1" applyBorder="1" applyAlignment="1">
      <alignment horizontal="center"/>
    </xf>
    <xf numFmtId="0" fontId="31" fillId="2" borderId="9" xfId="0" applyFont="1" applyFill="1" applyBorder="1" applyAlignment="1">
      <alignment horizontal="center"/>
    </xf>
    <xf numFmtId="43" fontId="31" fillId="2" borderId="14" xfId="1" applyFont="1" applyFill="1" applyBorder="1" applyAlignment="1">
      <alignment horizontal="left"/>
    </xf>
    <xf numFmtId="0" fontId="31" fillId="2" borderId="0" xfId="0" applyFont="1" applyFill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31" fillId="2" borderId="14" xfId="0" applyFont="1" applyFill="1" applyBorder="1" applyAlignment="1">
      <alignment horizontal="center"/>
    </xf>
    <xf numFmtId="43" fontId="31" fillId="2" borderId="7" xfId="1" applyFont="1" applyFill="1" applyBorder="1" applyAlignment="1">
      <alignment horizontal="left"/>
    </xf>
    <xf numFmtId="0" fontId="31" fillId="2" borderId="8" xfId="0" applyFont="1" applyFill="1" applyBorder="1" applyAlignment="1">
      <alignment horizontal="center"/>
    </xf>
    <xf numFmtId="0" fontId="31" fillId="2" borderId="10" xfId="0" applyFont="1" applyFill="1" applyBorder="1" applyAlignment="1">
      <alignment horizontal="center"/>
    </xf>
    <xf numFmtId="0" fontId="31" fillId="2" borderId="7" xfId="0" applyFont="1" applyFill="1" applyBorder="1" applyAlignment="1">
      <alignment horizontal="center"/>
    </xf>
    <xf numFmtId="10" fontId="12" fillId="5" borderId="2" xfId="3" applyNumberFormat="1" applyFont="1" applyFill="1" applyBorder="1"/>
    <xf numFmtId="165" fontId="12" fillId="5" borderId="1" xfId="1" applyNumberFormat="1" applyFont="1" applyFill="1" applyBorder="1"/>
    <xf numFmtId="10" fontId="12" fillId="5" borderId="0" xfId="3" applyNumberFormat="1" applyFont="1" applyFill="1" applyBorder="1"/>
    <xf numFmtId="165" fontId="41" fillId="4" borderId="0" xfId="1" applyNumberFormat="1" applyFont="1" applyFill="1" applyBorder="1"/>
    <xf numFmtId="165" fontId="41" fillId="4" borderId="8" xfId="1" applyNumberFormat="1" applyFont="1" applyFill="1" applyBorder="1"/>
    <xf numFmtId="10" fontId="12" fillId="4" borderId="0" xfId="3" applyNumberFormat="1" applyFont="1" applyFill="1" applyBorder="1"/>
    <xf numFmtId="0" fontId="31" fillId="2" borderId="2" xfId="0" applyFont="1" applyFill="1" applyBorder="1"/>
    <xf numFmtId="164" fontId="12" fillId="0" borderId="0" xfId="2" applyNumberFormat="1" applyFont="1"/>
    <xf numFmtId="164" fontId="12" fillId="5" borderId="9" xfId="2" applyNumberFormat="1" applyFont="1" applyFill="1" applyBorder="1"/>
    <xf numFmtId="165" fontId="12" fillId="5" borderId="10" xfId="1" applyNumberFormat="1" applyFont="1" applyFill="1" applyBorder="1"/>
    <xf numFmtId="10" fontId="12" fillId="4" borderId="8" xfId="3" applyNumberFormat="1" applyFont="1" applyFill="1" applyBorder="1"/>
    <xf numFmtId="165" fontId="12" fillId="5" borderId="14" xfId="1" applyNumberFormat="1" applyFont="1" applyFill="1" applyBorder="1"/>
    <xf numFmtId="10" fontId="12" fillId="5" borderId="8" xfId="3" applyNumberFormat="1" applyFont="1" applyFill="1" applyBorder="1"/>
    <xf numFmtId="165" fontId="12" fillId="4" borderId="14" xfId="1" applyNumberFormat="1" applyFont="1" applyFill="1" applyBorder="1"/>
    <xf numFmtId="165" fontId="12" fillId="5" borderId="13" xfId="1" applyNumberFormat="1" applyFont="1" applyFill="1" applyBorder="1"/>
    <xf numFmtId="164" fontId="12" fillId="4" borderId="2" xfId="2" applyNumberFormat="1" applyFont="1" applyFill="1" applyBorder="1"/>
    <xf numFmtId="165" fontId="12" fillId="4" borderId="0" xfId="1" applyNumberFormat="1" applyFont="1" applyFill="1" applyBorder="1"/>
    <xf numFmtId="165" fontId="12" fillId="4" borderId="7" xfId="1" applyNumberFormat="1" applyFont="1" applyFill="1" applyBorder="1"/>
    <xf numFmtId="0" fontId="12" fillId="0" borderId="0" xfId="0" applyFont="1" applyAlignment="1">
      <alignment horizontal="center"/>
    </xf>
    <xf numFmtId="164" fontId="12" fillId="0" borderId="0" xfId="0" applyNumberFormat="1" applyFont="1"/>
    <xf numFmtId="165" fontId="12" fillId="5" borderId="2" xfId="1" applyNumberFormat="1" applyFont="1" applyFill="1" applyBorder="1"/>
    <xf numFmtId="0" fontId="12" fillId="0" borderId="0" xfId="0" applyFont="1"/>
    <xf numFmtId="165" fontId="12" fillId="4" borderId="1" xfId="1" applyNumberFormat="1" applyFont="1" applyFill="1" applyBorder="1"/>
    <xf numFmtId="165" fontId="12" fillId="0" borderId="0" xfId="0" applyNumberFormat="1" applyFont="1"/>
    <xf numFmtId="165" fontId="12" fillId="5" borderId="7" xfId="1" applyNumberFormat="1" applyFont="1" applyFill="1" applyBorder="1"/>
    <xf numFmtId="165" fontId="12" fillId="5" borderId="8" xfId="1" applyNumberFormat="1" applyFont="1" applyFill="1" applyBorder="1"/>
    <xf numFmtId="165" fontId="12" fillId="5" borderId="0" xfId="1" applyNumberFormat="1" applyFont="1" applyFill="1" applyBorder="1"/>
    <xf numFmtId="0" fontId="12" fillId="0" borderId="11" xfId="0" applyFont="1" applyBorder="1"/>
    <xf numFmtId="168" fontId="12" fillId="0" borderId="0" xfId="0" applyNumberFormat="1" applyFont="1" applyAlignment="1">
      <alignment horizontal="left" indent="1"/>
    </xf>
    <xf numFmtId="10" fontId="12" fillId="4" borderId="2" xfId="3" applyNumberFormat="1" applyFont="1" applyFill="1" applyBorder="1"/>
    <xf numFmtId="165" fontId="12" fillId="4" borderId="8" xfId="1" applyNumberFormat="1" applyFont="1" applyFill="1" applyBorder="1"/>
    <xf numFmtId="164" fontId="17" fillId="5" borderId="2" xfId="2" applyNumberFormat="1" applyFont="1" applyFill="1" applyBorder="1"/>
    <xf numFmtId="165" fontId="17" fillId="5" borderId="0" xfId="1" applyNumberFormat="1" applyFont="1" applyFill="1" applyBorder="1"/>
    <xf numFmtId="165" fontId="17" fillId="5" borderId="8" xfId="1" applyNumberFormat="1" applyFont="1" applyFill="1" applyBorder="1"/>
    <xf numFmtId="0" fontId="13" fillId="2" borderId="1" xfId="0" applyFont="1" applyFill="1" applyBorder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0" fontId="12" fillId="6" borderId="18" xfId="3" applyNumberFormat="1" applyFont="1" applyFill="1" applyBorder="1"/>
    <xf numFmtId="10" fontId="12" fillId="6" borderId="17" xfId="3" applyNumberFormat="1" applyFont="1" applyFill="1" applyBorder="1"/>
    <xf numFmtId="43" fontId="13" fillId="2" borderId="14" xfId="1" applyFont="1" applyFill="1" applyBorder="1" applyAlignment="1">
      <alignment horizontal="left"/>
    </xf>
    <xf numFmtId="43" fontId="13" fillId="2" borderId="1" xfId="1" applyFont="1" applyFill="1" applyBorder="1"/>
    <xf numFmtId="164" fontId="42" fillId="0" borderId="0" xfId="0" applyNumberFormat="1" applyFont="1"/>
    <xf numFmtId="164" fontId="42" fillId="11" borderId="0" xfId="0" applyNumberFormat="1" applyFont="1" applyFill="1"/>
    <xf numFmtId="10" fontId="42" fillId="11" borderId="0" xfId="3" applyNumberFormat="1" applyFont="1" applyFill="1"/>
    <xf numFmtId="165" fontId="42" fillId="11" borderId="0" xfId="1" applyNumberFormat="1" applyFont="1" applyFill="1"/>
    <xf numFmtId="164" fontId="42" fillId="10" borderId="0" xfId="2" applyNumberFormat="1" applyFont="1" applyFill="1"/>
    <xf numFmtId="164" fontId="12" fillId="4" borderId="0" xfId="2" applyNumberFormat="1" applyFont="1" applyFill="1" applyBorder="1"/>
    <xf numFmtId="164" fontId="12" fillId="5" borderId="0" xfId="2" applyNumberFormat="1" applyFont="1" applyFill="1" applyBorder="1"/>
    <xf numFmtId="164" fontId="14" fillId="0" borderId="0" xfId="2" applyNumberFormat="1" applyFont="1" applyFill="1" applyBorder="1"/>
    <xf numFmtId="164" fontId="17" fillId="5" borderId="0" xfId="2" applyNumberFormat="1" applyFont="1" applyFill="1" applyBorder="1"/>
    <xf numFmtId="164" fontId="17" fillId="5" borderId="8" xfId="2" applyNumberFormat="1" applyFont="1" applyFill="1" applyBorder="1"/>
    <xf numFmtId="164" fontId="12" fillId="4" borderId="1" xfId="2" applyNumberFormat="1" applyFont="1" applyFill="1" applyBorder="1"/>
    <xf numFmtId="164" fontId="17" fillId="4" borderId="2" xfId="2" applyNumberFormat="1" applyFont="1" applyFill="1" applyBorder="1"/>
    <xf numFmtId="164" fontId="41" fillId="4" borderId="2" xfId="2" applyNumberFormat="1" applyFont="1" applyFill="1" applyBorder="1"/>
    <xf numFmtId="164" fontId="17" fillId="4" borderId="0" xfId="2" applyNumberFormat="1" applyFont="1" applyFill="1" applyBorder="1"/>
    <xf numFmtId="164" fontId="17" fillId="4" borderId="8" xfId="2" applyNumberFormat="1" applyFont="1" applyFill="1" applyBorder="1"/>
    <xf numFmtId="164" fontId="12" fillId="4" borderId="8" xfId="2" applyNumberFormat="1" applyFont="1" applyFill="1" applyBorder="1"/>
    <xf numFmtId="43" fontId="31" fillId="3" borderId="5" xfId="1" applyFont="1" applyFill="1" applyBorder="1"/>
    <xf numFmtId="10" fontId="17" fillId="4" borderId="2" xfId="3" applyNumberFormat="1" applyFont="1" applyFill="1" applyBorder="1"/>
    <xf numFmtId="10" fontId="17" fillId="4" borderId="0" xfId="3" applyNumberFormat="1" applyFont="1" applyFill="1" applyBorder="1"/>
    <xf numFmtId="10" fontId="17" fillId="4" borderId="8" xfId="3" applyNumberFormat="1" applyFont="1" applyFill="1" applyBorder="1"/>
    <xf numFmtId="0" fontId="31" fillId="12" borderId="0" xfId="0" applyFont="1" applyFill="1"/>
    <xf numFmtId="0" fontId="31" fillId="12" borderId="0" xfId="0" applyFont="1" applyFill="1" applyAlignment="1">
      <alignment horizontal="center"/>
    </xf>
    <xf numFmtId="0" fontId="12" fillId="12" borderId="0" xfId="0" applyFont="1" applyFill="1"/>
    <xf numFmtId="164" fontId="12" fillId="12" borderId="0" xfId="2" applyNumberFormat="1" applyFont="1" applyFill="1" applyBorder="1"/>
    <xf numFmtId="165" fontId="12" fillId="12" borderId="0" xfId="1" applyNumberFormat="1" applyFont="1" applyFill="1" applyBorder="1"/>
    <xf numFmtId="164" fontId="14" fillId="12" borderId="0" xfId="2" applyNumberFormat="1" applyFont="1" applyFill="1" applyBorder="1"/>
    <xf numFmtId="0" fontId="13" fillId="12" borderId="0" xfId="0" applyFont="1" applyFill="1" applyAlignment="1">
      <alignment horizontal="center"/>
    </xf>
    <xf numFmtId="165" fontId="17" fillId="12" borderId="0" xfId="1" applyNumberFormat="1" applyFont="1" applyFill="1" applyBorder="1"/>
    <xf numFmtId="0" fontId="12" fillId="12" borderId="0" xfId="0" applyFont="1" applyFill="1" applyAlignment="1">
      <alignment horizontal="center"/>
    </xf>
    <xf numFmtId="164" fontId="17" fillId="12" borderId="0" xfId="2" applyNumberFormat="1" applyFont="1" applyFill="1" applyBorder="1"/>
    <xf numFmtId="43" fontId="12" fillId="12" borderId="0" xfId="1" applyFont="1" applyFill="1" applyBorder="1"/>
    <xf numFmtId="165" fontId="12" fillId="12" borderId="0" xfId="0" applyNumberFormat="1" applyFont="1" applyFill="1"/>
    <xf numFmtId="0" fontId="13" fillId="2" borderId="2" xfId="0" applyFont="1" applyFill="1" applyBorder="1"/>
    <xf numFmtId="0" fontId="31" fillId="0" borderId="0" xfId="0" applyFont="1"/>
    <xf numFmtId="0" fontId="31" fillId="0" borderId="0" xfId="0" applyFont="1" applyAlignment="1">
      <alignment horizontal="center"/>
    </xf>
    <xf numFmtId="0" fontId="36" fillId="0" borderId="0" xfId="19" applyAlignment="1">
      <alignment horizontal="center"/>
    </xf>
    <xf numFmtId="10" fontId="12" fillId="6" borderId="19" xfId="3" applyNumberFormat="1" applyFont="1" applyFill="1" applyBorder="1"/>
    <xf numFmtId="0" fontId="40" fillId="3" borderId="18" xfId="19" applyFont="1" applyFill="1" applyBorder="1" applyAlignment="1">
      <alignment horizontal="center"/>
    </xf>
    <xf numFmtId="0" fontId="36" fillId="10" borderId="17" xfId="19" applyFill="1" applyBorder="1" applyAlignment="1">
      <alignment horizontal="center"/>
    </xf>
    <xf numFmtId="164" fontId="12" fillId="0" borderId="0" xfId="12" applyNumberFormat="1" applyFont="1"/>
    <xf numFmtId="164" fontId="44" fillId="0" borderId="0" xfId="0" applyNumberFormat="1" applyFont="1"/>
    <xf numFmtId="10" fontId="44" fillId="0" borderId="0" xfId="3" applyNumberFormat="1" applyFont="1" applyFill="1"/>
    <xf numFmtId="164" fontId="44" fillId="0" borderId="0" xfId="0" applyNumberFormat="1" applyFont="1" applyAlignment="1">
      <alignment horizontal="right"/>
    </xf>
    <xf numFmtId="164" fontId="42" fillId="11" borderId="0" xfId="2" applyNumberFormat="1" applyFont="1" applyFill="1"/>
    <xf numFmtId="165" fontId="0" fillId="11" borderId="0" xfId="1" applyNumberFormat="1" applyFont="1" applyFill="1"/>
    <xf numFmtId="164" fontId="0" fillId="11" borderId="0" xfId="0" applyNumberFormat="1" applyFill="1"/>
    <xf numFmtId="165" fontId="0" fillId="10" borderId="0" xfId="1" applyNumberFormat="1" applyFont="1" applyFill="1"/>
    <xf numFmtId="0" fontId="0" fillId="13" borderId="1" xfId="0" applyFill="1" applyBorder="1"/>
    <xf numFmtId="0" fontId="0" fillId="13" borderId="2" xfId="0" applyFill="1" applyBorder="1"/>
    <xf numFmtId="164" fontId="0" fillId="13" borderId="9" xfId="2" applyNumberFormat="1" applyFont="1" applyFill="1" applyBorder="1"/>
    <xf numFmtId="0" fontId="0" fillId="13" borderId="14" xfId="0" applyFill="1" applyBorder="1"/>
    <xf numFmtId="0" fontId="0" fillId="13" borderId="0" xfId="0" applyFill="1"/>
    <xf numFmtId="164" fontId="0" fillId="13" borderId="13" xfId="0" applyNumberFormat="1" applyFill="1" applyBorder="1"/>
    <xf numFmtId="0" fontId="0" fillId="13" borderId="7" xfId="0" applyFill="1" applyBorder="1"/>
    <xf numFmtId="0" fontId="0" fillId="13" borderId="8" xfId="0" applyFill="1" applyBorder="1"/>
    <xf numFmtId="164" fontId="0" fillId="13" borderId="10" xfId="0" applyNumberFormat="1" applyFill="1" applyBorder="1"/>
    <xf numFmtId="164" fontId="0" fillId="13" borderId="9" xfId="0" applyNumberFormat="1" applyFill="1" applyBorder="1"/>
    <xf numFmtId="164" fontId="0" fillId="13" borderId="18" xfId="2" applyNumberFormat="1" applyFont="1" applyFill="1" applyBorder="1"/>
    <xf numFmtId="164" fontId="0" fillId="13" borderId="19" xfId="0" applyNumberFormat="1" applyFill="1" applyBorder="1"/>
    <xf numFmtId="164" fontId="0" fillId="13" borderId="17" xfId="0" applyNumberFormat="1" applyFill="1" applyBorder="1"/>
    <xf numFmtId="164" fontId="0" fillId="13" borderId="18" xfId="0" applyNumberFormat="1" applyFill="1" applyBorder="1"/>
    <xf numFmtId="10" fontId="26" fillId="5" borderId="18" xfId="15" applyNumberFormat="1" applyFont="1" applyFill="1" applyBorder="1" applyAlignment="1">
      <alignment horizontal="center" vertical="center"/>
    </xf>
    <xf numFmtId="10" fontId="23" fillId="5" borderId="19" xfId="15" applyNumberFormat="1" applyFont="1" applyFill="1" applyBorder="1" applyAlignment="1">
      <alignment horizontal="center" vertical="center"/>
    </xf>
    <xf numFmtId="10" fontId="26" fillId="5" borderId="19" xfId="15" applyNumberFormat="1" applyFont="1" applyFill="1" applyBorder="1" applyAlignment="1">
      <alignment horizontal="center" vertical="center"/>
    </xf>
    <xf numFmtId="10" fontId="23" fillId="5" borderId="17" xfId="15" applyNumberFormat="1" applyFont="1" applyFill="1" applyBorder="1" applyAlignment="1">
      <alignment horizontal="center" vertical="center"/>
    </xf>
    <xf numFmtId="169" fontId="0" fillId="7" borderId="18" xfId="0" applyNumberFormat="1" applyFill="1" applyBorder="1"/>
    <xf numFmtId="169" fontId="0" fillId="7" borderId="17" xfId="0" applyNumberFormat="1" applyFill="1" applyBorder="1"/>
    <xf numFmtId="164" fontId="45" fillId="3" borderId="0" xfId="2" applyNumberFormat="1" applyFont="1" applyFill="1" applyBorder="1"/>
    <xf numFmtId="164" fontId="12" fillId="0" borderId="8" xfId="2" applyNumberFormat="1" applyFont="1" applyBorder="1"/>
    <xf numFmtId="10" fontId="12" fillId="0" borderId="0" xfId="3" applyNumberFormat="1" applyFont="1" applyBorder="1" applyAlignment="1">
      <alignment horizontal="center"/>
    </xf>
    <xf numFmtId="164" fontId="12" fillId="0" borderId="8" xfId="2" applyNumberFormat="1" applyFont="1" applyBorder="1" applyAlignment="1">
      <alignment horizontal="center"/>
    </xf>
    <xf numFmtId="164" fontId="12" fillId="0" borderId="0" xfId="2" quotePrefix="1" applyNumberFormat="1" applyFont="1" applyBorder="1"/>
    <xf numFmtId="164" fontId="12" fillId="0" borderId="4" xfId="2" applyNumberFormat="1" applyFont="1" applyBorder="1"/>
    <xf numFmtId="10" fontId="12" fillId="0" borderId="4" xfId="3" applyNumberFormat="1" applyFont="1" applyBorder="1" applyAlignment="1">
      <alignment horizontal="center"/>
    </xf>
    <xf numFmtId="166" fontId="26" fillId="5" borderId="3" xfId="5" applyNumberFormat="1" applyFont="1" applyFill="1" applyBorder="1"/>
    <xf numFmtId="165" fontId="27" fillId="7" borderId="2" xfId="23" applyNumberFormat="1" applyFont="1" applyFill="1" applyBorder="1" applyAlignment="1">
      <alignment horizontal="right" vertical="center"/>
    </xf>
    <xf numFmtId="165" fontId="27" fillId="7" borderId="8" xfId="23" applyNumberFormat="1" applyFont="1" applyFill="1" applyBorder="1" applyAlignment="1">
      <alignment horizontal="right" vertical="center"/>
    </xf>
    <xf numFmtId="165" fontId="27" fillId="7" borderId="2" xfId="30" applyNumberFormat="1" applyFont="1" applyFill="1" applyBorder="1" applyAlignment="1">
      <alignment horizontal="right" vertical="center"/>
    </xf>
    <xf numFmtId="165" fontId="27" fillId="7" borderId="8" xfId="30" applyNumberFormat="1" applyFont="1" applyFill="1" applyBorder="1" applyAlignment="1">
      <alignment horizontal="right" vertical="center"/>
    </xf>
    <xf numFmtId="0" fontId="0" fillId="10" borderId="0" xfId="0" applyFill="1"/>
    <xf numFmtId="168" fontId="12" fillId="10" borderId="0" xfId="0" applyNumberFormat="1" applyFont="1" applyFill="1" applyAlignment="1">
      <alignment horizontal="left" indent="1"/>
    </xf>
    <xf numFmtId="165" fontId="42" fillId="10" borderId="0" xfId="1" applyNumberFormat="1" applyFont="1" applyFill="1"/>
    <xf numFmtId="164" fontId="42" fillId="10" borderId="0" xfId="0" applyNumberFormat="1" applyFont="1" applyFill="1"/>
    <xf numFmtId="10" fontId="42" fillId="10" borderId="0" xfId="3" applyNumberFormat="1" applyFont="1" applyFill="1"/>
    <xf numFmtId="0" fontId="0" fillId="10" borderId="7" xfId="0" applyFill="1" applyBorder="1"/>
    <xf numFmtId="0" fontId="0" fillId="10" borderId="8" xfId="0" applyFill="1" applyBorder="1"/>
    <xf numFmtId="164" fontId="0" fillId="10" borderId="10" xfId="0" applyNumberFormat="1" applyFill="1" applyBorder="1"/>
    <xf numFmtId="164" fontId="0" fillId="10" borderId="17" xfId="0" applyNumberFormat="1" applyFill="1" applyBorder="1"/>
    <xf numFmtId="10" fontId="36" fillId="10" borderId="17" xfId="3" applyNumberFormat="1" applyFont="1" applyFill="1" applyBorder="1" applyAlignment="1">
      <alignment horizontal="center"/>
    </xf>
    <xf numFmtId="164" fontId="0" fillId="5" borderId="0" xfId="2" applyNumberFormat="1" applyFont="1" applyFill="1" applyBorder="1"/>
    <xf numFmtId="164" fontId="0" fillId="4" borderId="0" xfId="2" applyNumberFormat="1" applyFont="1" applyFill="1" applyBorder="1"/>
    <xf numFmtId="164" fontId="0" fillId="4" borderId="13" xfId="2" applyNumberFormat="1" applyFont="1" applyFill="1" applyBorder="1"/>
    <xf numFmtId="164" fontId="0" fillId="5" borderId="8" xfId="2" applyNumberFormat="1" applyFont="1" applyFill="1" applyBorder="1"/>
    <xf numFmtId="10" fontId="36" fillId="0" borderId="0" xfId="3" applyNumberFormat="1" applyFont="1" applyAlignment="1">
      <alignment horizontal="center"/>
    </xf>
    <xf numFmtId="0" fontId="46" fillId="0" borderId="8" xfId="19" applyFont="1" applyBorder="1" applyAlignment="1">
      <alignment horizontal="center"/>
    </xf>
    <xf numFmtId="165" fontId="12" fillId="0" borderId="4" xfId="1" applyNumberFormat="1" applyFont="1" applyBorder="1"/>
    <xf numFmtId="0" fontId="13" fillId="3" borderId="22" xfId="0" applyFont="1" applyFill="1" applyBorder="1" applyAlignment="1">
      <alignment horizontal="center" vertical="center"/>
    </xf>
    <xf numFmtId="0" fontId="31" fillId="3" borderId="22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/>
    </xf>
    <xf numFmtId="0" fontId="31" fillId="3" borderId="26" xfId="0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8" fillId="3" borderId="2" xfId="5" applyFont="1" applyFill="1" applyBorder="1" applyAlignment="1">
      <alignment horizontal="center"/>
    </xf>
    <xf numFmtId="165" fontId="18" fillId="3" borderId="2" xfId="6" applyNumberFormat="1" applyFont="1" applyFill="1" applyBorder="1" applyAlignment="1">
      <alignment horizontal="center"/>
    </xf>
    <xf numFmtId="165" fontId="18" fillId="3" borderId="9" xfId="6" applyNumberFormat="1" applyFont="1" applyFill="1" applyBorder="1" applyAlignment="1">
      <alignment horizontal="center"/>
    </xf>
    <xf numFmtId="165" fontId="18" fillId="3" borderId="1" xfId="6" applyNumberFormat="1" applyFont="1" applyFill="1" applyBorder="1" applyAlignment="1">
      <alignment horizontal="center"/>
    </xf>
    <xf numFmtId="165" fontId="18" fillId="3" borderId="21" xfId="6" applyNumberFormat="1" applyFont="1" applyFill="1" applyBorder="1" applyAlignment="1">
      <alignment horizontal="center"/>
    </xf>
    <xf numFmtId="165" fontId="18" fillId="3" borderId="20" xfId="6" applyNumberFormat="1" applyFont="1" applyFill="1" applyBorder="1" applyAlignment="1">
      <alignment horizontal="center"/>
    </xf>
    <xf numFmtId="0" fontId="18" fillId="3" borderId="22" xfId="0" applyFont="1" applyFill="1" applyBorder="1" applyAlignment="1">
      <alignment horizontal="center"/>
    </xf>
    <xf numFmtId="0" fontId="18" fillId="3" borderId="12" xfId="0" applyFont="1" applyFill="1" applyBorder="1" applyAlignment="1">
      <alignment horizontal="center"/>
    </xf>
    <xf numFmtId="0" fontId="32" fillId="3" borderId="2" xfId="0" applyFont="1" applyFill="1" applyBorder="1" applyAlignment="1">
      <alignment horizontal="center"/>
    </xf>
    <xf numFmtId="0" fontId="32" fillId="3" borderId="9" xfId="0" applyFont="1" applyFill="1" applyBorder="1" applyAlignment="1">
      <alignment horizontal="center"/>
    </xf>
    <xf numFmtId="0" fontId="13" fillId="3" borderId="1" xfId="31" applyFont="1" applyFill="1" applyBorder="1" applyAlignment="1">
      <alignment horizontal="center" vertical="center"/>
    </xf>
    <xf numFmtId="0" fontId="13" fillId="3" borderId="2" xfId="31" applyFont="1" applyFill="1" applyBorder="1" applyAlignment="1">
      <alignment horizontal="center" vertical="center"/>
    </xf>
    <xf numFmtId="0" fontId="13" fillId="3" borderId="9" xfId="31" applyFont="1" applyFill="1" applyBorder="1" applyAlignment="1">
      <alignment horizontal="center" vertical="center"/>
    </xf>
    <xf numFmtId="0" fontId="40" fillId="3" borderId="1" xfId="19" applyFont="1" applyFill="1" applyBorder="1" applyAlignment="1">
      <alignment horizontal="center"/>
    </xf>
    <xf numFmtId="0" fontId="40" fillId="3" borderId="2" xfId="19" applyFont="1" applyFill="1" applyBorder="1" applyAlignment="1">
      <alignment horizontal="center"/>
    </xf>
    <xf numFmtId="0" fontId="40" fillId="3" borderId="9" xfId="19" applyFont="1" applyFill="1" applyBorder="1" applyAlignment="1">
      <alignment horizontal="center"/>
    </xf>
    <xf numFmtId="0" fontId="40" fillId="3" borderId="7" xfId="19" applyFont="1" applyFill="1" applyBorder="1" applyAlignment="1">
      <alignment horizontal="center"/>
    </xf>
    <xf numFmtId="0" fontId="40" fillId="3" borderId="8" xfId="19" applyFont="1" applyFill="1" applyBorder="1" applyAlignment="1">
      <alignment horizontal="center"/>
    </xf>
    <xf numFmtId="0" fontId="40" fillId="3" borderId="10" xfId="19" applyFont="1" applyFill="1" applyBorder="1" applyAlignment="1">
      <alignment horizontal="center"/>
    </xf>
    <xf numFmtId="0" fontId="38" fillId="8" borderId="3" xfId="27" applyFont="1" applyFill="1" applyBorder="1" applyAlignment="1">
      <alignment horizontal="center"/>
    </xf>
    <xf numFmtId="0" fontId="38" fillId="8" borderId="4" xfId="27" applyFont="1" applyFill="1" applyBorder="1" applyAlignment="1">
      <alignment horizontal="center"/>
    </xf>
    <xf numFmtId="0" fontId="38" fillId="8" borderId="6" xfId="27" applyFont="1" applyFill="1" applyBorder="1" applyAlignment="1">
      <alignment horizontal="center"/>
    </xf>
    <xf numFmtId="0" fontId="38" fillId="8" borderId="8" xfId="27" applyFont="1" applyFill="1" applyBorder="1" applyAlignment="1">
      <alignment horizontal="center"/>
    </xf>
    <xf numFmtId="0" fontId="38" fillId="8" borderId="10" xfId="27" applyFont="1" applyFill="1" applyBorder="1" applyAlignment="1">
      <alignment horizontal="center"/>
    </xf>
  </cellXfs>
  <cellStyles count="96">
    <cellStyle name="Comma" xfId="1" builtinId="3"/>
    <cellStyle name="Comma 2" xfId="6" xr:uid="{ED6C9D07-09CE-4BCD-9AA5-D517B8E616B2}"/>
    <cellStyle name="Comma 2 2" xfId="18" xr:uid="{1A5A7A24-B507-4253-893B-4EA9EA17EA00}"/>
    <cellStyle name="Comma 2 3" xfId="20" xr:uid="{A4C44656-7F60-4A2C-9454-FA26054A21BA}"/>
    <cellStyle name="Comma 2 4" xfId="36" xr:uid="{C242BAAA-7070-4B72-A7EE-2B7201D9F62D}"/>
    <cellStyle name="Comma 2 4 2" xfId="78" xr:uid="{43988759-5A2E-4BC1-A5B5-9C920C311D44}"/>
    <cellStyle name="Comma 2 5" xfId="53" xr:uid="{28F5446E-A6BB-410C-87DB-34E79BC84892}"/>
    <cellStyle name="Comma 2 5 2" xfId="95" xr:uid="{DF7DA566-53DF-4E49-ABE9-63039851AA09}"/>
    <cellStyle name="Comma 2 6" xfId="56" xr:uid="{30963774-781F-4375-A2BC-E095562B6C74}"/>
    <cellStyle name="Comma 3" xfId="10" xr:uid="{B9EB4B58-5336-4277-9EA8-FA2419FFB03C}"/>
    <cellStyle name="Comma 3 2" xfId="40" xr:uid="{E9D59729-4C00-4F00-A0CB-A50CF4F8CA23}"/>
    <cellStyle name="Comma 3 2 2" xfId="82" xr:uid="{52E03EA0-3E3D-43C5-A409-D39F479F7B93}"/>
    <cellStyle name="Comma 3 3" xfId="60" xr:uid="{C8AF126E-D1A9-499F-ABB7-F14FC69189AB}"/>
    <cellStyle name="Comma 4" xfId="13" xr:uid="{5DFE82B6-5D85-4B73-82F1-2B2412BD9217}"/>
    <cellStyle name="Comma 4 2" xfId="23" xr:uid="{41EF16A7-7024-420D-8842-DE7D706CD135}"/>
    <cellStyle name="Comma 4 2 2" xfId="30" xr:uid="{913C7AB7-6901-440A-86C6-FA45777D975D}"/>
    <cellStyle name="Comma 4 2 2 2" xfId="72" xr:uid="{0D033184-B9C6-4649-97D1-2D0B72C67D21}"/>
    <cellStyle name="Comma 4 2 3" xfId="48" xr:uid="{BCDEDC59-7FCF-4208-976A-402890B886D1}"/>
    <cellStyle name="Comma 4 2 3 2" xfId="90" xr:uid="{B5FB808B-E08E-4339-AB26-07DF992FA40A}"/>
    <cellStyle name="Comma 4 2 4" xfId="68" xr:uid="{EF00862C-C86F-4539-BEEF-B2A305CC09CD}"/>
    <cellStyle name="Comma 4 3" xfId="43" xr:uid="{71C204D5-8C83-4967-8DEF-5F1ECB8C6701}"/>
    <cellStyle name="Comma 4 3 2" xfId="85" xr:uid="{A28D5887-BF5B-4F89-8B7B-C82A164C8090}"/>
    <cellStyle name="Comma 4 4" xfId="63" xr:uid="{758A36A9-5C40-4304-8057-F68BD7822AAE}"/>
    <cellStyle name="Comma 5" xfId="17" xr:uid="{5E308C65-4CE7-4D8C-9CBA-7C13922E83E8}"/>
    <cellStyle name="Comma 5 2" xfId="47" xr:uid="{399890E4-A2B0-4D9F-A534-9C83988FD75A}"/>
    <cellStyle name="Comma 5 2 2" xfId="89" xr:uid="{2431F88A-32A2-4CC5-9747-03E2B3BE593B}"/>
    <cellStyle name="Comma 5 3" xfId="67" xr:uid="{A55D1EE1-ABE7-46F9-877C-B3D95A7FA55E}"/>
    <cellStyle name="Comma 6" xfId="4" xr:uid="{9796412D-BCA1-47EB-8018-E8427668AF40}"/>
    <cellStyle name="Comma 6 2" xfId="34" xr:uid="{61F40684-EC18-45BA-9E8B-E8399E7E32BE}"/>
    <cellStyle name="Comma 6 2 2" xfId="76" xr:uid="{63C6AC36-35C0-4EA5-AA2F-839A326AE243}"/>
    <cellStyle name="Comma 6 3" xfId="54" xr:uid="{7946462B-8AE9-4A9C-8435-3C106908BB0A}"/>
    <cellStyle name="Comma 7" xfId="32" xr:uid="{303EEADA-0262-4DE6-AF2A-05227BB05C9B}"/>
    <cellStyle name="Comma 7 2" xfId="74" xr:uid="{1CE1859F-2040-4F46-8ED5-EF0BE4986C30}"/>
    <cellStyle name="Currency" xfId="2" builtinId="4"/>
    <cellStyle name="Currency 2" xfId="7" xr:uid="{8179FC4E-AEE8-41D8-AE17-EA457B1598B0}"/>
    <cellStyle name="Currency 2 2" xfId="37" xr:uid="{C62C9318-AF1B-44DF-AB84-AB35AEB413F7}"/>
    <cellStyle name="Currency 2 2 2" xfId="79" xr:uid="{A26EB13F-4675-494D-8EFB-A64304A33E64}"/>
    <cellStyle name="Currency 2 3" xfId="52" xr:uid="{885801AE-F090-42A3-A366-C23F24FABCBE}"/>
    <cellStyle name="Currency 2 3 2" xfId="94" xr:uid="{9259637D-B06C-434E-BE8D-FD6C48BBC141}"/>
    <cellStyle name="Currency 2 4" xfId="57" xr:uid="{B2F4E261-DA81-4EC5-87AE-6372E8855431}"/>
    <cellStyle name="Currency 3" xfId="14" xr:uid="{57B471A7-86EA-4CC6-8BAE-A0AEEED138D8}"/>
    <cellStyle name="Currency 3 2" xfId="44" xr:uid="{61A7E57F-7BCC-47F0-B593-809B28DD5A7E}"/>
    <cellStyle name="Currency 3 2 2" xfId="86" xr:uid="{49273C77-7C64-4926-9EB3-01C622488140}"/>
    <cellStyle name="Currency 3 3" xfId="64" xr:uid="{52F48114-ACE3-49FF-A98B-C0343C40CAD5}"/>
    <cellStyle name="Currency 4" xfId="28" xr:uid="{1AA7F90E-A03F-415E-ABA3-50D779B87DA8}"/>
    <cellStyle name="Normal" xfId="0" builtinId="0"/>
    <cellStyle name="Normal 11 2" xfId="26" xr:uid="{D07A1DB9-45CC-4D57-9FB9-16993732EA8E}"/>
    <cellStyle name="Normal 11 2 2" xfId="71" xr:uid="{FCD0ECAA-308E-4F54-BFDB-17CFB9A7D1B0}"/>
    <cellStyle name="Normal 2" xfId="5" xr:uid="{09C322A7-A3CB-4CAE-9DC6-C1CD7037971E}"/>
    <cellStyle name="Normal 2 2" xfId="19" xr:uid="{42FD29FB-3FA2-43E6-81F9-A0F8371B72FB}"/>
    <cellStyle name="Normal 2 3" xfId="21" xr:uid="{4CB84B73-058F-489A-8E94-A5931E0BF265}"/>
    <cellStyle name="Normal 2 4" xfId="35" xr:uid="{E543F65B-25C6-4111-A3F7-35E9A10683BC}"/>
    <cellStyle name="Normal 2 4 2" xfId="77" xr:uid="{8B3D2827-8118-446B-BB0B-42D9272EE293}"/>
    <cellStyle name="Normal 2 5" xfId="51" xr:uid="{A4F74F92-6784-4C28-B11E-4657CE375EB5}"/>
    <cellStyle name="Normal 2 5 2" xfId="93" xr:uid="{0688C472-18FE-45B4-8531-D00593D92795}"/>
    <cellStyle name="Normal 2 6" xfId="55" xr:uid="{ED4CC905-DFF3-437C-8B31-0A77CA72EE23}"/>
    <cellStyle name="Normal 3" xfId="9" xr:uid="{77D7CE17-E2F1-42A1-BBDB-BC7D1463BC5C}"/>
    <cellStyle name="Normal 3 2" xfId="39" xr:uid="{DD56BB9F-F7CA-46CB-BBC4-F1E305B3DB98}"/>
    <cellStyle name="Normal 3 2 2" xfId="81" xr:uid="{A50FF881-4831-49B2-A84F-423BE6F23E0D}"/>
    <cellStyle name="Normal 3 3" xfId="59" xr:uid="{E4DA1671-7663-4286-99E7-92E531BCDE92}"/>
    <cellStyle name="Normal 4" xfId="12" xr:uid="{1BF4B6EF-905F-4CAD-B7FD-1D86CB507C72}"/>
    <cellStyle name="Normal 4 2" xfId="42" xr:uid="{2D18E199-C347-40E5-9BD3-C72B671FB9C0}"/>
    <cellStyle name="Normal 4 2 2" xfId="84" xr:uid="{0E2D50D1-DBA9-4693-9D66-CCE600A171E8}"/>
    <cellStyle name="Normal 4 3" xfId="62" xr:uid="{E0718CED-4503-4095-BB8C-E8764E78DD99}"/>
    <cellStyle name="Normal 5" xfId="15" xr:uid="{4D3A2757-80DA-491A-B210-B567EA687795}"/>
    <cellStyle name="Normal 5 2" xfId="45" xr:uid="{12D611DC-B1CF-49FC-A3C1-8018A4676BE3}"/>
    <cellStyle name="Normal 5 2 2" xfId="87" xr:uid="{6F455C03-1E19-4F48-A9EE-38EF8DCA735F}"/>
    <cellStyle name="Normal 5 3" xfId="65" xr:uid="{3205F7A0-A97B-4747-9912-764C24D55A5D}"/>
    <cellStyle name="Normal 6" xfId="24" xr:uid="{64A69A42-17C8-4A8E-9806-61978B390444}"/>
    <cellStyle name="Normal 6 2" xfId="49" xr:uid="{90E6EA22-BA1A-4BF6-9C2A-EA1A7D8DD50E}"/>
    <cellStyle name="Normal 6 2 2" xfId="91" xr:uid="{C41001E1-189C-4B6A-8617-DDE388D579B1}"/>
    <cellStyle name="Normal 6 3" xfId="69" xr:uid="{0CF54BE5-CB4E-431B-8AAE-010D40C6921D}"/>
    <cellStyle name="Normal 7" xfId="22" xr:uid="{211CF85E-2072-4179-A978-983260D9DA97}"/>
    <cellStyle name="Normal 8" xfId="16" xr:uid="{40DA63CE-9502-4571-93C9-A00657ED3EDB}"/>
    <cellStyle name="Normal 8 2" xfId="46" xr:uid="{5BDC4708-08CB-42EF-ADA0-D95A507C749D}"/>
    <cellStyle name="Normal 8 2 2" xfId="88" xr:uid="{66B0B62C-E7D8-494F-B1C7-E93BAFE3F74D}"/>
    <cellStyle name="Normal 8 3" xfId="66" xr:uid="{364C46B8-7B4A-4353-9D3A-C6B54C3C97D1}"/>
    <cellStyle name="Normal 9" xfId="31" xr:uid="{A6030DFB-AE87-4430-B0A3-EDA11861FC5F}"/>
    <cellStyle name="Normal 9 2" xfId="73" xr:uid="{6451A078-B309-41B9-AE8E-AD65A1E99F9F}"/>
    <cellStyle name="Normal_Proof of Revenue" xfId="27" xr:uid="{3586B434-D59C-4C48-847A-1B67F114B212}"/>
    <cellStyle name="Percent" xfId="3" builtinId="5"/>
    <cellStyle name="Percent 2" xfId="8" xr:uid="{44930F67-7D1F-45D9-829C-3A2DEC969A70}"/>
    <cellStyle name="Percent 2 2" xfId="38" xr:uid="{FBCAA4C4-CC73-4825-9941-AD3261F63F91}"/>
    <cellStyle name="Percent 2 2 2" xfId="80" xr:uid="{8AA62193-9206-4FE6-937C-DB27F6E305BD}"/>
    <cellStyle name="Percent 2 3" xfId="58" xr:uid="{B281A84B-290D-45FC-B899-D17868876832}"/>
    <cellStyle name="Percent 3" xfId="11" xr:uid="{02BF19DD-3CE2-48A7-B5F4-009ACE293814}"/>
    <cellStyle name="Percent 3 2" xfId="41" xr:uid="{A10C8015-FA03-4FAE-A2B6-01C12611EE61}"/>
    <cellStyle name="Percent 3 2 2" xfId="83" xr:uid="{D0B2782F-8940-4D61-B75B-D56A04EFD2CB}"/>
    <cellStyle name="Percent 3 3" xfId="61" xr:uid="{70F5E0BE-F93D-4B4F-A765-C1AE4C4B671B}"/>
    <cellStyle name="Percent 4" xfId="25" xr:uid="{553E6AA9-FC3D-4EC1-BD80-CFB2E414A2FA}"/>
    <cellStyle name="Percent 4 2" xfId="50" xr:uid="{55E7BE89-BEA6-451B-BF65-C720BF302474}"/>
    <cellStyle name="Percent 4 2 2" xfId="92" xr:uid="{41618082-DA1E-4BEE-A0CB-D03B5340FED2}"/>
    <cellStyle name="Percent 4 3" xfId="70" xr:uid="{F5B3F6F6-0A45-4B36-BDA9-CEB53EEE2D27}"/>
    <cellStyle name="Percent 5" xfId="29" xr:uid="{0299A06E-1A52-4C4E-A6A6-38F7853C838A}"/>
    <cellStyle name="Percent 6" xfId="33" xr:uid="{ADEAC90F-79D0-4CEC-AEF7-7646D2DE6615}"/>
    <cellStyle name="Percent 6 2" xfId="75" xr:uid="{3E2ACEAE-711A-45AB-A972-0AD14AE9618F}"/>
  </cellStyles>
  <dxfs count="0"/>
  <tableStyles count="0" defaultTableStyle="TableStyleMedium2" defaultPivotStyle="PivotStyleLight16"/>
  <colors>
    <mruColors>
      <color rgb="FF3333FF"/>
      <color rgb="FF00FF00"/>
      <color rgb="FF0033CC"/>
      <color rgb="FF0066FF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146261</xdr:colOff>
      <xdr:row>41</xdr:row>
      <xdr:rowOff>66676</xdr:rowOff>
    </xdr:from>
    <xdr:to>
      <xdr:col>8</xdr:col>
      <xdr:colOff>209550</xdr:colOff>
      <xdr:row>49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8BFAE9-25B4-43D3-B0DC-5051BA770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3736" y="6724651"/>
          <a:ext cx="5149639" cy="1276350"/>
        </a:xfrm>
        <a:prstGeom prst="rect">
          <a:avLst/>
        </a:prstGeom>
        <a:ln>
          <a:solidFill>
            <a:srgbClr val="C00000"/>
          </a:solidFill>
        </a:ln>
      </xdr:spPr>
    </xdr:pic>
    <xdr:clientData/>
  </xdr:twoCellAnchor>
  <xdr:twoCellAnchor editAs="oneCell">
    <xdr:from>
      <xdr:col>8</xdr:col>
      <xdr:colOff>482598</xdr:colOff>
      <xdr:row>41</xdr:row>
      <xdr:rowOff>47626</xdr:rowOff>
    </xdr:from>
    <xdr:to>
      <xdr:col>14</xdr:col>
      <xdr:colOff>308255</xdr:colOff>
      <xdr:row>64</xdr:row>
      <xdr:rowOff>19051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51ED00-A96E-45E8-8B94-01AA2FAFD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26423" y="6705601"/>
          <a:ext cx="4912007" cy="3695700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14</xdr:col>
      <xdr:colOff>560686</xdr:colOff>
      <xdr:row>41</xdr:row>
      <xdr:rowOff>85725</xdr:rowOff>
    </xdr:from>
    <xdr:to>
      <xdr:col>21</xdr:col>
      <xdr:colOff>246439</xdr:colOff>
      <xdr:row>59</xdr:row>
      <xdr:rowOff>27959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0ADBCD6-131B-4463-BF8F-F48B36EA8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90861" y="6743700"/>
          <a:ext cx="5619828" cy="2856884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180975</xdr:colOff>
      <xdr:row>50</xdr:row>
      <xdr:rowOff>85725</xdr:rowOff>
    </xdr:from>
    <xdr:to>
      <xdr:col>8</xdr:col>
      <xdr:colOff>151691</xdr:colOff>
      <xdr:row>65</xdr:row>
      <xdr:rowOff>85725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7F482F-D7A9-DE9F-4158-62A9AA489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38450" y="8201025"/>
          <a:ext cx="5057066" cy="2428875"/>
        </a:xfrm>
        <a:prstGeom prst="rect">
          <a:avLst/>
        </a:prstGeom>
        <a:ln>
          <a:solidFill>
            <a:srgbClr val="C00000"/>
          </a:solidFill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114301</xdr:colOff>
      <xdr:row>59</xdr:row>
      <xdr:rowOff>114300</xdr:rowOff>
    </xdr:from>
    <xdr:to>
      <xdr:col>7</xdr:col>
      <xdr:colOff>584481</xdr:colOff>
      <xdr:row>85</xdr:row>
      <xdr:rowOff>84877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FEA98A-45CB-468C-B665-6DD57C436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24051" y="9667875"/>
          <a:ext cx="5556530" cy="4180627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122536</xdr:colOff>
      <xdr:row>40</xdr:row>
      <xdr:rowOff>114300</xdr:rowOff>
    </xdr:from>
    <xdr:to>
      <xdr:col>7</xdr:col>
      <xdr:colOff>656014</xdr:colOff>
      <xdr:row>58</xdr:row>
      <xdr:rowOff>56534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5B3F5E-C7A6-4563-A3BA-3EDDD0160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32286" y="6591300"/>
          <a:ext cx="5619828" cy="2856884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50326</xdr:colOff>
      <xdr:row>41</xdr:row>
      <xdr:rowOff>47624</xdr:rowOff>
    </xdr:from>
    <xdr:to>
      <xdr:col>7</xdr:col>
      <xdr:colOff>341594</xdr:colOff>
      <xdr:row>58</xdr:row>
      <xdr:rowOff>113614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E4AE57-67AF-4128-BA16-4E7F2A0F1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8201" y="6686549"/>
          <a:ext cx="5377618" cy="2818715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95251</xdr:colOff>
      <xdr:row>45</xdr:row>
      <xdr:rowOff>95250</xdr:rowOff>
    </xdr:from>
    <xdr:to>
      <xdr:col>8</xdr:col>
      <xdr:colOff>1904</xdr:colOff>
      <xdr:row>68</xdr:row>
      <xdr:rowOff>33805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22BF69-3C97-4DF5-95CF-ACF155402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26" y="7400925"/>
          <a:ext cx="5838823" cy="3662830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581026</xdr:colOff>
      <xdr:row>43</xdr:row>
      <xdr:rowOff>28575</xdr:rowOff>
    </xdr:from>
    <xdr:to>
      <xdr:col>17</xdr:col>
      <xdr:colOff>203481</xdr:colOff>
      <xdr:row>68</xdr:row>
      <xdr:rowOff>161077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FAC908-434E-4991-9866-A17AAD2B5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58426" y="6991350"/>
          <a:ext cx="5556530" cy="4180627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3</xdr:col>
      <xdr:colOff>513061</xdr:colOff>
      <xdr:row>43</xdr:row>
      <xdr:rowOff>47625</xdr:rowOff>
    </xdr:from>
    <xdr:to>
      <xdr:col>10</xdr:col>
      <xdr:colOff>198814</xdr:colOff>
      <xdr:row>60</xdr:row>
      <xdr:rowOff>151784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26F564-EB14-4082-B2E6-B189C03AD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56386" y="7010400"/>
          <a:ext cx="5619828" cy="2856884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114301</xdr:colOff>
      <xdr:row>59</xdr:row>
      <xdr:rowOff>114300</xdr:rowOff>
    </xdr:from>
    <xdr:to>
      <xdr:col>7</xdr:col>
      <xdr:colOff>584481</xdr:colOff>
      <xdr:row>85</xdr:row>
      <xdr:rowOff>84877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2B034D-326C-41D5-B17B-784D7414A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2176" y="9667875"/>
          <a:ext cx="5556530" cy="4180627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122536</xdr:colOff>
      <xdr:row>40</xdr:row>
      <xdr:rowOff>114300</xdr:rowOff>
    </xdr:from>
    <xdr:to>
      <xdr:col>7</xdr:col>
      <xdr:colOff>656014</xdr:colOff>
      <xdr:row>58</xdr:row>
      <xdr:rowOff>56534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00C2A6-0D8A-4A16-B353-C4AC5DF95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70411" y="6591300"/>
          <a:ext cx="5619828" cy="2856884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50326</xdr:colOff>
      <xdr:row>41</xdr:row>
      <xdr:rowOff>47624</xdr:rowOff>
    </xdr:from>
    <xdr:to>
      <xdr:col>7</xdr:col>
      <xdr:colOff>341594</xdr:colOff>
      <xdr:row>58</xdr:row>
      <xdr:rowOff>113614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C8D18A-2271-45BD-9C08-D04CF8A45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8201" y="6686549"/>
          <a:ext cx="5377618" cy="2818715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95251</xdr:colOff>
      <xdr:row>45</xdr:row>
      <xdr:rowOff>95250</xdr:rowOff>
    </xdr:from>
    <xdr:to>
      <xdr:col>8</xdr:col>
      <xdr:colOff>1904</xdr:colOff>
      <xdr:row>68</xdr:row>
      <xdr:rowOff>33805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A4A235-1D98-45C2-A360-F8C13874F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26" y="7381875"/>
          <a:ext cx="5840728" cy="3662830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1</xdr:row>
      <xdr:rowOff>66675</xdr:rowOff>
    </xdr:from>
    <xdr:to>
      <xdr:col>19</xdr:col>
      <xdr:colOff>196850</xdr:colOff>
      <xdr:row>36</xdr:row>
      <xdr:rowOff>154992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AEBC1A-1B63-47F6-90EE-98830A56D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0" y="228600"/>
          <a:ext cx="7931150" cy="5755692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6</xdr:col>
      <xdr:colOff>196850</xdr:colOff>
      <xdr:row>38</xdr:row>
      <xdr:rowOff>25400</xdr:rowOff>
    </xdr:from>
    <xdr:to>
      <xdr:col>19</xdr:col>
      <xdr:colOff>206375</xdr:colOff>
      <xdr:row>73</xdr:row>
      <xdr:rowOff>58657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795837-0A8E-4112-96F1-E8BF1DD98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54600" y="6178550"/>
          <a:ext cx="7934325" cy="570063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165311</xdr:colOff>
      <xdr:row>41</xdr:row>
      <xdr:rowOff>66676</xdr:rowOff>
    </xdr:from>
    <xdr:to>
      <xdr:col>8</xdr:col>
      <xdr:colOff>228600</xdr:colOff>
      <xdr:row>49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DC9659-2C6E-4A66-9622-396D4DE34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22786" y="6886576"/>
          <a:ext cx="5149639" cy="1276350"/>
        </a:xfrm>
        <a:prstGeom prst="rect">
          <a:avLst/>
        </a:prstGeom>
        <a:ln>
          <a:solidFill>
            <a:srgbClr val="C00000"/>
          </a:solidFill>
        </a:ln>
      </xdr:spPr>
    </xdr:pic>
    <xdr:clientData/>
  </xdr:twoCellAnchor>
  <xdr:twoCellAnchor editAs="oneCell">
    <xdr:from>
      <xdr:col>9</xdr:col>
      <xdr:colOff>304801</xdr:colOff>
      <xdr:row>61</xdr:row>
      <xdr:rowOff>9525</xdr:rowOff>
    </xdr:from>
    <xdr:to>
      <xdr:col>15</xdr:col>
      <xdr:colOff>774981</xdr:colOff>
      <xdr:row>86</xdr:row>
      <xdr:rowOff>142027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81B2104-DD7F-AE9C-87A2-12817B6B4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96351" y="9906000"/>
          <a:ext cx="5556530" cy="4180627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9</xdr:col>
      <xdr:colOff>341611</xdr:colOff>
      <xdr:row>42</xdr:row>
      <xdr:rowOff>133350</xdr:rowOff>
    </xdr:from>
    <xdr:to>
      <xdr:col>16</xdr:col>
      <xdr:colOff>27364</xdr:colOff>
      <xdr:row>60</xdr:row>
      <xdr:rowOff>75584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633FFA3-8A90-2FDF-EC4D-E50DEE4F3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33161" y="7115175"/>
          <a:ext cx="5619828" cy="2856884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161925</xdr:colOff>
      <xdr:row>49</xdr:row>
      <xdr:rowOff>133350</xdr:rowOff>
    </xdr:from>
    <xdr:to>
      <xdr:col>8</xdr:col>
      <xdr:colOff>132641</xdr:colOff>
      <xdr:row>64</xdr:row>
      <xdr:rowOff>133350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822D032-1FF4-4C59-9855-0FCB4EFAA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19400" y="8248650"/>
          <a:ext cx="5057066" cy="2428875"/>
        </a:xfrm>
        <a:prstGeom prst="rect">
          <a:avLst/>
        </a:prstGeom>
        <a:ln>
          <a:solidFill>
            <a:srgbClr val="C00000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114301</xdr:colOff>
      <xdr:row>41</xdr:row>
      <xdr:rowOff>76200</xdr:rowOff>
    </xdr:from>
    <xdr:to>
      <xdr:col>7</xdr:col>
      <xdr:colOff>38100</xdr:colOff>
      <xdr:row>50</xdr:row>
      <xdr:rowOff>16366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15651F-E3BA-448E-9374-893E02782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24051" y="6734175"/>
          <a:ext cx="5010149" cy="1397491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7</xdr:col>
      <xdr:colOff>402751</xdr:colOff>
      <xdr:row>41</xdr:row>
      <xdr:rowOff>95250</xdr:rowOff>
    </xdr:from>
    <xdr:to>
      <xdr:col>13</xdr:col>
      <xdr:colOff>694019</xdr:colOff>
      <xdr:row>58</xdr:row>
      <xdr:rowOff>161240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61AB19A-BC37-7FEA-D4A4-8112C27EB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8851" y="6753225"/>
          <a:ext cx="5377618" cy="2818715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171450</xdr:colOff>
      <xdr:row>50</xdr:row>
      <xdr:rowOff>152400</xdr:rowOff>
    </xdr:from>
    <xdr:to>
      <xdr:col>7</xdr:col>
      <xdr:colOff>142875</xdr:colOff>
      <xdr:row>67</xdr:row>
      <xdr:rowOff>34213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ED626CE-23B6-065E-F326-E7B1EF74D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81200" y="8267700"/>
          <a:ext cx="5057775" cy="2634538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7</xdr:col>
      <xdr:colOff>457200</xdr:colOff>
      <xdr:row>60</xdr:row>
      <xdr:rowOff>47626</xdr:rowOff>
    </xdr:from>
    <xdr:to>
      <xdr:col>13</xdr:col>
      <xdr:colOff>800100</xdr:colOff>
      <xdr:row>85</xdr:row>
      <xdr:rowOff>84365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D255F5B-6414-4696-928F-55FE3A7F8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53300" y="9782176"/>
          <a:ext cx="5429250" cy="4084864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9526</xdr:colOff>
      <xdr:row>41</xdr:row>
      <xdr:rowOff>152400</xdr:rowOff>
    </xdr:from>
    <xdr:to>
      <xdr:col>9</xdr:col>
      <xdr:colOff>595609</xdr:colOff>
      <xdr:row>54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2039AB-D791-478C-B39F-532D75149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14726" y="6810375"/>
          <a:ext cx="5672433" cy="2079625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10</xdr:col>
      <xdr:colOff>333376</xdr:colOff>
      <xdr:row>42</xdr:row>
      <xdr:rowOff>47625</xdr:rowOff>
    </xdr:from>
    <xdr:to>
      <xdr:col>16</xdr:col>
      <xdr:colOff>637189</xdr:colOff>
      <xdr:row>63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582FFB-4A44-863D-11DB-6FD2641B6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72651" y="6867525"/>
          <a:ext cx="5390163" cy="3381375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3</xdr:col>
      <xdr:colOff>28574</xdr:colOff>
      <xdr:row>55</xdr:row>
      <xdr:rowOff>152400</xdr:rowOff>
    </xdr:from>
    <xdr:to>
      <xdr:col>9</xdr:col>
      <xdr:colOff>634465</xdr:colOff>
      <xdr:row>77</xdr:row>
      <xdr:rowOff>140447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7D144F9-CF43-696E-5140-39F625B77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33774" y="9077325"/>
          <a:ext cx="5692241" cy="3550397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10</xdr:col>
      <xdr:colOff>295275</xdr:colOff>
      <xdr:row>64</xdr:row>
      <xdr:rowOff>9525</xdr:rowOff>
    </xdr:from>
    <xdr:to>
      <xdr:col>16</xdr:col>
      <xdr:colOff>638175</xdr:colOff>
      <xdr:row>89</xdr:row>
      <xdr:rowOff>46264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E077E4B-8F7F-4957-8A21-547281A5B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34550" y="10391775"/>
          <a:ext cx="5429250" cy="4084864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581026</xdr:colOff>
      <xdr:row>43</xdr:row>
      <xdr:rowOff>28575</xdr:rowOff>
    </xdr:from>
    <xdr:to>
      <xdr:col>17</xdr:col>
      <xdr:colOff>146331</xdr:colOff>
      <xdr:row>68</xdr:row>
      <xdr:rowOff>161077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D4BC97-ED6C-479E-8596-5A87EA8D3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20301" y="7010400"/>
          <a:ext cx="5556530" cy="4180627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3</xdr:col>
      <xdr:colOff>513061</xdr:colOff>
      <xdr:row>43</xdr:row>
      <xdr:rowOff>47625</xdr:rowOff>
    </xdr:from>
    <xdr:to>
      <xdr:col>10</xdr:col>
      <xdr:colOff>198814</xdr:colOff>
      <xdr:row>60</xdr:row>
      <xdr:rowOff>151784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299CF9-5D03-4525-9AC2-B8FFFA70D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8261" y="7029450"/>
          <a:ext cx="5619828" cy="2856884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114301</xdr:colOff>
      <xdr:row>59</xdr:row>
      <xdr:rowOff>114300</xdr:rowOff>
    </xdr:from>
    <xdr:to>
      <xdr:col>7</xdr:col>
      <xdr:colOff>584481</xdr:colOff>
      <xdr:row>85</xdr:row>
      <xdr:rowOff>84877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52C469-04B6-4804-8C64-930BFB865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24051" y="9686925"/>
          <a:ext cx="5556530" cy="4180627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122536</xdr:colOff>
      <xdr:row>40</xdr:row>
      <xdr:rowOff>114300</xdr:rowOff>
    </xdr:from>
    <xdr:to>
      <xdr:col>7</xdr:col>
      <xdr:colOff>656014</xdr:colOff>
      <xdr:row>58</xdr:row>
      <xdr:rowOff>56534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E53BECD-8AC7-4085-BBC2-92E73E4C9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32286" y="6610350"/>
          <a:ext cx="5619828" cy="2856884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50326</xdr:colOff>
      <xdr:row>41</xdr:row>
      <xdr:rowOff>47624</xdr:rowOff>
    </xdr:from>
    <xdr:to>
      <xdr:col>7</xdr:col>
      <xdr:colOff>341594</xdr:colOff>
      <xdr:row>58</xdr:row>
      <xdr:rowOff>113614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6CDC47-8B60-431D-94EF-95B67B938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0076" y="6705599"/>
          <a:ext cx="5377618" cy="2818715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95251</xdr:colOff>
      <xdr:row>45</xdr:row>
      <xdr:rowOff>95250</xdr:rowOff>
    </xdr:from>
    <xdr:to>
      <xdr:col>7</xdr:col>
      <xdr:colOff>847724</xdr:colOff>
      <xdr:row>68</xdr:row>
      <xdr:rowOff>33805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8F0A4A-F4DA-47FA-8C91-32979808F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1" y="7400925"/>
          <a:ext cx="5838823" cy="3662830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581026</xdr:colOff>
      <xdr:row>43</xdr:row>
      <xdr:rowOff>28575</xdr:rowOff>
    </xdr:from>
    <xdr:to>
      <xdr:col>17</xdr:col>
      <xdr:colOff>203481</xdr:colOff>
      <xdr:row>68</xdr:row>
      <xdr:rowOff>161077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63406B-0501-49F5-A68C-275CD6776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58426" y="6991350"/>
          <a:ext cx="5556530" cy="4180627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3</xdr:col>
      <xdr:colOff>513061</xdr:colOff>
      <xdr:row>43</xdr:row>
      <xdr:rowOff>47625</xdr:rowOff>
    </xdr:from>
    <xdr:to>
      <xdr:col>10</xdr:col>
      <xdr:colOff>198814</xdr:colOff>
      <xdr:row>60</xdr:row>
      <xdr:rowOff>151784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0F6F64F-C9CA-4936-BA2D-8F82EFF30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56386" y="7010400"/>
          <a:ext cx="5619828" cy="2856884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ScottMadden">
      <a:dk1>
        <a:sysClr val="windowText" lastClr="000000"/>
      </a:dk1>
      <a:lt1>
        <a:sysClr val="window" lastClr="FFFFFF"/>
      </a:lt1>
      <a:dk2>
        <a:srgbClr val="5F6062"/>
      </a:dk2>
      <a:lt2>
        <a:srgbClr val="5F6062"/>
      </a:lt2>
      <a:accent1>
        <a:srgbClr val="5F6062"/>
      </a:accent1>
      <a:accent2>
        <a:srgbClr val="26BCD7"/>
      </a:accent2>
      <a:accent3>
        <a:srgbClr val="EE9834"/>
      </a:accent3>
      <a:accent4>
        <a:srgbClr val="62BB46"/>
      </a:accent4>
      <a:accent5>
        <a:srgbClr val="C33A32"/>
      </a:accent5>
      <a:accent6>
        <a:srgbClr val="FDBA12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178BD-E416-4579-97AE-30D7A8351CC1}">
  <sheetPr codeName="Sheet1">
    <tabColor theme="1" tint="0.34998626667073579"/>
  </sheetPr>
  <dimension ref="A1:H38"/>
  <sheetViews>
    <sheetView showGridLines="0" tabSelected="1" zoomScaleNormal="100" workbookViewId="0">
      <selection activeCell="J10" sqref="J10"/>
    </sheetView>
  </sheetViews>
  <sheetFormatPr defaultColWidth="16.7109375" defaultRowHeight="13.1" x14ac:dyDescent="0.25"/>
  <cols>
    <col min="1" max="1" width="49.42578125" style="14" customWidth="1"/>
  </cols>
  <sheetData>
    <row r="1" spans="1:8" x14ac:dyDescent="0.25">
      <c r="A1" s="168" t="s">
        <v>236</v>
      </c>
      <c r="B1" s="159" t="s">
        <v>136</v>
      </c>
      <c r="C1" s="159" t="s">
        <v>138</v>
      </c>
      <c r="D1" s="159" t="s">
        <v>139</v>
      </c>
      <c r="E1" s="159" t="s">
        <v>140</v>
      </c>
      <c r="F1" s="160" t="s">
        <v>141</v>
      </c>
    </row>
    <row r="2" spans="1:8" x14ac:dyDescent="0.25">
      <c r="A2" s="179" t="s">
        <v>172</v>
      </c>
      <c r="B2" s="161" t="s">
        <v>137</v>
      </c>
      <c r="C2" s="161" t="s">
        <v>137</v>
      </c>
      <c r="D2" s="161" t="s">
        <v>137</v>
      </c>
      <c r="E2" s="161" t="s">
        <v>137</v>
      </c>
      <c r="F2" s="162" t="s">
        <v>137</v>
      </c>
    </row>
    <row r="4" spans="1:8" x14ac:dyDescent="0.25">
      <c r="A4" s="14" t="s">
        <v>135</v>
      </c>
      <c r="B4" s="31">
        <f>SUM(F12:F13)</f>
        <v>3.2000000000000003E-4</v>
      </c>
      <c r="C4" s="31">
        <f>SUM(F16:F17)</f>
        <v>5.0000000000000001E-4</v>
      </c>
      <c r="D4" s="31">
        <f>SUM(F20:F21)</f>
        <v>5.0000000000000002E-5</v>
      </c>
      <c r="E4" s="31">
        <f>SUM(F24:F25)</f>
        <v>0</v>
      </c>
      <c r="F4" s="724">
        <f>SUM(B4:E4)</f>
        <v>8.7000000000000001E-4</v>
      </c>
      <c r="G4" s="759"/>
      <c r="H4" s="759"/>
    </row>
    <row r="5" spans="1:8" x14ac:dyDescent="0.25">
      <c r="A5" s="14" t="s">
        <v>134</v>
      </c>
      <c r="B5" s="31">
        <f>SUM(G12:G13)</f>
        <v>1.7700000000000001E-3</v>
      </c>
      <c r="C5" s="31">
        <f>SUM(G16:G17)</f>
        <v>8.9999999999999998E-4</v>
      </c>
      <c r="D5" s="31">
        <f>SUM(G20:G21)</f>
        <v>5.0000000000000002E-5</v>
      </c>
      <c r="E5" s="31">
        <f>SUM(G24:G25)</f>
        <v>0</v>
      </c>
      <c r="F5" s="725">
        <f>SUM(B5:E5)</f>
        <v>2.7200000000000002E-3</v>
      </c>
      <c r="G5" s="759"/>
      <c r="H5" s="759"/>
    </row>
    <row r="8" spans="1:8" x14ac:dyDescent="0.25">
      <c r="A8" s="180" t="str">
        <f>Company_Filing</f>
        <v>2025 MEEIA Filing</v>
      </c>
      <c r="B8" s="755" t="s">
        <v>176</v>
      </c>
      <c r="C8" s="756"/>
      <c r="D8" s="756"/>
      <c r="E8" s="166"/>
      <c r="F8" s="757" t="s">
        <v>175</v>
      </c>
      <c r="G8" s="758"/>
    </row>
    <row r="9" spans="1:8" x14ac:dyDescent="0.25">
      <c r="A9" s="181" t="s">
        <v>142</v>
      </c>
      <c r="B9" s="164" t="s">
        <v>1</v>
      </c>
      <c r="C9" s="165" t="s">
        <v>2</v>
      </c>
      <c r="D9" s="165" t="s">
        <v>3</v>
      </c>
      <c r="E9" s="167"/>
      <c r="F9" s="165" t="s">
        <v>2</v>
      </c>
      <c r="G9" s="67" t="s">
        <v>3</v>
      </c>
    </row>
    <row r="11" spans="1:8" x14ac:dyDescent="0.25">
      <c r="A11" s="182" t="s">
        <v>4</v>
      </c>
      <c r="B11" s="11"/>
      <c r="C11" s="11"/>
      <c r="D11" s="11"/>
      <c r="F11" s="11"/>
      <c r="G11" s="11"/>
    </row>
    <row r="12" spans="1:8" x14ac:dyDescent="0.25">
      <c r="A12" s="183" t="s">
        <v>234</v>
      </c>
      <c r="B12" s="4">
        <f>SUM(C12:D12)</f>
        <v>3949038.8563636364</v>
      </c>
      <c r="C12" s="4">
        <f>'1. 2025 Costs &amp; kWh Savings'!E18</f>
        <v>1307468.86746367</v>
      </c>
      <c r="D12" s="4">
        <f>'1. 2025 Costs &amp; kWh Savings'!F18</f>
        <v>2641569.9888999662</v>
      </c>
      <c r="F12" s="30">
        <f>ROUND(C12/C$30,5)</f>
        <v>7.5000000000000002E-4</v>
      </c>
      <c r="G12" s="30">
        <f>ROUND(D12/D$30,5)</f>
        <v>1.1900000000000001E-3</v>
      </c>
    </row>
    <row r="13" spans="1:8" x14ac:dyDescent="0.25">
      <c r="A13" s="183" t="s">
        <v>275</v>
      </c>
      <c r="B13" s="16">
        <f>SUM(C13:D13)</f>
        <v>532132.96511227044</v>
      </c>
      <c r="C13" s="552">
        <f>'1A. 2022-2024 Reconciliation'!H42</f>
        <v>-749025.8724309277</v>
      </c>
      <c r="D13" s="552">
        <f>'1A. 2022-2024 Reconciliation'!H88</f>
        <v>1281158.8375431981</v>
      </c>
      <c r="F13" s="30">
        <f>ROUND(C13/C$30,5)</f>
        <v>-4.2999999999999999E-4</v>
      </c>
      <c r="G13" s="30">
        <f>ROUND(D13/D$30,5)</f>
        <v>5.8E-4</v>
      </c>
    </row>
    <row r="14" spans="1:8" x14ac:dyDescent="0.25">
      <c r="F14" s="31"/>
      <c r="G14" s="31"/>
    </row>
    <row r="15" spans="1:8" x14ac:dyDescent="0.25">
      <c r="A15" s="182" t="s">
        <v>5</v>
      </c>
      <c r="B15" s="11"/>
      <c r="C15" s="11"/>
      <c r="D15" s="11"/>
      <c r="F15" s="32"/>
      <c r="G15" s="32"/>
    </row>
    <row r="16" spans="1:8" x14ac:dyDescent="0.25">
      <c r="A16" s="183" t="s">
        <v>235</v>
      </c>
      <c r="B16" s="4">
        <f>SUM(C16:D16)</f>
        <v>2282389.227580958</v>
      </c>
      <c r="C16" s="4">
        <f>'2. Summary of TD'!L57</f>
        <v>656000.9839734413</v>
      </c>
      <c r="D16" s="4">
        <f>'2. Summary of TD'!L117</f>
        <v>1626388.2436075166</v>
      </c>
      <c r="F16" s="30">
        <f>ROUND(C16/C$30,5)</f>
        <v>3.6999999999999999E-4</v>
      </c>
      <c r="G16" s="30">
        <f>ROUND(D16/D$30,5)</f>
        <v>7.3999999999999999E-4</v>
      </c>
    </row>
    <row r="17" spans="1:7" x14ac:dyDescent="0.25">
      <c r="A17" s="183" t="s">
        <v>274</v>
      </c>
      <c r="B17" s="4">
        <f>SUM(C17:D17)</f>
        <v>573185.23375706701</v>
      </c>
      <c r="C17" s="4">
        <f>'1A. 2022-2024 Reconciliation'!P42</f>
        <v>227480.05252725611</v>
      </c>
      <c r="D17" s="4">
        <f>'1A. 2022-2024 Reconciliation'!P88</f>
        <v>345705.18122981087</v>
      </c>
      <c r="F17" s="30">
        <f>ROUND(C17/C$30,5)</f>
        <v>1.2999999999999999E-4</v>
      </c>
      <c r="G17" s="30">
        <f>ROUND(D17/D$30,5)</f>
        <v>1.6000000000000001E-4</v>
      </c>
    </row>
    <row r="18" spans="1:7" x14ac:dyDescent="0.25">
      <c r="F18" s="31"/>
      <c r="G18" s="31"/>
    </row>
    <row r="19" spans="1:7" x14ac:dyDescent="0.25">
      <c r="A19" s="182" t="s">
        <v>6</v>
      </c>
      <c r="B19" s="11"/>
      <c r="C19" s="11"/>
      <c r="D19" s="11"/>
      <c r="F19" s="32"/>
      <c r="G19" s="32"/>
    </row>
    <row r="20" spans="1:7" x14ac:dyDescent="0.25">
      <c r="A20" s="183" t="s">
        <v>283</v>
      </c>
      <c r="B20" s="4">
        <f>SUM(C20:D20)</f>
        <v>0</v>
      </c>
      <c r="C20" s="4">
        <f>'3. EO Incentive'!$B$10</f>
        <v>0</v>
      </c>
      <c r="D20" s="4">
        <f>'3. EO Incentive'!$B$11</f>
        <v>0</v>
      </c>
      <c r="F20" s="30">
        <f>ROUND(C20/C$30,5)</f>
        <v>0</v>
      </c>
      <c r="G20" s="30">
        <f>ROUND(D20/D$30,5)</f>
        <v>0</v>
      </c>
    </row>
    <row r="21" spans="1:7" x14ac:dyDescent="0.25">
      <c r="A21" s="183" t="s">
        <v>282</v>
      </c>
      <c r="B21" s="16">
        <f>SUM(C21:D21)</f>
        <v>201745.9519334145</v>
      </c>
      <c r="C21" s="16">
        <f>'1A. 2022-2024 Reconciliation'!X42</f>
        <v>91291.017168065009</v>
      </c>
      <c r="D21" s="16">
        <f>'1A. 2022-2024 Reconciliation'!X88</f>
        <v>110454.93476534951</v>
      </c>
      <c r="F21" s="30">
        <f>ROUND(C21/C$30,5)</f>
        <v>5.0000000000000002E-5</v>
      </c>
      <c r="G21" s="30">
        <f>ROUND(D21/D$30,5)</f>
        <v>5.0000000000000002E-5</v>
      </c>
    </row>
    <row r="22" spans="1:7" x14ac:dyDescent="0.25">
      <c r="F22" s="31"/>
      <c r="G22" s="31"/>
    </row>
    <row r="23" spans="1:7" x14ac:dyDescent="0.25">
      <c r="A23" s="182" t="s">
        <v>7</v>
      </c>
      <c r="B23" s="11"/>
      <c r="C23" s="11"/>
      <c r="D23" s="11"/>
      <c r="F23" s="32"/>
      <c r="G23" s="32"/>
    </row>
    <row r="24" spans="1:7" x14ac:dyDescent="0.25">
      <c r="A24" s="183" t="s">
        <v>8</v>
      </c>
      <c r="B24" s="4">
        <f>SUM(C24:D24)</f>
        <v>0</v>
      </c>
      <c r="C24" s="16">
        <v>0</v>
      </c>
      <c r="D24" s="16">
        <v>0</v>
      </c>
      <c r="F24" s="30">
        <f>ROUND(C24/C$30,5)</f>
        <v>0</v>
      </c>
      <c r="G24" s="30">
        <f>ROUND(D24/D$30,5)</f>
        <v>0</v>
      </c>
    </row>
    <row r="25" spans="1:7" x14ac:dyDescent="0.25">
      <c r="A25" s="183" t="s">
        <v>9</v>
      </c>
      <c r="B25" s="16">
        <f>SUM(C25:D25)</f>
        <v>0</v>
      </c>
      <c r="C25" s="16">
        <v>0</v>
      </c>
      <c r="D25" s="16">
        <v>0</v>
      </c>
      <c r="F25" s="30">
        <f>ROUND(C25/C$30,5)</f>
        <v>0</v>
      </c>
      <c r="G25" s="30">
        <f>ROUND(D25/D$30,5)</f>
        <v>0</v>
      </c>
    </row>
    <row r="26" spans="1:7" x14ac:dyDescent="0.25">
      <c r="A26" s="183"/>
      <c r="F26" s="29"/>
      <c r="G26" s="29"/>
    </row>
    <row r="27" spans="1:7" ht="13.75" thickBot="1" x14ac:dyDescent="0.3">
      <c r="A27" s="184" t="s">
        <v>10</v>
      </c>
      <c r="B27" s="7">
        <f>SUM(B12:B25)</f>
        <v>7538492.2347473474</v>
      </c>
      <c r="C27" s="7">
        <f>SUM(C12:C25)</f>
        <v>1533215.0487015047</v>
      </c>
      <c r="D27" s="7">
        <f>SUM(D12:D25)</f>
        <v>6005277.1860458413</v>
      </c>
      <c r="F27" s="33">
        <f>SUM(F12:F25)</f>
        <v>8.7000000000000011E-4</v>
      </c>
      <c r="G27" s="33">
        <f>SUM(G12:G25)</f>
        <v>2.7200000000000002E-3</v>
      </c>
    </row>
    <row r="28" spans="1:7" ht="13.75" thickTop="1" x14ac:dyDescent="0.25"/>
    <row r="30" spans="1:7" x14ac:dyDescent="0.25">
      <c r="A30" s="185" t="s">
        <v>83</v>
      </c>
      <c r="B30" s="86">
        <f>C30+D30</f>
        <v>3963796553.694468</v>
      </c>
      <c r="C30" s="154">
        <f>+'9. Sales Summary'!D4</f>
        <v>1752169810.6883664</v>
      </c>
      <c r="D30" s="154">
        <f>SUM('9. Sales Summary'!D5:D5)</f>
        <v>2211626743.0061016</v>
      </c>
    </row>
    <row r="31" spans="1:7" x14ac:dyDescent="0.25">
      <c r="A31" s="186" t="s">
        <v>11</v>
      </c>
    </row>
    <row r="33" spans="1:7" x14ac:dyDescent="0.25">
      <c r="A33" s="180" t="s">
        <v>12</v>
      </c>
      <c r="B33" s="64" t="s">
        <v>13</v>
      </c>
      <c r="C33" s="64" t="s">
        <v>14</v>
      </c>
      <c r="D33" s="64" t="s">
        <v>13</v>
      </c>
      <c r="E33" s="65"/>
      <c r="F33" s="63"/>
      <c r="G33" s="63"/>
    </row>
    <row r="34" spans="1:7" x14ac:dyDescent="0.25">
      <c r="A34" s="181" t="s">
        <v>15</v>
      </c>
      <c r="B34" s="66" t="s">
        <v>16</v>
      </c>
      <c r="C34" s="66" t="s">
        <v>17</v>
      </c>
      <c r="D34" s="66" t="s">
        <v>18</v>
      </c>
      <c r="E34" s="67"/>
      <c r="F34" s="63"/>
      <c r="G34" s="63"/>
    </row>
    <row r="36" spans="1:7" x14ac:dyDescent="0.25">
      <c r="A36" s="187" t="s">
        <v>19</v>
      </c>
      <c r="B36" s="134">
        <v>1072.9268763652901</v>
      </c>
      <c r="C36" s="68">
        <f>+F27</f>
        <v>8.7000000000000011E-4</v>
      </c>
      <c r="D36" s="69">
        <f>+B36*C36</f>
        <v>0.93344638243780254</v>
      </c>
      <c r="F36" s="41"/>
      <c r="G36" s="36"/>
    </row>
    <row r="37" spans="1:7" x14ac:dyDescent="0.25">
      <c r="A37" s="187" t="s">
        <v>91</v>
      </c>
      <c r="B37" s="135">
        <v>1543.2989064211126</v>
      </c>
      <c r="C37" s="71">
        <f>+$G$27</f>
        <v>2.7200000000000002E-3</v>
      </c>
      <c r="D37" s="70">
        <f t="shared" ref="D37:D38" si="0">+B37*C37</f>
        <v>4.1977730254654269</v>
      </c>
      <c r="F37" s="41"/>
      <c r="G37" s="36"/>
    </row>
    <row r="38" spans="1:7" x14ac:dyDescent="0.25">
      <c r="A38" s="187" t="s">
        <v>92</v>
      </c>
      <c r="B38" s="136">
        <v>31421.116514320536</v>
      </c>
      <c r="C38" s="71">
        <f>+$G$27</f>
        <v>2.7200000000000002E-3</v>
      </c>
      <c r="D38" s="70">
        <f t="shared" si="0"/>
        <v>85.465436918951866</v>
      </c>
      <c r="F38" s="41"/>
      <c r="G38" s="36"/>
    </row>
  </sheetData>
  <mergeCells count="3">
    <mergeCell ref="B8:D8"/>
    <mergeCell ref="F8:G8"/>
    <mergeCell ref="G4:H5"/>
  </mergeCells>
  <phoneticPr fontId="30" type="noConversion"/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7E6F0-D1E8-4227-AF43-EE797257FFE2}">
  <sheetPr codeName="Sheet9"/>
  <dimension ref="A1:BB41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12.7109375" defaultRowHeight="13.1" x14ac:dyDescent="0.25"/>
  <cols>
    <col min="1" max="1" width="30.7109375" style="22" customWidth="1"/>
    <col min="2" max="2" width="12.7109375" style="22"/>
    <col min="3" max="16384" width="12.7109375" style="17"/>
  </cols>
  <sheetData>
    <row r="1" spans="1:54" x14ac:dyDescent="0.25">
      <c r="A1" s="168" t="str">
        <f>Company_Filing</f>
        <v>2025 MEEIA Filing</v>
      </c>
      <c r="B1" s="272"/>
      <c r="C1" s="760" t="s">
        <v>226</v>
      </c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760" t="s">
        <v>227</v>
      </c>
      <c r="P1" s="760"/>
      <c r="Q1" s="760"/>
      <c r="R1" s="760"/>
      <c r="S1" s="760"/>
      <c r="T1" s="760"/>
      <c r="U1" s="760"/>
      <c r="V1" s="760"/>
      <c r="W1" s="760"/>
      <c r="X1" s="760"/>
      <c r="Y1" s="760"/>
      <c r="Z1" s="760"/>
      <c r="AA1" s="760" t="s">
        <v>244</v>
      </c>
      <c r="AB1" s="760"/>
      <c r="AC1" s="760"/>
      <c r="AD1" s="760"/>
      <c r="AE1" s="760"/>
      <c r="AF1" s="760"/>
      <c r="AG1" s="760"/>
      <c r="AH1" s="760"/>
      <c r="AI1" s="760"/>
      <c r="AJ1" s="760"/>
      <c r="AK1" s="760"/>
      <c r="AL1" s="760"/>
      <c r="AM1" s="760" t="s">
        <v>245</v>
      </c>
      <c r="AN1" s="760"/>
      <c r="AO1" s="760"/>
      <c r="AP1" s="760"/>
      <c r="AQ1" s="760"/>
      <c r="AR1" s="760"/>
      <c r="AS1" s="760"/>
      <c r="AT1" s="760"/>
      <c r="AU1" s="760"/>
      <c r="AV1" s="760"/>
      <c r="AW1" s="760"/>
      <c r="AX1" s="760"/>
      <c r="AY1" s="313" t="s">
        <v>221</v>
      </c>
      <c r="AZ1" s="313" t="s">
        <v>221</v>
      </c>
      <c r="BA1" s="313" t="s">
        <v>221</v>
      </c>
      <c r="BB1" s="389" t="s">
        <v>222</v>
      </c>
    </row>
    <row r="2" spans="1:54" x14ac:dyDescent="0.25">
      <c r="A2" s="197" t="s">
        <v>186</v>
      </c>
      <c r="B2" s="273"/>
      <c r="C2" s="215">
        <v>44562</v>
      </c>
      <c r="D2" s="215">
        <v>44593</v>
      </c>
      <c r="E2" s="215">
        <v>44621</v>
      </c>
      <c r="F2" s="215">
        <v>44652</v>
      </c>
      <c r="G2" s="215">
        <v>44682</v>
      </c>
      <c r="H2" s="215">
        <v>44713</v>
      </c>
      <c r="I2" s="215">
        <v>44743</v>
      </c>
      <c r="J2" s="215">
        <v>44774</v>
      </c>
      <c r="K2" s="215">
        <v>44805</v>
      </c>
      <c r="L2" s="215">
        <v>44835</v>
      </c>
      <c r="M2" s="215">
        <v>44866</v>
      </c>
      <c r="N2" s="215">
        <v>44896</v>
      </c>
      <c r="O2" s="215">
        <v>44927</v>
      </c>
      <c r="P2" s="215">
        <v>44958</v>
      </c>
      <c r="Q2" s="215">
        <v>44986</v>
      </c>
      <c r="R2" s="215">
        <v>45017</v>
      </c>
      <c r="S2" s="215">
        <v>45047</v>
      </c>
      <c r="T2" s="215">
        <v>45078</v>
      </c>
      <c r="U2" s="215">
        <v>45108</v>
      </c>
      <c r="V2" s="215">
        <v>45139</v>
      </c>
      <c r="W2" s="215">
        <v>45170</v>
      </c>
      <c r="X2" s="215">
        <v>45200</v>
      </c>
      <c r="Y2" s="215">
        <v>45231</v>
      </c>
      <c r="Z2" s="215">
        <v>45261</v>
      </c>
      <c r="AA2" s="215">
        <v>45292</v>
      </c>
      <c r="AB2" s="215">
        <v>45323</v>
      </c>
      <c r="AC2" s="215">
        <v>45352</v>
      </c>
      <c r="AD2" s="215">
        <v>45383</v>
      </c>
      <c r="AE2" s="215">
        <v>45413</v>
      </c>
      <c r="AF2" s="215">
        <v>45444</v>
      </c>
      <c r="AG2" s="215">
        <v>45474</v>
      </c>
      <c r="AH2" s="215">
        <v>45505</v>
      </c>
      <c r="AI2" s="215">
        <v>45536</v>
      </c>
      <c r="AJ2" s="215">
        <v>45566</v>
      </c>
      <c r="AK2" s="215">
        <v>45597</v>
      </c>
      <c r="AL2" s="215">
        <v>45627</v>
      </c>
      <c r="AM2" s="215">
        <v>45658</v>
      </c>
      <c r="AN2" s="215">
        <v>45689</v>
      </c>
      <c r="AO2" s="215">
        <v>45717</v>
      </c>
      <c r="AP2" s="215">
        <v>45748</v>
      </c>
      <c r="AQ2" s="215">
        <v>45778</v>
      </c>
      <c r="AR2" s="215">
        <v>45809</v>
      </c>
      <c r="AS2" s="215">
        <v>45839</v>
      </c>
      <c r="AT2" s="215">
        <v>45870</v>
      </c>
      <c r="AU2" s="215">
        <v>45901</v>
      </c>
      <c r="AV2" s="215">
        <v>45931</v>
      </c>
      <c r="AW2" s="215">
        <v>45962</v>
      </c>
      <c r="AX2" s="215">
        <v>45992</v>
      </c>
      <c r="AY2" s="402" t="s">
        <v>182</v>
      </c>
      <c r="AZ2" s="402" t="s">
        <v>180</v>
      </c>
      <c r="BA2" s="390" t="s">
        <v>181</v>
      </c>
      <c r="BB2" s="390" t="s">
        <v>246</v>
      </c>
    </row>
    <row r="4" spans="1:54" x14ac:dyDescent="0.25">
      <c r="A4" s="353" t="s">
        <v>229</v>
      </c>
      <c r="B4" s="271" t="s">
        <v>69</v>
      </c>
    </row>
    <row r="6" spans="1:54" x14ac:dyDescent="0.25">
      <c r="A6" s="18">
        <v>44562</v>
      </c>
      <c r="B6" s="96">
        <f>'6. 2022 Installed kWh Savings'!B6+'6. 2022 Installed kWh Savings'!C6</f>
        <v>1066979</v>
      </c>
      <c r="C6" s="361">
        <f>$B6*(SUMPRODUCT(C$30:C$32,$C$26:$C$28))/2</f>
        <v>53979.534588999995</v>
      </c>
      <c r="D6" s="361">
        <f t="shared" ref="D6:AA17" si="0">$B6*(SUMPRODUCT(D$30:D$32,$C$26:$C$28))</f>
        <v>94364.689739000009</v>
      </c>
      <c r="E6" s="361">
        <f t="shared" si="0"/>
        <v>99099.942540999997</v>
      </c>
      <c r="F6" s="361">
        <f t="shared" si="0"/>
        <v>90314.437454999992</v>
      </c>
      <c r="G6" s="361">
        <f t="shared" si="0"/>
        <v>84710.663746999999</v>
      </c>
      <c r="H6" s="361">
        <f t="shared" si="0"/>
        <v>73096.597332000005</v>
      </c>
      <c r="I6" s="361">
        <f t="shared" si="0"/>
        <v>72409.462855999998</v>
      </c>
      <c r="J6" s="361">
        <f t="shared" si="0"/>
        <v>75291.373135000002</v>
      </c>
      <c r="K6" s="361">
        <f t="shared" si="0"/>
        <v>78734.514367999989</v>
      </c>
      <c r="L6" s="361">
        <f t="shared" si="0"/>
        <v>90201.337681000005</v>
      </c>
      <c r="M6" s="361">
        <f t="shared" si="0"/>
        <v>95900.072520000002</v>
      </c>
      <c r="N6" s="362">
        <f t="shared" si="0"/>
        <v>104896.839448</v>
      </c>
      <c r="O6" s="375">
        <f t="shared" si="0"/>
        <v>107959.06917799999</v>
      </c>
      <c r="P6" s="376">
        <f t="shared" si="0"/>
        <v>94364.689739000009</v>
      </c>
      <c r="Q6" s="376">
        <f t="shared" si="0"/>
        <v>99099.942540999997</v>
      </c>
      <c r="R6" s="376">
        <f t="shared" si="0"/>
        <v>90314.437454999992</v>
      </c>
      <c r="S6" s="376">
        <f t="shared" si="0"/>
        <v>84710.663746999999</v>
      </c>
      <c r="T6" s="376">
        <f t="shared" si="0"/>
        <v>73096.597332000005</v>
      </c>
      <c r="U6" s="376">
        <f t="shared" si="0"/>
        <v>72409.462855999998</v>
      </c>
      <c r="V6" s="376">
        <f t="shared" si="0"/>
        <v>75291.373135000002</v>
      </c>
      <c r="W6" s="376">
        <f t="shared" si="0"/>
        <v>78734.514367999989</v>
      </c>
      <c r="X6" s="376">
        <f t="shared" si="0"/>
        <v>90201.337681000005</v>
      </c>
      <c r="Y6" s="376">
        <f t="shared" si="0"/>
        <v>95900.072520000002</v>
      </c>
      <c r="Z6" s="377">
        <f t="shared" si="0"/>
        <v>104896.839448</v>
      </c>
      <c r="AA6" s="531">
        <f t="shared" si="0"/>
        <v>107959.06917799999</v>
      </c>
      <c r="AB6" s="361">
        <f t="shared" ref="AA6:AP17" si="1">$B6*(SUMPRODUCT(AB$30:AB$32,$C$26:$C$28))</f>
        <v>94364.689739000009</v>
      </c>
      <c r="AC6" s="361">
        <f t="shared" si="1"/>
        <v>99099.942540999997</v>
      </c>
      <c r="AD6" s="361">
        <f t="shared" si="1"/>
        <v>90314.437454999992</v>
      </c>
      <c r="AE6" s="361">
        <f t="shared" si="1"/>
        <v>84710.663746999999</v>
      </c>
      <c r="AF6" s="361">
        <f t="shared" si="1"/>
        <v>73096.597332000005</v>
      </c>
      <c r="AG6" s="361">
        <f t="shared" si="1"/>
        <v>72409.462855999998</v>
      </c>
      <c r="AH6" s="361">
        <f t="shared" si="1"/>
        <v>75291.373135000002</v>
      </c>
      <c r="AI6" s="361">
        <f t="shared" si="1"/>
        <v>78734.514367999989</v>
      </c>
      <c r="AJ6" s="361">
        <f t="shared" si="1"/>
        <v>90201.337681000005</v>
      </c>
      <c r="AK6" s="361">
        <f t="shared" si="1"/>
        <v>95900.072520000002</v>
      </c>
      <c r="AL6" s="362">
        <f t="shared" si="1"/>
        <v>104896.839448</v>
      </c>
      <c r="AM6" s="375">
        <f t="shared" si="1"/>
        <v>107959.06917799999</v>
      </c>
      <c r="AN6" s="376">
        <f t="shared" si="1"/>
        <v>94364.689739000009</v>
      </c>
      <c r="AO6" s="376">
        <f t="shared" si="1"/>
        <v>99099.942540999997</v>
      </c>
      <c r="AP6" s="376">
        <f t="shared" si="1"/>
        <v>90314.437454999992</v>
      </c>
      <c r="AQ6" s="376">
        <f t="shared" ref="AM6:AX17" si="2">$B6*(SUMPRODUCT(AQ$30:AQ$32,$C$26:$C$28))</f>
        <v>84710.663746999999</v>
      </c>
      <c r="AR6" s="376">
        <f t="shared" si="2"/>
        <v>73096.597332000005</v>
      </c>
      <c r="AS6" s="376">
        <f t="shared" si="2"/>
        <v>72409.462855999998</v>
      </c>
      <c r="AT6" s="376">
        <f t="shared" si="2"/>
        <v>75291.373135000002</v>
      </c>
      <c r="AU6" s="376">
        <f t="shared" si="2"/>
        <v>78734.514367999989</v>
      </c>
      <c r="AV6" s="376">
        <f t="shared" si="2"/>
        <v>90201.337681000005</v>
      </c>
      <c r="AW6" s="376">
        <f t="shared" si="2"/>
        <v>95900.072520000002</v>
      </c>
      <c r="AX6" s="377">
        <f t="shared" si="2"/>
        <v>104896.839448</v>
      </c>
      <c r="AY6" s="391">
        <f>SUM(C6:N6)</f>
        <v>1012999.4654110001</v>
      </c>
      <c r="AZ6" s="410">
        <f>SUM(O6:Z6)</f>
        <v>1066979</v>
      </c>
      <c r="BA6" s="410">
        <f>SUM(AA6:AL6)</f>
        <v>1066979</v>
      </c>
      <c r="BB6" s="532">
        <f>SUM(AM6:AX6)</f>
        <v>1066979</v>
      </c>
    </row>
    <row r="7" spans="1:54" x14ac:dyDescent="0.25">
      <c r="A7" s="18">
        <v>44593</v>
      </c>
      <c r="B7" s="97">
        <f>'6. 2022 Installed kWh Savings'!B7+'6. 2022 Installed kWh Savings'!C7</f>
        <v>811185.82000000007</v>
      </c>
      <c r="C7" s="364"/>
      <c r="D7" s="364">
        <f>$B7*(SUMPRODUCT(D$30:D$32,$C$26:$C$28))/2</f>
        <v>35871.042553310006</v>
      </c>
      <c r="E7" s="364">
        <f t="shared" ref="E7:N7" si="3">$B7*(SUMPRODUCT(E$30:E$32,$C$26:$C$28))</f>
        <v>75342.127775780013</v>
      </c>
      <c r="F7" s="364">
        <f t="shared" si="3"/>
        <v>68662.823733900004</v>
      </c>
      <c r="G7" s="364">
        <f t="shared" si="3"/>
        <v>64402.475807260009</v>
      </c>
      <c r="H7" s="364">
        <f t="shared" si="3"/>
        <v>55572.718156560004</v>
      </c>
      <c r="I7" s="364">
        <f t="shared" si="3"/>
        <v>55050.314488479999</v>
      </c>
      <c r="J7" s="364">
        <f t="shared" si="3"/>
        <v>57241.327388300007</v>
      </c>
      <c r="K7" s="364">
        <f t="shared" si="3"/>
        <v>59859.024029439999</v>
      </c>
      <c r="L7" s="364">
        <f t="shared" si="3"/>
        <v>68576.838036980014</v>
      </c>
      <c r="M7" s="364">
        <f t="shared" si="3"/>
        <v>72909.381501600001</v>
      </c>
      <c r="N7" s="365">
        <f t="shared" si="3"/>
        <v>79749.300335840002</v>
      </c>
      <c r="O7" s="378">
        <f t="shared" si="0"/>
        <v>82077.403639240001</v>
      </c>
      <c r="P7" s="379">
        <f t="shared" si="0"/>
        <v>71742.085106620012</v>
      </c>
      <c r="Q7" s="379">
        <f t="shared" si="0"/>
        <v>75342.127775780013</v>
      </c>
      <c r="R7" s="379">
        <f t="shared" si="0"/>
        <v>68662.823733900004</v>
      </c>
      <c r="S7" s="379">
        <f t="shared" si="0"/>
        <v>64402.475807260009</v>
      </c>
      <c r="T7" s="379">
        <f t="shared" si="0"/>
        <v>55572.718156560004</v>
      </c>
      <c r="U7" s="379">
        <f t="shared" si="0"/>
        <v>55050.314488479999</v>
      </c>
      <c r="V7" s="379">
        <f t="shared" si="0"/>
        <v>57241.327388300007</v>
      </c>
      <c r="W7" s="379">
        <f t="shared" si="0"/>
        <v>59859.024029439999</v>
      </c>
      <c r="X7" s="379">
        <f t="shared" si="0"/>
        <v>68576.838036980014</v>
      </c>
      <c r="Y7" s="379">
        <f t="shared" si="0"/>
        <v>72909.381501600001</v>
      </c>
      <c r="Z7" s="380">
        <f t="shared" si="0"/>
        <v>79749.300335840002</v>
      </c>
      <c r="AA7" s="363">
        <f t="shared" si="1"/>
        <v>82077.403639240001</v>
      </c>
      <c r="AB7" s="364">
        <f t="shared" si="1"/>
        <v>71742.085106620012</v>
      </c>
      <c r="AC7" s="364">
        <f t="shared" si="1"/>
        <v>75342.127775780013</v>
      </c>
      <c r="AD7" s="364">
        <f t="shared" si="1"/>
        <v>68662.823733900004</v>
      </c>
      <c r="AE7" s="364">
        <f t="shared" si="1"/>
        <v>64402.475807260009</v>
      </c>
      <c r="AF7" s="364">
        <f t="shared" si="1"/>
        <v>55572.718156560004</v>
      </c>
      <c r="AG7" s="364">
        <f t="shared" si="1"/>
        <v>55050.314488479999</v>
      </c>
      <c r="AH7" s="364">
        <f t="shared" si="1"/>
        <v>57241.327388300007</v>
      </c>
      <c r="AI7" s="364">
        <f t="shared" si="1"/>
        <v>59859.024029439999</v>
      </c>
      <c r="AJ7" s="364">
        <f t="shared" si="1"/>
        <v>68576.838036980014</v>
      </c>
      <c r="AK7" s="364">
        <f t="shared" si="1"/>
        <v>72909.381501600001</v>
      </c>
      <c r="AL7" s="365">
        <f t="shared" si="1"/>
        <v>79749.300335840002</v>
      </c>
      <c r="AM7" s="378">
        <f t="shared" si="2"/>
        <v>82077.403639240001</v>
      </c>
      <c r="AN7" s="379">
        <f t="shared" si="2"/>
        <v>71742.085106620012</v>
      </c>
      <c r="AO7" s="379">
        <f t="shared" si="2"/>
        <v>75342.127775780013</v>
      </c>
      <c r="AP7" s="379">
        <f t="shared" si="2"/>
        <v>68662.823733900004</v>
      </c>
      <c r="AQ7" s="379">
        <f t="shared" si="2"/>
        <v>64402.475807260009</v>
      </c>
      <c r="AR7" s="379">
        <f t="shared" si="2"/>
        <v>55572.718156560004</v>
      </c>
      <c r="AS7" s="379">
        <f t="shared" si="2"/>
        <v>55050.314488479999</v>
      </c>
      <c r="AT7" s="379">
        <f t="shared" si="2"/>
        <v>57241.327388300007</v>
      </c>
      <c r="AU7" s="379">
        <f t="shared" si="2"/>
        <v>59859.024029439999</v>
      </c>
      <c r="AV7" s="379">
        <f t="shared" si="2"/>
        <v>68576.838036980014</v>
      </c>
      <c r="AW7" s="379">
        <f t="shared" si="2"/>
        <v>72909.381501600001</v>
      </c>
      <c r="AX7" s="380">
        <f t="shared" si="2"/>
        <v>79749.300335840002</v>
      </c>
      <c r="AY7" s="392">
        <f t="shared" ref="AY7:AY17" si="4">SUM(C7:N7)</f>
        <v>693237.37380745006</v>
      </c>
      <c r="AZ7" s="399">
        <f t="shared" ref="AZ7:AZ17" si="5">SUM(O7:Z7)</f>
        <v>811185.82000000007</v>
      </c>
      <c r="BA7" s="399">
        <f t="shared" ref="BA7:BA17" si="6">SUM(AA7:AL7)</f>
        <v>811185.82000000007</v>
      </c>
      <c r="BB7" s="533">
        <f t="shared" ref="BB7:BB17" si="7">SUM(AM7:AX7)</f>
        <v>811185.82000000007</v>
      </c>
    </row>
    <row r="8" spans="1:54" x14ac:dyDescent="0.25">
      <c r="A8" s="18">
        <v>44621</v>
      </c>
      <c r="B8" s="97">
        <f>'6. 2022 Installed kWh Savings'!B8+'6. 2022 Installed kWh Savings'!C8</f>
        <v>1253616</v>
      </c>
      <c r="C8" s="364"/>
      <c r="D8" s="364"/>
      <c r="E8" s="364">
        <f>$B8*(SUMPRODUCT(E$30:E$32,$C$26:$C$28))/2</f>
        <v>58217.300232000001</v>
      </c>
      <c r="F8" s="364">
        <f t="shared" ref="F8:N8" si="8">$B8*(SUMPRODUCT(F$30:F$32,$C$26:$C$28))</f>
        <v>106112.32631999999</v>
      </c>
      <c r="G8" s="364">
        <f t="shared" si="8"/>
        <v>99528.335088000007</v>
      </c>
      <c r="H8" s="364">
        <f t="shared" si="8"/>
        <v>85882.724927999996</v>
      </c>
      <c r="I8" s="364">
        <f t="shared" si="8"/>
        <v>85075.396223999996</v>
      </c>
      <c r="J8" s="364">
        <f t="shared" si="8"/>
        <v>88461.413039999999</v>
      </c>
      <c r="K8" s="364">
        <f t="shared" si="8"/>
        <v>92506.831871999995</v>
      </c>
      <c r="L8" s="364">
        <f t="shared" si="8"/>
        <v>105979.44302400001</v>
      </c>
      <c r="M8" s="364">
        <f t="shared" si="8"/>
        <v>112675.00608000001</v>
      </c>
      <c r="N8" s="365">
        <f t="shared" si="8"/>
        <v>123245.49619199999</v>
      </c>
      <c r="O8" s="378">
        <f t="shared" si="0"/>
        <v>126843.37411199999</v>
      </c>
      <c r="P8" s="379">
        <f t="shared" si="0"/>
        <v>110871.05265600001</v>
      </c>
      <c r="Q8" s="379">
        <f t="shared" si="0"/>
        <v>116434.600464</v>
      </c>
      <c r="R8" s="379">
        <f t="shared" si="0"/>
        <v>106112.32631999999</v>
      </c>
      <c r="S8" s="379">
        <f t="shared" si="0"/>
        <v>99528.335088000007</v>
      </c>
      <c r="T8" s="379">
        <f t="shared" si="0"/>
        <v>85882.724927999996</v>
      </c>
      <c r="U8" s="379">
        <f t="shared" si="0"/>
        <v>85075.396223999996</v>
      </c>
      <c r="V8" s="379">
        <f t="shared" si="0"/>
        <v>88461.413039999999</v>
      </c>
      <c r="W8" s="379">
        <f t="shared" si="0"/>
        <v>92506.831871999995</v>
      </c>
      <c r="X8" s="379">
        <f t="shared" si="0"/>
        <v>105979.44302400001</v>
      </c>
      <c r="Y8" s="379">
        <f t="shared" si="0"/>
        <v>112675.00608000001</v>
      </c>
      <c r="Z8" s="380">
        <f t="shared" si="0"/>
        <v>123245.49619199999</v>
      </c>
      <c r="AA8" s="363">
        <f t="shared" si="1"/>
        <v>126843.37411199999</v>
      </c>
      <c r="AB8" s="364">
        <f t="shared" si="1"/>
        <v>110871.05265600001</v>
      </c>
      <c r="AC8" s="364">
        <f t="shared" si="1"/>
        <v>116434.600464</v>
      </c>
      <c r="AD8" s="364">
        <f t="shared" si="1"/>
        <v>106112.32631999999</v>
      </c>
      <c r="AE8" s="364">
        <f t="shared" si="1"/>
        <v>99528.335088000007</v>
      </c>
      <c r="AF8" s="364">
        <f t="shared" si="1"/>
        <v>85882.724927999996</v>
      </c>
      <c r="AG8" s="364">
        <f t="shared" si="1"/>
        <v>85075.396223999996</v>
      </c>
      <c r="AH8" s="364">
        <f t="shared" si="1"/>
        <v>88461.413039999999</v>
      </c>
      <c r="AI8" s="364">
        <f t="shared" si="1"/>
        <v>92506.831871999995</v>
      </c>
      <c r="AJ8" s="364">
        <f t="shared" si="1"/>
        <v>105979.44302400001</v>
      </c>
      <c r="AK8" s="364">
        <f t="shared" si="1"/>
        <v>112675.00608000001</v>
      </c>
      <c r="AL8" s="365">
        <f t="shared" si="1"/>
        <v>123245.49619199999</v>
      </c>
      <c r="AM8" s="378">
        <f t="shared" si="2"/>
        <v>126843.37411199999</v>
      </c>
      <c r="AN8" s="379">
        <f t="shared" si="2"/>
        <v>110871.05265600001</v>
      </c>
      <c r="AO8" s="379">
        <f t="shared" si="2"/>
        <v>116434.600464</v>
      </c>
      <c r="AP8" s="379">
        <f t="shared" si="2"/>
        <v>106112.32631999999</v>
      </c>
      <c r="AQ8" s="379">
        <f t="shared" si="2"/>
        <v>99528.335088000007</v>
      </c>
      <c r="AR8" s="379">
        <f t="shared" si="2"/>
        <v>85882.724927999996</v>
      </c>
      <c r="AS8" s="379">
        <f t="shared" si="2"/>
        <v>85075.396223999996</v>
      </c>
      <c r="AT8" s="379">
        <f t="shared" si="2"/>
        <v>88461.413039999999</v>
      </c>
      <c r="AU8" s="379">
        <f t="shared" si="2"/>
        <v>92506.831871999995</v>
      </c>
      <c r="AV8" s="379">
        <f t="shared" si="2"/>
        <v>105979.44302400001</v>
      </c>
      <c r="AW8" s="379">
        <f t="shared" si="2"/>
        <v>112675.00608000001</v>
      </c>
      <c r="AX8" s="380">
        <f t="shared" si="2"/>
        <v>123245.49619199999</v>
      </c>
      <c r="AY8" s="392">
        <f t="shared" si="4"/>
        <v>957684.27300000004</v>
      </c>
      <c r="AZ8" s="399">
        <f t="shared" si="5"/>
        <v>1253616</v>
      </c>
      <c r="BA8" s="399">
        <f t="shared" si="6"/>
        <v>1253616</v>
      </c>
      <c r="BB8" s="533">
        <f t="shared" si="7"/>
        <v>1253616</v>
      </c>
    </row>
    <row r="9" spans="1:54" x14ac:dyDescent="0.25">
      <c r="A9" s="18">
        <v>44652</v>
      </c>
      <c r="B9" s="97">
        <f>'6. 2022 Installed kWh Savings'!B9+'6. 2022 Installed kWh Savings'!C9</f>
        <v>464685</v>
      </c>
      <c r="C9" s="364"/>
      <c r="D9" s="364"/>
      <c r="E9" s="364"/>
      <c r="F9" s="364">
        <f>$B9*(SUMPRODUCT(F$30:F$32,$C$26:$C$28))/2</f>
        <v>19666.630912500001</v>
      </c>
      <c r="G9" s="364">
        <f t="shared" ref="G9:N9" si="9">$B9*(SUMPRODUCT(G$30:G$32,$C$26:$C$28))</f>
        <v>36892.736205000001</v>
      </c>
      <c r="H9" s="364">
        <f t="shared" si="9"/>
        <v>31834.63998</v>
      </c>
      <c r="I9" s="364">
        <f t="shared" si="9"/>
        <v>31535.382839999998</v>
      </c>
      <c r="J9" s="364">
        <f t="shared" si="9"/>
        <v>32790.497025000004</v>
      </c>
      <c r="K9" s="364">
        <f t="shared" si="9"/>
        <v>34290.035519999998</v>
      </c>
      <c r="L9" s="364">
        <f t="shared" si="9"/>
        <v>39284.005215000005</v>
      </c>
      <c r="M9" s="364">
        <f t="shared" si="9"/>
        <v>41765.887800000004</v>
      </c>
      <c r="N9" s="365">
        <f t="shared" si="9"/>
        <v>45684.111720000001</v>
      </c>
      <c r="O9" s="378">
        <f t="shared" si="0"/>
        <v>47017.757669999999</v>
      </c>
      <c r="P9" s="379">
        <f t="shared" si="0"/>
        <v>41097.206085000005</v>
      </c>
      <c r="Q9" s="379">
        <f t="shared" si="0"/>
        <v>43159.478114999998</v>
      </c>
      <c r="R9" s="379">
        <f t="shared" si="0"/>
        <v>39333.261825000001</v>
      </c>
      <c r="S9" s="379">
        <f t="shared" si="0"/>
        <v>36892.736205000001</v>
      </c>
      <c r="T9" s="379">
        <f t="shared" si="0"/>
        <v>31834.63998</v>
      </c>
      <c r="U9" s="379">
        <f t="shared" si="0"/>
        <v>31535.382839999998</v>
      </c>
      <c r="V9" s="379">
        <f t="shared" si="0"/>
        <v>32790.497025000004</v>
      </c>
      <c r="W9" s="379">
        <f t="shared" si="0"/>
        <v>34290.035519999998</v>
      </c>
      <c r="X9" s="379">
        <f t="shared" si="0"/>
        <v>39284.005215000005</v>
      </c>
      <c r="Y9" s="379">
        <f t="shared" si="0"/>
        <v>41765.887800000004</v>
      </c>
      <c r="Z9" s="380">
        <f t="shared" si="0"/>
        <v>45684.111720000001</v>
      </c>
      <c r="AA9" s="363">
        <f t="shared" si="1"/>
        <v>47017.757669999999</v>
      </c>
      <c r="AB9" s="364">
        <f t="shared" si="1"/>
        <v>41097.206085000005</v>
      </c>
      <c r="AC9" s="364">
        <f t="shared" si="1"/>
        <v>43159.478114999998</v>
      </c>
      <c r="AD9" s="364">
        <f t="shared" si="1"/>
        <v>39333.261825000001</v>
      </c>
      <c r="AE9" s="364">
        <f t="shared" si="1"/>
        <v>36892.736205000001</v>
      </c>
      <c r="AF9" s="364">
        <f t="shared" si="1"/>
        <v>31834.63998</v>
      </c>
      <c r="AG9" s="364">
        <f t="shared" si="1"/>
        <v>31535.382839999998</v>
      </c>
      <c r="AH9" s="364">
        <f t="shared" si="1"/>
        <v>32790.497025000004</v>
      </c>
      <c r="AI9" s="364">
        <f t="shared" si="1"/>
        <v>34290.035519999998</v>
      </c>
      <c r="AJ9" s="364">
        <f t="shared" si="1"/>
        <v>39284.005215000005</v>
      </c>
      <c r="AK9" s="364">
        <f t="shared" si="1"/>
        <v>41765.887800000004</v>
      </c>
      <c r="AL9" s="365">
        <f t="shared" si="1"/>
        <v>45684.111720000001</v>
      </c>
      <c r="AM9" s="378">
        <f t="shared" si="2"/>
        <v>47017.757669999999</v>
      </c>
      <c r="AN9" s="379">
        <f t="shared" si="2"/>
        <v>41097.206085000005</v>
      </c>
      <c r="AO9" s="379">
        <f t="shared" si="2"/>
        <v>43159.478114999998</v>
      </c>
      <c r="AP9" s="379">
        <f t="shared" si="2"/>
        <v>39333.261825000001</v>
      </c>
      <c r="AQ9" s="379">
        <f t="shared" si="2"/>
        <v>36892.736205000001</v>
      </c>
      <c r="AR9" s="379">
        <f t="shared" si="2"/>
        <v>31834.63998</v>
      </c>
      <c r="AS9" s="379">
        <f t="shared" si="2"/>
        <v>31535.382839999998</v>
      </c>
      <c r="AT9" s="379">
        <f t="shared" si="2"/>
        <v>32790.497025000004</v>
      </c>
      <c r="AU9" s="379">
        <f t="shared" si="2"/>
        <v>34290.035519999998</v>
      </c>
      <c r="AV9" s="379">
        <f t="shared" si="2"/>
        <v>39284.005215000005</v>
      </c>
      <c r="AW9" s="379">
        <f t="shared" si="2"/>
        <v>41765.887800000004</v>
      </c>
      <c r="AX9" s="380">
        <f t="shared" si="2"/>
        <v>45684.111720000001</v>
      </c>
      <c r="AY9" s="392">
        <f t="shared" si="4"/>
        <v>313743.92721749999</v>
      </c>
      <c r="AZ9" s="399">
        <f t="shared" si="5"/>
        <v>464685</v>
      </c>
      <c r="BA9" s="399">
        <f t="shared" si="6"/>
        <v>464685</v>
      </c>
      <c r="BB9" s="533">
        <f t="shared" si="7"/>
        <v>464685</v>
      </c>
    </row>
    <row r="10" spans="1:54" x14ac:dyDescent="0.25">
      <c r="A10" s="18">
        <v>44682</v>
      </c>
      <c r="B10" s="97">
        <f>'6. 2022 Installed kWh Savings'!B10+'6. 2022 Installed kWh Savings'!C10</f>
        <v>450842</v>
      </c>
      <c r="C10" s="364"/>
      <c r="D10" s="364"/>
      <c r="E10" s="364"/>
      <c r="F10" s="364"/>
      <c r="G10" s="364">
        <f>$B10*(SUMPRODUCT(G$30:G$32,$C$26:$C$28))/2</f>
        <v>17896.849453000003</v>
      </c>
      <c r="H10" s="364">
        <f t="shared" ref="H10:N10" si="10">$B10*(SUMPRODUCT(H$30:H$32,$C$26:$C$28))</f>
        <v>30886.283736000001</v>
      </c>
      <c r="I10" s="364">
        <f t="shared" si="10"/>
        <v>30595.941487999997</v>
      </c>
      <c r="J10" s="364">
        <f t="shared" si="10"/>
        <v>31813.665730000001</v>
      </c>
      <c r="K10" s="364">
        <f t="shared" si="10"/>
        <v>33268.532864000001</v>
      </c>
      <c r="L10" s="364">
        <f t="shared" si="10"/>
        <v>38113.731838</v>
      </c>
      <c r="M10" s="364">
        <f t="shared" si="10"/>
        <v>40521.678959999997</v>
      </c>
      <c r="N10" s="365">
        <f t="shared" si="10"/>
        <v>44323.178703999998</v>
      </c>
      <c r="O10" s="378">
        <f t="shared" si="0"/>
        <v>45617.095243999996</v>
      </c>
      <c r="P10" s="379">
        <f t="shared" si="0"/>
        <v>39872.917322000001</v>
      </c>
      <c r="Q10" s="379">
        <f t="shared" si="0"/>
        <v>41873.754118000004</v>
      </c>
      <c r="R10" s="379">
        <f t="shared" si="0"/>
        <v>38161.521090000002</v>
      </c>
      <c r="S10" s="379">
        <f t="shared" si="0"/>
        <v>35793.698906000005</v>
      </c>
      <c r="T10" s="379">
        <f t="shared" si="0"/>
        <v>30886.283736000001</v>
      </c>
      <c r="U10" s="379">
        <f t="shared" si="0"/>
        <v>30595.941487999997</v>
      </c>
      <c r="V10" s="379">
        <f t="shared" si="0"/>
        <v>31813.665730000001</v>
      </c>
      <c r="W10" s="379">
        <f t="shared" si="0"/>
        <v>33268.532864000001</v>
      </c>
      <c r="X10" s="379">
        <f t="shared" si="0"/>
        <v>38113.731838</v>
      </c>
      <c r="Y10" s="379">
        <f t="shared" si="0"/>
        <v>40521.678959999997</v>
      </c>
      <c r="Z10" s="380">
        <f t="shared" si="0"/>
        <v>44323.178703999998</v>
      </c>
      <c r="AA10" s="363">
        <f t="shared" si="1"/>
        <v>45617.095243999996</v>
      </c>
      <c r="AB10" s="364">
        <f t="shared" si="1"/>
        <v>39872.917322000001</v>
      </c>
      <c r="AC10" s="364">
        <f t="shared" si="1"/>
        <v>41873.754118000004</v>
      </c>
      <c r="AD10" s="364">
        <f t="shared" si="1"/>
        <v>38161.521090000002</v>
      </c>
      <c r="AE10" s="364">
        <f t="shared" si="1"/>
        <v>35793.698906000005</v>
      </c>
      <c r="AF10" s="364">
        <f t="shared" si="1"/>
        <v>30886.283736000001</v>
      </c>
      <c r="AG10" s="364">
        <f t="shared" si="1"/>
        <v>30595.941487999997</v>
      </c>
      <c r="AH10" s="364">
        <f t="shared" si="1"/>
        <v>31813.665730000001</v>
      </c>
      <c r="AI10" s="364">
        <f t="shared" si="1"/>
        <v>33268.532864000001</v>
      </c>
      <c r="AJ10" s="364">
        <f t="shared" si="1"/>
        <v>38113.731838</v>
      </c>
      <c r="AK10" s="364">
        <f t="shared" si="1"/>
        <v>40521.678959999997</v>
      </c>
      <c r="AL10" s="365">
        <f t="shared" si="1"/>
        <v>44323.178703999998</v>
      </c>
      <c r="AM10" s="378">
        <f t="shared" si="2"/>
        <v>45617.095243999996</v>
      </c>
      <c r="AN10" s="379">
        <f t="shared" si="2"/>
        <v>39872.917322000001</v>
      </c>
      <c r="AO10" s="379">
        <f t="shared" si="2"/>
        <v>41873.754118000004</v>
      </c>
      <c r="AP10" s="379">
        <f t="shared" si="2"/>
        <v>38161.521090000002</v>
      </c>
      <c r="AQ10" s="379">
        <f t="shared" si="2"/>
        <v>35793.698906000005</v>
      </c>
      <c r="AR10" s="379">
        <f t="shared" si="2"/>
        <v>30886.283736000001</v>
      </c>
      <c r="AS10" s="379">
        <f t="shared" si="2"/>
        <v>30595.941487999997</v>
      </c>
      <c r="AT10" s="379">
        <f t="shared" si="2"/>
        <v>31813.665730000001</v>
      </c>
      <c r="AU10" s="379">
        <f t="shared" si="2"/>
        <v>33268.532864000001</v>
      </c>
      <c r="AV10" s="379">
        <f t="shared" si="2"/>
        <v>38113.731838</v>
      </c>
      <c r="AW10" s="379">
        <f t="shared" si="2"/>
        <v>40521.678959999997</v>
      </c>
      <c r="AX10" s="380">
        <f t="shared" si="2"/>
        <v>44323.178703999998</v>
      </c>
      <c r="AY10" s="392">
        <f t="shared" si="4"/>
        <v>267419.86277300003</v>
      </c>
      <c r="AZ10" s="399">
        <f t="shared" si="5"/>
        <v>450842.00000000006</v>
      </c>
      <c r="BA10" s="399">
        <f t="shared" si="6"/>
        <v>450842.00000000006</v>
      </c>
      <c r="BB10" s="533">
        <f t="shared" si="7"/>
        <v>450842.00000000006</v>
      </c>
    </row>
    <row r="11" spans="1:54" x14ac:dyDescent="0.25">
      <c r="A11" s="18">
        <v>44713</v>
      </c>
      <c r="B11" s="97">
        <f>'6. 2022 Installed kWh Savings'!B11+'6. 2022 Installed kWh Savings'!C11</f>
        <v>139628</v>
      </c>
      <c r="C11" s="364"/>
      <c r="D11" s="364"/>
      <c r="E11" s="364"/>
      <c r="F11" s="364"/>
      <c r="G11" s="364"/>
      <c r="H11" s="364">
        <f>$B11*(SUMPRODUCT(H$30:H$32,$C$26:$C$28))/2</f>
        <v>4782.8175119999996</v>
      </c>
      <c r="I11" s="364">
        <f t="shared" ref="I11:N11" si="11">$B11*(SUMPRODUCT(I$30:I$32,$C$26:$C$28))</f>
        <v>9475.7145919999984</v>
      </c>
      <c r="J11" s="364">
        <f t="shared" si="11"/>
        <v>9852.8498200000013</v>
      </c>
      <c r="K11" s="364">
        <f t="shared" si="11"/>
        <v>10303.429376</v>
      </c>
      <c r="L11" s="364">
        <f t="shared" si="11"/>
        <v>11804.011492</v>
      </c>
      <c r="M11" s="364">
        <f t="shared" si="11"/>
        <v>12549.764639999999</v>
      </c>
      <c r="N11" s="365">
        <f t="shared" si="11"/>
        <v>13727.107936</v>
      </c>
      <c r="O11" s="378">
        <f t="shared" si="0"/>
        <v>14127.840295999998</v>
      </c>
      <c r="P11" s="379">
        <f t="shared" si="0"/>
        <v>12348.839948000001</v>
      </c>
      <c r="Q11" s="379">
        <f t="shared" si="0"/>
        <v>12968.509012</v>
      </c>
      <c r="R11" s="379">
        <f t="shared" si="0"/>
        <v>11818.81206</v>
      </c>
      <c r="S11" s="379">
        <f t="shared" si="0"/>
        <v>11085.485804</v>
      </c>
      <c r="T11" s="379">
        <f t="shared" si="0"/>
        <v>9565.6350239999992</v>
      </c>
      <c r="U11" s="379">
        <f t="shared" si="0"/>
        <v>9475.7145919999984</v>
      </c>
      <c r="V11" s="379">
        <f t="shared" si="0"/>
        <v>9852.8498200000013</v>
      </c>
      <c r="W11" s="379">
        <f t="shared" si="0"/>
        <v>10303.429376</v>
      </c>
      <c r="X11" s="379">
        <f t="shared" si="0"/>
        <v>11804.011492</v>
      </c>
      <c r="Y11" s="379">
        <f t="shared" si="0"/>
        <v>12549.764639999999</v>
      </c>
      <c r="Z11" s="380">
        <f t="shared" si="0"/>
        <v>13727.107936</v>
      </c>
      <c r="AA11" s="363">
        <f t="shared" si="1"/>
        <v>14127.840295999998</v>
      </c>
      <c r="AB11" s="364">
        <f t="shared" si="1"/>
        <v>12348.839948000001</v>
      </c>
      <c r="AC11" s="364">
        <f t="shared" si="1"/>
        <v>12968.509012</v>
      </c>
      <c r="AD11" s="364">
        <f t="shared" si="1"/>
        <v>11818.81206</v>
      </c>
      <c r="AE11" s="364">
        <f t="shared" si="1"/>
        <v>11085.485804</v>
      </c>
      <c r="AF11" s="364">
        <f t="shared" si="1"/>
        <v>9565.6350239999992</v>
      </c>
      <c r="AG11" s="364">
        <f t="shared" si="1"/>
        <v>9475.7145919999984</v>
      </c>
      <c r="AH11" s="364">
        <f t="shared" si="1"/>
        <v>9852.8498200000013</v>
      </c>
      <c r="AI11" s="364">
        <f t="shared" si="1"/>
        <v>10303.429376</v>
      </c>
      <c r="AJ11" s="364">
        <f t="shared" si="1"/>
        <v>11804.011492</v>
      </c>
      <c r="AK11" s="364">
        <f t="shared" si="1"/>
        <v>12549.764639999999</v>
      </c>
      <c r="AL11" s="365">
        <f t="shared" si="1"/>
        <v>13727.107936</v>
      </c>
      <c r="AM11" s="378">
        <f t="shared" si="2"/>
        <v>14127.840295999998</v>
      </c>
      <c r="AN11" s="379">
        <f t="shared" si="2"/>
        <v>12348.839948000001</v>
      </c>
      <c r="AO11" s="379">
        <f t="shared" si="2"/>
        <v>12968.509012</v>
      </c>
      <c r="AP11" s="379">
        <f t="shared" si="2"/>
        <v>11818.81206</v>
      </c>
      <c r="AQ11" s="379">
        <f t="shared" si="2"/>
        <v>11085.485804</v>
      </c>
      <c r="AR11" s="379">
        <f t="shared" si="2"/>
        <v>9565.6350239999992</v>
      </c>
      <c r="AS11" s="379">
        <f t="shared" si="2"/>
        <v>9475.7145919999984</v>
      </c>
      <c r="AT11" s="379">
        <f t="shared" si="2"/>
        <v>9852.8498200000013</v>
      </c>
      <c r="AU11" s="379">
        <f t="shared" si="2"/>
        <v>10303.429376</v>
      </c>
      <c r="AV11" s="379">
        <f t="shared" si="2"/>
        <v>11804.011492</v>
      </c>
      <c r="AW11" s="379">
        <f t="shared" si="2"/>
        <v>12549.764639999999</v>
      </c>
      <c r="AX11" s="380">
        <f t="shared" si="2"/>
        <v>13727.107936</v>
      </c>
      <c r="AY11" s="392">
        <f t="shared" si="4"/>
        <v>72495.695368000001</v>
      </c>
      <c r="AZ11" s="399">
        <f t="shared" si="5"/>
        <v>139628</v>
      </c>
      <c r="BA11" s="399">
        <f t="shared" si="6"/>
        <v>139628</v>
      </c>
      <c r="BB11" s="533">
        <f t="shared" si="7"/>
        <v>139628</v>
      </c>
    </row>
    <row r="12" spans="1:54" x14ac:dyDescent="0.25">
      <c r="A12" s="18">
        <v>44743</v>
      </c>
      <c r="B12" s="97">
        <f>'6. 2022 Installed kWh Savings'!B12+'6. 2022 Installed kWh Savings'!C12</f>
        <v>0</v>
      </c>
      <c r="C12" s="364"/>
      <c r="D12" s="364"/>
      <c r="E12" s="364"/>
      <c r="F12" s="364"/>
      <c r="G12" s="364"/>
      <c r="H12" s="364"/>
      <c r="I12" s="364">
        <f>$B12*(SUMPRODUCT(I$30:I$32,$C$26:$C$28))/2</f>
        <v>0</v>
      </c>
      <c r="J12" s="364">
        <f>$B12*(SUMPRODUCT(J$30:J$32,$C$26:$C$28))</f>
        <v>0</v>
      </c>
      <c r="K12" s="364">
        <f>$B12*(SUMPRODUCT(K$30:K$32,$C$26:$C$28))</f>
        <v>0</v>
      </c>
      <c r="L12" s="364">
        <f>$B12*(SUMPRODUCT(L$30:L$32,$C$26:$C$28))</f>
        <v>0</v>
      </c>
      <c r="M12" s="364">
        <f>$B12*(SUMPRODUCT(M$30:M$32,$C$26:$C$28))</f>
        <v>0</v>
      </c>
      <c r="N12" s="365">
        <f>$B12*(SUMPRODUCT(N$30:N$32,$C$26:$C$28))</f>
        <v>0</v>
      </c>
      <c r="O12" s="378">
        <f t="shared" si="0"/>
        <v>0</v>
      </c>
      <c r="P12" s="379">
        <f t="shared" si="0"/>
        <v>0</v>
      </c>
      <c r="Q12" s="379">
        <f t="shared" si="0"/>
        <v>0</v>
      </c>
      <c r="R12" s="379">
        <f t="shared" si="0"/>
        <v>0</v>
      </c>
      <c r="S12" s="379">
        <f t="shared" si="0"/>
        <v>0</v>
      </c>
      <c r="T12" s="379">
        <f t="shared" si="0"/>
        <v>0</v>
      </c>
      <c r="U12" s="379">
        <f t="shared" si="0"/>
        <v>0</v>
      </c>
      <c r="V12" s="379">
        <f t="shared" si="0"/>
        <v>0</v>
      </c>
      <c r="W12" s="379">
        <f t="shared" si="0"/>
        <v>0</v>
      </c>
      <c r="X12" s="379">
        <f t="shared" si="0"/>
        <v>0</v>
      </c>
      <c r="Y12" s="379">
        <f t="shared" si="0"/>
        <v>0</v>
      </c>
      <c r="Z12" s="380">
        <f t="shared" si="0"/>
        <v>0</v>
      </c>
      <c r="AA12" s="363">
        <f t="shared" si="1"/>
        <v>0</v>
      </c>
      <c r="AB12" s="364">
        <f t="shared" si="1"/>
        <v>0</v>
      </c>
      <c r="AC12" s="364">
        <f t="shared" si="1"/>
        <v>0</v>
      </c>
      <c r="AD12" s="364">
        <f t="shared" si="1"/>
        <v>0</v>
      </c>
      <c r="AE12" s="364">
        <f t="shared" si="1"/>
        <v>0</v>
      </c>
      <c r="AF12" s="364">
        <f t="shared" si="1"/>
        <v>0</v>
      </c>
      <c r="AG12" s="364">
        <f t="shared" si="1"/>
        <v>0</v>
      </c>
      <c r="AH12" s="364">
        <f t="shared" si="1"/>
        <v>0</v>
      </c>
      <c r="AI12" s="364">
        <f t="shared" si="1"/>
        <v>0</v>
      </c>
      <c r="AJ12" s="364">
        <f t="shared" si="1"/>
        <v>0</v>
      </c>
      <c r="AK12" s="364">
        <f t="shared" si="1"/>
        <v>0</v>
      </c>
      <c r="AL12" s="365">
        <f t="shared" si="1"/>
        <v>0</v>
      </c>
      <c r="AM12" s="378">
        <f t="shared" si="2"/>
        <v>0</v>
      </c>
      <c r="AN12" s="379">
        <f t="shared" si="2"/>
        <v>0</v>
      </c>
      <c r="AO12" s="379">
        <f t="shared" si="2"/>
        <v>0</v>
      </c>
      <c r="AP12" s="379">
        <f t="shared" si="2"/>
        <v>0</v>
      </c>
      <c r="AQ12" s="379">
        <f t="shared" si="2"/>
        <v>0</v>
      </c>
      <c r="AR12" s="379">
        <f t="shared" si="2"/>
        <v>0</v>
      </c>
      <c r="AS12" s="379">
        <f t="shared" si="2"/>
        <v>0</v>
      </c>
      <c r="AT12" s="379">
        <f t="shared" si="2"/>
        <v>0</v>
      </c>
      <c r="AU12" s="379">
        <f t="shared" si="2"/>
        <v>0</v>
      </c>
      <c r="AV12" s="379">
        <f t="shared" si="2"/>
        <v>0</v>
      </c>
      <c r="AW12" s="379">
        <f t="shared" si="2"/>
        <v>0</v>
      </c>
      <c r="AX12" s="380">
        <f t="shared" si="2"/>
        <v>0</v>
      </c>
      <c r="AY12" s="392">
        <f t="shared" si="4"/>
        <v>0</v>
      </c>
      <c r="AZ12" s="399">
        <f t="shared" si="5"/>
        <v>0</v>
      </c>
      <c r="BA12" s="399">
        <f t="shared" si="6"/>
        <v>0</v>
      </c>
      <c r="BB12" s="533">
        <f t="shared" si="7"/>
        <v>0</v>
      </c>
    </row>
    <row r="13" spans="1:54" x14ac:dyDescent="0.25">
      <c r="A13" s="18">
        <v>44774</v>
      </c>
      <c r="B13" s="97">
        <f>'6. 2022 Installed kWh Savings'!B13+'6. 2022 Installed kWh Savings'!C13</f>
        <v>0</v>
      </c>
      <c r="C13" s="364"/>
      <c r="D13" s="364"/>
      <c r="E13" s="364"/>
      <c r="F13" s="364"/>
      <c r="G13" s="364"/>
      <c r="H13" s="364"/>
      <c r="I13" s="364"/>
      <c r="J13" s="364">
        <f>$B13*(SUMPRODUCT(J$30:J$32,$C$26:$C$28))/2</f>
        <v>0</v>
      </c>
      <c r="K13" s="364">
        <f>$B13*(SUMPRODUCT(K$30:K$32,$C$26:$C$28))</f>
        <v>0</v>
      </c>
      <c r="L13" s="364">
        <f>$B13*(SUMPRODUCT(L$30:L$32,$C$26:$C$28))</f>
        <v>0</v>
      </c>
      <c r="M13" s="364">
        <f>$B13*(SUMPRODUCT(M$30:M$32,$C$26:$C$28))</f>
        <v>0</v>
      </c>
      <c r="N13" s="365">
        <f>$B13*(SUMPRODUCT(N$30:N$32,$C$26:$C$28))</f>
        <v>0</v>
      </c>
      <c r="O13" s="378">
        <f t="shared" si="0"/>
        <v>0</v>
      </c>
      <c r="P13" s="379">
        <f t="shared" si="0"/>
        <v>0</v>
      </c>
      <c r="Q13" s="379">
        <f t="shared" si="0"/>
        <v>0</v>
      </c>
      <c r="R13" s="379">
        <f t="shared" si="0"/>
        <v>0</v>
      </c>
      <c r="S13" s="379">
        <f t="shared" si="0"/>
        <v>0</v>
      </c>
      <c r="T13" s="379">
        <f t="shared" si="0"/>
        <v>0</v>
      </c>
      <c r="U13" s="379">
        <f t="shared" si="0"/>
        <v>0</v>
      </c>
      <c r="V13" s="379">
        <f t="shared" si="0"/>
        <v>0</v>
      </c>
      <c r="W13" s="379">
        <f t="shared" si="0"/>
        <v>0</v>
      </c>
      <c r="X13" s="379">
        <f t="shared" si="0"/>
        <v>0</v>
      </c>
      <c r="Y13" s="379">
        <f t="shared" si="0"/>
        <v>0</v>
      </c>
      <c r="Z13" s="380">
        <f t="shared" si="0"/>
        <v>0</v>
      </c>
      <c r="AA13" s="363">
        <f t="shared" si="1"/>
        <v>0</v>
      </c>
      <c r="AB13" s="364">
        <f t="shared" si="1"/>
        <v>0</v>
      </c>
      <c r="AC13" s="364">
        <f t="shared" si="1"/>
        <v>0</v>
      </c>
      <c r="AD13" s="364">
        <f t="shared" si="1"/>
        <v>0</v>
      </c>
      <c r="AE13" s="364">
        <f t="shared" si="1"/>
        <v>0</v>
      </c>
      <c r="AF13" s="364">
        <f t="shared" si="1"/>
        <v>0</v>
      </c>
      <c r="AG13" s="364">
        <f t="shared" si="1"/>
        <v>0</v>
      </c>
      <c r="AH13" s="364">
        <f t="shared" si="1"/>
        <v>0</v>
      </c>
      <c r="AI13" s="364">
        <f t="shared" si="1"/>
        <v>0</v>
      </c>
      <c r="AJ13" s="364">
        <f t="shared" si="1"/>
        <v>0</v>
      </c>
      <c r="AK13" s="364">
        <f t="shared" si="1"/>
        <v>0</v>
      </c>
      <c r="AL13" s="365">
        <f t="shared" si="1"/>
        <v>0</v>
      </c>
      <c r="AM13" s="378">
        <f t="shared" si="2"/>
        <v>0</v>
      </c>
      <c r="AN13" s="379">
        <f t="shared" si="2"/>
        <v>0</v>
      </c>
      <c r="AO13" s="379">
        <f t="shared" si="2"/>
        <v>0</v>
      </c>
      <c r="AP13" s="379">
        <f t="shared" si="2"/>
        <v>0</v>
      </c>
      <c r="AQ13" s="379">
        <f t="shared" si="2"/>
        <v>0</v>
      </c>
      <c r="AR13" s="379">
        <f t="shared" si="2"/>
        <v>0</v>
      </c>
      <c r="AS13" s="379">
        <f t="shared" si="2"/>
        <v>0</v>
      </c>
      <c r="AT13" s="379">
        <f t="shared" si="2"/>
        <v>0</v>
      </c>
      <c r="AU13" s="379">
        <f t="shared" si="2"/>
        <v>0</v>
      </c>
      <c r="AV13" s="379">
        <f t="shared" si="2"/>
        <v>0</v>
      </c>
      <c r="AW13" s="379">
        <f t="shared" si="2"/>
        <v>0</v>
      </c>
      <c r="AX13" s="380">
        <f t="shared" si="2"/>
        <v>0</v>
      </c>
      <c r="AY13" s="392">
        <f t="shared" si="4"/>
        <v>0</v>
      </c>
      <c r="AZ13" s="399">
        <f t="shared" si="5"/>
        <v>0</v>
      </c>
      <c r="BA13" s="399">
        <f t="shared" si="6"/>
        <v>0</v>
      </c>
      <c r="BB13" s="533">
        <f t="shared" si="7"/>
        <v>0</v>
      </c>
    </row>
    <row r="14" spans="1:54" x14ac:dyDescent="0.25">
      <c r="A14" s="18">
        <v>44805</v>
      </c>
      <c r="B14" s="97">
        <f>'6. 2022 Installed kWh Savings'!B14+'6. 2022 Installed kWh Savings'!C14</f>
        <v>213876</v>
      </c>
      <c r="C14" s="364"/>
      <c r="D14" s="364"/>
      <c r="E14" s="364"/>
      <c r="F14" s="364"/>
      <c r="G14" s="364"/>
      <c r="H14" s="364"/>
      <c r="I14" s="364"/>
      <c r="J14" s="364"/>
      <c r="K14" s="364">
        <f>$B14*(SUMPRODUCT(K$30:K$32,$C$26:$C$28))/2</f>
        <v>7891.1688959999992</v>
      </c>
      <c r="L14" s="364">
        <f>$B14*(SUMPRODUCT(L$30:L$32,$C$26:$C$28))</f>
        <v>18080.863164000002</v>
      </c>
      <c r="M14" s="364">
        <f>$B14*(SUMPRODUCT(M$30:M$32,$C$26:$C$28))</f>
        <v>19223.174879999999</v>
      </c>
      <c r="N14" s="365">
        <f>$B14*(SUMPRODUCT(N$30:N$32,$C$26:$C$28))</f>
        <v>21026.577311999998</v>
      </c>
      <c r="O14" s="378">
        <f t="shared" si="0"/>
        <v>21640.401431999999</v>
      </c>
      <c r="P14" s="379">
        <f t="shared" si="0"/>
        <v>18915.407316000001</v>
      </c>
      <c r="Q14" s="379">
        <f t="shared" si="0"/>
        <v>19864.589004000001</v>
      </c>
      <c r="R14" s="379">
        <f t="shared" si="0"/>
        <v>18103.534019999999</v>
      </c>
      <c r="S14" s="379">
        <f t="shared" si="0"/>
        <v>16980.257268000001</v>
      </c>
      <c r="T14" s="379">
        <f t="shared" si="0"/>
        <v>14652.217008</v>
      </c>
      <c r="U14" s="379">
        <f t="shared" si="0"/>
        <v>14514.480863999999</v>
      </c>
      <c r="V14" s="379">
        <f t="shared" si="0"/>
        <v>15092.159940000001</v>
      </c>
      <c r="W14" s="379">
        <f t="shared" si="0"/>
        <v>15782.337791999998</v>
      </c>
      <c r="X14" s="379">
        <f t="shared" si="0"/>
        <v>18080.863164000002</v>
      </c>
      <c r="Y14" s="379">
        <f t="shared" si="0"/>
        <v>19223.174879999999</v>
      </c>
      <c r="Z14" s="380">
        <f t="shared" si="0"/>
        <v>21026.577311999998</v>
      </c>
      <c r="AA14" s="363">
        <f t="shared" si="1"/>
        <v>21640.401431999999</v>
      </c>
      <c r="AB14" s="364">
        <f t="shared" si="1"/>
        <v>18915.407316000001</v>
      </c>
      <c r="AC14" s="364">
        <f t="shared" si="1"/>
        <v>19864.589004000001</v>
      </c>
      <c r="AD14" s="364">
        <f t="shared" si="1"/>
        <v>18103.534019999999</v>
      </c>
      <c r="AE14" s="364">
        <f t="shared" si="1"/>
        <v>16980.257268000001</v>
      </c>
      <c r="AF14" s="364">
        <f t="shared" si="1"/>
        <v>14652.217008</v>
      </c>
      <c r="AG14" s="364">
        <f t="shared" si="1"/>
        <v>14514.480863999999</v>
      </c>
      <c r="AH14" s="364">
        <f t="shared" si="1"/>
        <v>15092.159940000001</v>
      </c>
      <c r="AI14" s="364">
        <f t="shared" si="1"/>
        <v>15782.337791999998</v>
      </c>
      <c r="AJ14" s="364">
        <f t="shared" si="1"/>
        <v>18080.863164000002</v>
      </c>
      <c r="AK14" s="364">
        <f t="shared" si="1"/>
        <v>19223.174879999999</v>
      </c>
      <c r="AL14" s="365">
        <f t="shared" si="1"/>
        <v>21026.577311999998</v>
      </c>
      <c r="AM14" s="378">
        <f t="shared" si="2"/>
        <v>21640.401431999999</v>
      </c>
      <c r="AN14" s="379">
        <f t="shared" si="2"/>
        <v>18915.407316000001</v>
      </c>
      <c r="AO14" s="379">
        <f t="shared" si="2"/>
        <v>19864.589004000001</v>
      </c>
      <c r="AP14" s="379">
        <f t="shared" si="2"/>
        <v>18103.534019999999</v>
      </c>
      <c r="AQ14" s="379">
        <f t="shared" si="2"/>
        <v>16980.257268000001</v>
      </c>
      <c r="AR14" s="379">
        <f t="shared" si="2"/>
        <v>14652.217008</v>
      </c>
      <c r="AS14" s="379">
        <f t="shared" si="2"/>
        <v>14514.480863999999</v>
      </c>
      <c r="AT14" s="379">
        <f t="shared" si="2"/>
        <v>15092.159940000001</v>
      </c>
      <c r="AU14" s="379">
        <f t="shared" si="2"/>
        <v>15782.337791999998</v>
      </c>
      <c r="AV14" s="379">
        <f t="shared" si="2"/>
        <v>18080.863164000002</v>
      </c>
      <c r="AW14" s="379">
        <f t="shared" si="2"/>
        <v>19223.174879999999</v>
      </c>
      <c r="AX14" s="380">
        <f t="shared" si="2"/>
        <v>21026.577311999998</v>
      </c>
      <c r="AY14" s="392">
        <f t="shared" si="4"/>
        <v>66221.784251999998</v>
      </c>
      <c r="AZ14" s="399">
        <f t="shared" si="5"/>
        <v>213876.00000000003</v>
      </c>
      <c r="BA14" s="399">
        <f t="shared" si="6"/>
        <v>213876.00000000003</v>
      </c>
      <c r="BB14" s="533">
        <f t="shared" si="7"/>
        <v>213876.00000000003</v>
      </c>
    </row>
    <row r="15" spans="1:54" x14ac:dyDescent="0.25">
      <c r="A15" s="18">
        <v>44835</v>
      </c>
      <c r="B15" s="97">
        <f>'6. 2022 Installed kWh Savings'!B15+'6. 2022 Installed kWh Savings'!C15</f>
        <v>88912</v>
      </c>
      <c r="C15" s="364"/>
      <c r="D15" s="364"/>
      <c r="E15" s="364"/>
      <c r="F15" s="364"/>
      <c r="G15" s="364"/>
      <c r="H15" s="364"/>
      <c r="I15" s="364"/>
      <c r="J15" s="364"/>
      <c r="K15" s="364"/>
      <c r="L15" s="364">
        <f>$B15*(SUMPRODUCT(L$30:L$32,$C$26:$C$28))/2</f>
        <v>3758.2657840000002</v>
      </c>
      <c r="M15" s="364">
        <f>$B15*(SUMPRODUCT(M$30:M$32,$C$26:$C$28))</f>
        <v>7991.4105600000003</v>
      </c>
      <c r="N15" s="365">
        <f>$B15*(SUMPRODUCT(N$30:N$32,$C$26:$C$28))</f>
        <v>8741.1165440000004</v>
      </c>
      <c r="O15" s="378">
        <f t="shared" si="0"/>
        <v>8996.2939839999999</v>
      </c>
      <c r="P15" s="379">
        <f t="shared" si="0"/>
        <v>7863.4661920000008</v>
      </c>
      <c r="Q15" s="379">
        <f t="shared" si="0"/>
        <v>8258.057648</v>
      </c>
      <c r="R15" s="379">
        <f t="shared" si="0"/>
        <v>7525.9562399999995</v>
      </c>
      <c r="S15" s="379">
        <f t="shared" si="0"/>
        <v>7058.9904160000006</v>
      </c>
      <c r="T15" s="379">
        <f t="shared" si="0"/>
        <v>6091.1832960000002</v>
      </c>
      <c r="U15" s="379">
        <f t="shared" si="0"/>
        <v>6033.9239679999991</v>
      </c>
      <c r="V15" s="379">
        <f t="shared" si="0"/>
        <v>6274.07528</v>
      </c>
      <c r="W15" s="379">
        <f t="shared" si="0"/>
        <v>6560.9943039999998</v>
      </c>
      <c r="X15" s="379">
        <f t="shared" si="0"/>
        <v>7516.5315680000003</v>
      </c>
      <c r="Y15" s="379">
        <f t="shared" si="0"/>
        <v>7991.4105600000003</v>
      </c>
      <c r="Z15" s="380">
        <f t="shared" si="0"/>
        <v>8741.1165440000004</v>
      </c>
      <c r="AA15" s="363">
        <f t="shared" si="1"/>
        <v>8996.2939839999999</v>
      </c>
      <c r="AB15" s="364">
        <f t="shared" si="1"/>
        <v>7863.4661920000008</v>
      </c>
      <c r="AC15" s="364">
        <f t="shared" si="1"/>
        <v>8258.057648</v>
      </c>
      <c r="AD15" s="364">
        <f t="shared" si="1"/>
        <v>7525.9562399999995</v>
      </c>
      <c r="AE15" s="364">
        <f t="shared" si="1"/>
        <v>7058.9904160000006</v>
      </c>
      <c r="AF15" s="364">
        <f t="shared" si="1"/>
        <v>6091.1832960000002</v>
      </c>
      <c r="AG15" s="364">
        <f t="shared" si="1"/>
        <v>6033.9239679999991</v>
      </c>
      <c r="AH15" s="364">
        <f t="shared" si="1"/>
        <v>6274.07528</v>
      </c>
      <c r="AI15" s="364">
        <f t="shared" si="1"/>
        <v>6560.9943039999998</v>
      </c>
      <c r="AJ15" s="364">
        <f t="shared" si="1"/>
        <v>7516.5315680000003</v>
      </c>
      <c r="AK15" s="364">
        <f t="shared" si="1"/>
        <v>7991.4105600000003</v>
      </c>
      <c r="AL15" s="365">
        <f t="shared" si="1"/>
        <v>8741.1165440000004</v>
      </c>
      <c r="AM15" s="378">
        <f t="shared" si="2"/>
        <v>8996.2939839999999</v>
      </c>
      <c r="AN15" s="379">
        <f t="shared" si="2"/>
        <v>7863.4661920000008</v>
      </c>
      <c r="AO15" s="379">
        <f t="shared" si="2"/>
        <v>8258.057648</v>
      </c>
      <c r="AP15" s="379">
        <f t="shared" si="2"/>
        <v>7525.9562399999995</v>
      </c>
      <c r="AQ15" s="379">
        <f t="shared" si="2"/>
        <v>7058.9904160000006</v>
      </c>
      <c r="AR15" s="379">
        <f t="shared" si="2"/>
        <v>6091.1832960000002</v>
      </c>
      <c r="AS15" s="379">
        <f t="shared" si="2"/>
        <v>6033.9239679999991</v>
      </c>
      <c r="AT15" s="379">
        <f t="shared" si="2"/>
        <v>6274.07528</v>
      </c>
      <c r="AU15" s="379">
        <f t="shared" si="2"/>
        <v>6560.9943039999998</v>
      </c>
      <c r="AV15" s="379">
        <f t="shared" si="2"/>
        <v>7516.5315680000003</v>
      </c>
      <c r="AW15" s="379">
        <f t="shared" si="2"/>
        <v>7991.4105600000003</v>
      </c>
      <c r="AX15" s="380">
        <f t="shared" si="2"/>
        <v>8741.1165440000004</v>
      </c>
      <c r="AY15" s="392">
        <f t="shared" si="4"/>
        <v>20490.792888</v>
      </c>
      <c r="AZ15" s="399">
        <f t="shared" si="5"/>
        <v>88912.000000000015</v>
      </c>
      <c r="BA15" s="399">
        <f t="shared" si="6"/>
        <v>88912.000000000015</v>
      </c>
      <c r="BB15" s="533">
        <f t="shared" si="7"/>
        <v>88912.000000000015</v>
      </c>
    </row>
    <row r="16" spans="1:54" x14ac:dyDescent="0.25">
      <c r="A16" s="18">
        <v>44866</v>
      </c>
      <c r="B16" s="97">
        <f>'6. 2022 Installed kWh Savings'!B16+'6. 2022 Installed kWh Savings'!C16</f>
        <v>0</v>
      </c>
      <c r="C16" s="364"/>
      <c r="D16" s="364"/>
      <c r="E16" s="364"/>
      <c r="F16" s="364"/>
      <c r="G16" s="364"/>
      <c r="H16" s="364"/>
      <c r="I16" s="364"/>
      <c r="J16" s="364"/>
      <c r="K16" s="364"/>
      <c r="L16" s="364"/>
      <c r="M16" s="364">
        <f>$B16*(SUMPRODUCT(M$30:M$32,$C$26:$C$28))/2</f>
        <v>0</v>
      </c>
      <c r="N16" s="365">
        <f>$B16*(SUMPRODUCT(N$30:N$32,$C$26:$C$28))</f>
        <v>0</v>
      </c>
      <c r="O16" s="378">
        <f t="shared" si="0"/>
        <v>0</v>
      </c>
      <c r="P16" s="379">
        <f t="shared" si="0"/>
        <v>0</v>
      </c>
      <c r="Q16" s="379">
        <f t="shared" si="0"/>
        <v>0</v>
      </c>
      <c r="R16" s="379">
        <f t="shared" si="0"/>
        <v>0</v>
      </c>
      <c r="S16" s="379">
        <f t="shared" si="0"/>
        <v>0</v>
      </c>
      <c r="T16" s="379">
        <f t="shared" si="0"/>
        <v>0</v>
      </c>
      <c r="U16" s="379">
        <f t="shared" si="0"/>
        <v>0</v>
      </c>
      <c r="V16" s="379">
        <f t="shared" si="0"/>
        <v>0</v>
      </c>
      <c r="W16" s="379">
        <f t="shared" si="0"/>
        <v>0</v>
      </c>
      <c r="X16" s="379">
        <f t="shared" si="0"/>
        <v>0</v>
      </c>
      <c r="Y16" s="379">
        <f t="shared" si="0"/>
        <v>0</v>
      </c>
      <c r="Z16" s="380">
        <f t="shared" si="0"/>
        <v>0</v>
      </c>
      <c r="AA16" s="363">
        <f t="shared" si="1"/>
        <v>0</v>
      </c>
      <c r="AB16" s="364">
        <f t="shared" si="1"/>
        <v>0</v>
      </c>
      <c r="AC16" s="364">
        <f t="shared" si="1"/>
        <v>0</v>
      </c>
      <c r="AD16" s="364">
        <f t="shared" si="1"/>
        <v>0</v>
      </c>
      <c r="AE16" s="364">
        <f t="shared" si="1"/>
        <v>0</v>
      </c>
      <c r="AF16" s="364">
        <f t="shared" si="1"/>
        <v>0</v>
      </c>
      <c r="AG16" s="364">
        <f t="shared" si="1"/>
        <v>0</v>
      </c>
      <c r="AH16" s="364">
        <f t="shared" si="1"/>
        <v>0</v>
      </c>
      <c r="AI16" s="364">
        <f t="shared" si="1"/>
        <v>0</v>
      </c>
      <c r="AJ16" s="364">
        <f t="shared" si="1"/>
        <v>0</v>
      </c>
      <c r="AK16" s="364">
        <f t="shared" si="1"/>
        <v>0</v>
      </c>
      <c r="AL16" s="365">
        <f t="shared" si="1"/>
        <v>0</v>
      </c>
      <c r="AM16" s="378">
        <f t="shared" si="2"/>
        <v>0</v>
      </c>
      <c r="AN16" s="379">
        <f t="shared" si="2"/>
        <v>0</v>
      </c>
      <c r="AO16" s="379">
        <f t="shared" si="2"/>
        <v>0</v>
      </c>
      <c r="AP16" s="379">
        <f t="shared" si="2"/>
        <v>0</v>
      </c>
      <c r="AQ16" s="379">
        <f t="shared" si="2"/>
        <v>0</v>
      </c>
      <c r="AR16" s="379">
        <f t="shared" si="2"/>
        <v>0</v>
      </c>
      <c r="AS16" s="379">
        <f t="shared" si="2"/>
        <v>0</v>
      </c>
      <c r="AT16" s="379">
        <f t="shared" si="2"/>
        <v>0</v>
      </c>
      <c r="AU16" s="379">
        <f t="shared" si="2"/>
        <v>0</v>
      </c>
      <c r="AV16" s="379">
        <f t="shared" si="2"/>
        <v>0</v>
      </c>
      <c r="AW16" s="379">
        <f t="shared" si="2"/>
        <v>0</v>
      </c>
      <c r="AX16" s="380">
        <f t="shared" si="2"/>
        <v>0</v>
      </c>
      <c r="AY16" s="392">
        <f t="shared" si="4"/>
        <v>0</v>
      </c>
      <c r="AZ16" s="399">
        <f t="shared" si="5"/>
        <v>0</v>
      </c>
      <c r="BA16" s="399">
        <f t="shared" si="6"/>
        <v>0</v>
      </c>
      <c r="BB16" s="533">
        <f t="shared" si="7"/>
        <v>0</v>
      </c>
    </row>
    <row r="17" spans="1:54" x14ac:dyDescent="0.25">
      <c r="A17" s="18">
        <v>44896</v>
      </c>
      <c r="B17" s="98">
        <f>'6. 2022 Installed kWh Savings'!B17+'6. 2022 Installed kWh Savings'!C17</f>
        <v>567821.34428900003</v>
      </c>
      <c r="C17" s="364"/>
      <c r="D17" s="364"/>
      <c r="E17" s="364"/>
      <c r="F17" s="364"/>
      <c r="G17" s="364"/>
      <c r="H17" s="364"/>
      <c r="I17" s="364"/>
      <c r="J17" s="364"/>
      <c r="K17" s="364"/>
      <c r="L17" s="364"/>
      <c r="M17" s="364"/>
      <c r="N17" s="365">
        <f>$B17*(SUMPRODUCT(N$30:N$32,$C$26:$C$28))/2</f>
        <v>27911.825999870085</v>
      </c>
      <c r="O17" s="378">
        <f>$B17*(SUMPRODUCT(O$30:O$32,$C$26:$C$28))</f>
        <v>57453.299257849598</v>
      </c>
      <c r="P17" s="379">
        <f t="shared" si="0"/>
        <v>50218.687510263451</v>
      </c>
      <c r="Q17" s="379">
        <f t="shared" si="0"/>
        <v>52738.678636218036</v>
      </c>
      <c r="R17" s="379">
        <f t="shared" si="0"/>
        <v>48063.237687342407</v>
      </c>
      <c r="S17" s="379">
        <f t="shared" si="0"/>
        <v>45081.039987136581</v>
      </c>
      <c r="T17" s="379">
        <f t="shared" si="0"/>
        <v>38900.304654550811</v>
      </c>
      <c r="U17" s="379">
        <f t="shared" si="0"/>
        <v>38534.627708828695</v>
      </c>
      <c r="V17" s="379">
        <f t="shared" si="0"/>
        <v>40068.313159753292</v>
      </c>
      <c r="W17" s="379">
        <f t="shared" si="0"/>
        <v>41900.672637773889</v>
      </c>
      <c r="X17" s="379">
        <f t="shared" si="0"/>
        <v>48003.048624847775</v>
      </c>
      <c r="Y17" s="379">
        <f t="shared" si="0"/>
        <v>51035.782424695324</v>
      </c>
      <c r="Z17" s="380">
        <f t="shared" si="0"/>
        <v>55823.65199974017</v>
      </c>
      <c r="AA17" s="363">
        <f>$B17*(SUMPRODUCT(AA$30:AA$32,$C$26:$C$28))</f>
        <v>57453.299257849598</v>
      </c>
      <c r="AB17" s="364">
        <f t="shared" si="1"/>
        <v>50218.687510263451</v>
      </c>
      <c r="AC17" s="364">
        <f t="shared" si="1"/>
        <v>52738.678636218036</v>
      </c>
      <c r="AD17" s="364">
        <f t="shared" si="1"/>
        <v>48063.237687342407</v>
      </c>
      <c r="AE17" s="364">
        <f t="shared" si="1"/>
        <v>45081.039987136581</v>
      </c>
      <c r="AF17" s="364">
        <f t="shared" si="1"/>
        <v>38900.304654550811</v>
      </c>
      <c r="AG17" s="364">
        <f t="shared" si="1"/>
        <v>38534.627708828695</v>
      </c>
      <c r="AH17" s="364">
        <f t="shared" si="1"/>
        <v>40068.313159753292</v>
      </c>
      <c r="AI17" s="364">
        <f t="shared" si="1"/>
        <v>41900.672637773889</v>
      </c>
      <c r="AJ17" s="364">
        <f t="shared" si="1"/>
        <v>48003.048624847775</v>
      </c>
      <c r="AK17" s="364">
        <f t="shared" si="1"/>
        <v>51035.782424695324</v>
      </c>
      <c r="AL17" s="365">
        <f t="shared" si="1"/>
        <v>55823.65199974017</v>
      </c>
      <c r="AM17" s="378">
        <f>$B17*(SUMPRODUCT(AM$30:AM$32,$C$26:$C$28))</f>
        <v>57453.299257849598</v>
      </c>
      <c r="AN17" s="379">
        <f t="shared" si="2"/>
        <v>50218.687510263451</v>
      </c>
      <c r="AO17" s="379">
        <f t="shared" si="2"/>
        <v>52738.678636218036</v>
      </c>
      <c r="AP17" s="379">
        <f t="shared" si="2"/>
        <v>48063.237687342407</v>
      </c>
      <c r="AQ17" s="379">
        <f t="shared" si="2"/>
        <v>45081.039987136581</v>
      </c>
      <c r="AR17" s="379">
        <f t="shared" si="2"/>
        <v>38900.304654550811</v>
      </c>
      <c r="AS17" s="379">
        <f t="shared" si="2"/>
        <v>38534.627708828695</v>
      </c>
      <c r="AT17" s="379">
        <f t="shared" si="2"/>
        <v>40068.313159753292</v>
      </c>
      <c r="AU17" s="379">
        <f t="shared" si="2"/>
        <v>41900.672637773889</v>
      </c>
      <c r="AV17" s="379">
        <f t="shared" si="2"/>
        <v>48003.048624847775</v>
      </c>
      <c r="AW17" s="379">
        <f t="shared" si="2"/>
        <v>51035.782424695324</v>
      </c>
      <c r="AX17" s="380">
        <f t="shared" si="2"/>
        <v>55823.65199974017</v>
      </c>
      <c r="AY17" s="392">
        <f t="shared" si="4"/>
        <v>27911.825999870085</v>
      </c>
      <c r="AZ17" s="399">
        <f t="shared" si="5"/>
        <v>567821.34428900015</v>
      </c>
      <c r="BA17" s="399">
        <f t="shared" si="6"/>
        <v>567821.34428900015</v>
      </c>
      <c r="BB17" s="533">
        <f t="shared" si="7"/>
        <v>567821.34428900015</v>
      </c>
    </row>
    <row r="18" spans="1:54" x14ac:dyDescent="0.25">
      <c r="A18" s="18"/>
      <c r="B18" s="20"/>
      <c r="C18" s="363"/>
      <c r="D18" s="364"/>
      <c r="E18" s="364"/>
      <c r="F18" s="364"/>
      <c r="G18" s="364"/>
      <c r="H18" s="364"/>
      <c r="I18" s="364"/>
      <c r="J18" s="364"/>
      <c r="K18" s="364"/>
      <c r="L18" s="364"/>
      <c r="M18" s="364"/>
      <c r="N18" s="365"/>
      <c r="O18" s="378"/>
      <c r="P18" s="379"/>
      <c r="Q18" s="379"/>
      <c r="R18" s="379"/>
      <c r="S18" s="379"/>
      <c r="T18" s="379"/>
      <c r="U18" s="379"/>
      <c r="V18" s="379"/>
      <c r="W18" s="379"/>
      <c r="X18" s="379"/>
      <c r="Y18" s="379"/>
      <c r="Z18" s="380"/>
      <c r="AA18" s="363"/>
      <c r="AB18" s="364"/>
      <c r="AC18" s="364"/>
      <c r="AD18" s="364"/>
      <c r="AE18" s="364"/>
      <c r="AF18" s="364"/>
      <c r="AG18" s="364"/>
      <c r="AH18" s="364"/>
      <c r="AI18" s="364"/>
      <c r="AJ18" s="364"/>
      <c r="AK18" s="364"/>
      <c r="AL18" s="365"/>
      <c r="AM18" s="378"/>
      <c r="AN18" s="379"/>
      <c r="AO18" s="379"/>
      <c r="AP18" s="379"/>
      <c r="AQ18" s="379"/>
      <c r="AR18" s="379"/>
      <c r="AS18" s="379"/>
      <c r="AT18" s="379"/>
      <c r="AU18" s="379"/>
      <c r="AV18" s="379"/>
      <c r="AW18" s="379"/>
      <c r="AX18" s="380"/>
      <c r="AY18" s="392"/>
      <c r="AZ18" s="399"/>
      <c r="BA18" s="399"/>
      <c r="BB18" s="534"/>
    </row>
    <row r="19" spans="1:54" x14ac:dyDescent="0.25">
      <c r="A19" s="18" t="s">
        <v>35</v>
      </c>
      <c r="B19" s="20">
        <f>SUM(B6:B17)</f>
        <v>5057545.1642890004</v>
      </c>
      <c r="C19" s="447">
        <f t="shared" ref="C19:Z19" si="12">SUM(C6:C17)</f>
        <v>53979.534588999995</v>
      </c>
      <c r="D19" s="448">
        <f t="shared" si="12"/>
        <v>130235.73229231001</v>
      </c>
      <c r="E19" s="448">
        <f t="shared" si="12"/>
        <v>232659.37054878002</v>
      </c>
      <c r="F19" s="448">
        <f t="shared" si="12"/>
        <v>284756.2184214</v>
      </c>
      <c r="G19" s="448">
        <f t="shared" si="12"/>
        <v>303431.06030026003</v>
      </c>
      <c r="H19" s="448">
        <f t="shared" si="12"/>
        <v>282055.78164455999</v>
      </c>
      <c r="I19" s="448">
        <f t="shared" si="12"/>
        <v>284142.21248848003</v>
      </c>
      <c r="J19" s="448">
        <f t="shared" si="12"/>
        <v>295451.12613829999</v>
      </c>
      <c r="K19" s="448">
        <f t="shared" si="12"/>
        <v>316853.53692544001</v>
      </c>
      <c r="L19" s="448">
        <f t="shared" si="12"/>
        <v>375798.49623498006</v>
      </c>
      <c r="M19" s="448">
        <f t="shared" si="12"/>
        <v>403536.37694160006</v>
      </c>
      <c r="N19" s="449">
        <f t="shared" si="12"/>
        <v>469305.55419171002</v>
      </c>
      <c r="O19" s="425">
        <f t="shared" si="12"/>
        <v>511732.53481308953</v>
      </c>
      <c r="P19" s="426">
        <f t="shared" si="12"/>
        <v>447294.35187488358</v>
      </c>
      <c r="Q19" s="426">
        <f t="shared" si="12"/>
        <v>469739.73731399805</v>
      </c>
      <c r="R19" s="426">
        <f t="shared" si="12"/>
        <v>428095.91043124237</v>
      </c>
      <c r="S19" s="426">
        <f t="shared" si="12"/>
        <v>401533.68322839658</v>
      </c>
      <c r="T19" s="426">
        <f t="shared" si="12"/>
        <v>346482.30411511083</v>
      </c>
      <c r="U19" s="426">
        <f t="shared" si="12"/>
        <v>343225.24502930872</v>
      </c>
      <c r="V19" s="426">
        <f t="shared" si="12"/>
        <v>356885.67451805325</v>
      </c>
      <c r="W19" s="426">
        <f t="shared" si="12"/>
        <v>373206.37276321388</v>
      </c>
      <c r="X19" s="426">
        <f t="shared" si="12"/>
        <v>427559.81064382783</v>
      </c>
      <c r="Y19" s="426">
        <f t="shared" si="12"/>
        <v>454572.15936629538</v>
      </c>
      <c r="Z19" s="427">
        <f t="shared" si="12"/>
        <v>497217.3801915801</v>
      </c>
      <c r="AA19" s="447">
        <f t="shared" ref="AA19:BA19" si="13">SUM(AA6:AA17)</f>
        <v>511732.53481308953</v>
      </c>
      <c r="AB19" s="448">
        <f t="shared" si="13"/>
        <v>447294.35187488358</v>
      </c>
      <c r="AC19" s="448">
        <f t="shared" si="13"/>
        <v>469739.73731399805</v>
      </c>
      <c r="AD19" s="448">
        <f t="shared" si="13"/>
        <v>428095.91043124237</v>
      </c>
      <c r="AE19" s="448">
        <f t="shared" si="13"/>
        <v>401533.68322839658</v>
      </c>
      <c r="AF19" s="448">
        <f t="shared" si="13"/>
        <v>346482.30411511083</v>
      </c>
      <c r="AG19" s="448">
        <f t="shared" si="13"/>
        <v>343225.24502930872</v>
      </c>
      <c r="AH19" s="448">
        <f t="shared" si="13"/>
        <v>356885.67451805325</v>
      </c>
      <c r="AI19" s="448">
        <f t="shared" si="13"/>
        <v>373206.37276321388</v>
      </c>
      <c r="AJ19" s="448">
        <f t="shared" si="13"/>
        <v>427559.81064382783</v>
      </c>
      <c r="AK19" s="448">
        <f t="shared" si="13"/>
        <v>454572.15936629538</v>
      </c>
      <c r="AL19" s="449">
        <f t="shared" si="13"/>
        <v>497217.3801915801</v>
      </c>
      <c r="AM19" s="425">
        <f t="shared" ref="AM19:AX19" si="14">SUM(AM6:AM17)</f>
        <v>511732.53481308953</v>
      </c>
      <c r="AN19" s="426">
        <f t="shared" si="14"/>
        <v>447294.35187488358</v>
      </c>
      <c r="AO19" s="426">
        <f t="shared" si="14"/>
        <v>469739.73731399805</v>
      </c>
      <c r="AP19" s="426">
        <f t="shared" si="14"/>
        <v>428095.91043124237</v>
      </c>
      <c r="AQ19" s="426">
        <f t="shared" si="14"/>
        <v>401533.68322839658</v>
      </c>
      <c r="AR19" s="426">
        <f t="shared" si="14"/>
        <v>346482.30411511083</v>
      </c>
      <c r="AS19" s="426">
        <f t="shared" si="14"/>
        <v>343225.24502930872</v>
      </c>
      <c r="AT19" s="426">
        <f t="shared" si="14"/>
        <v>356885.67451805325</v>
      </c>
      <c r="AU19" s="426">
        <f t="shared" si="14"/>
        <v>373206.37276321388</v>
      </c>
      <c r="AV19" s="426">
        <f t="shared" si="14"/>
        <v>427559.81064382783</v>
      </c>
      <c r="AW19" s="426">
        <f t="shared" si="14"/>
        <v>454572.15936629538</v>
      </c>
      <c r="AX19" s="427">
        <f t="shared" si="14"/>
        <v>497217.3801915801</v>
      </c>
      <c r="AY19" s="397">
        <f t="shared" si="13"/>
        <v>3432205.0007168204</v>
      </c>
      <c r="AZ19" s="411">
        <f t="shared" si="13"/>
        <v>5057545.1642890004</v>
      </c>
      <c r="BA19" s="398">
        <f t="shared" si="13"/>
        <v>5057545.1642890004</v>
      </c>
      <c r="BB19" s="535">
        <f t="shared" ref="BB19" si="15">SUM(BB6:BB17)</f>
        <v>5057545.1642890004</v>
      </c>
    </row>
    <row r="20" spans="1:54" x14ac:dyDescent="0.25">
      <c r="A20" s="22" t="s">
        <v>38</v>
      </c>
      <c r="B20" s="733">
        <f>'Step Adjustments'!$F$7</f>
        <v>0.7</v>
      </c>
      <c r="C20" s="366"/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8"/>
      <c r="O20" s="381"/>
      <c r="P20" s="382"/>
      <c r="Q20" s="382"/>
      <c r="R20" s="382"/>
      <c r="S20" s="382"/>
      <c r="T20" s="382"/>
      <c r="U20" s="382"/>
      <c r="V20" s="382"/>
      <c r="W20" s="382"/>
      <c r="X20" s="382"/>
      <c r="Y20" s="382"/>
      <c r="Z20" s="383"/>
      <c r="AA20" s="366"/>
      <c r="AB20" s="367"/>
      <c r="AC20" s="367"/>
      <c r="AD20" s="367"/>
      <c r="AE20" s="367"/>
      <c r="AF20" s="367"/>
      <c r="AG20" s="367"/>
      <c r="AH20" s="367"/>
      <c r="AI20" s="367"/>
      <c r="AJ20" s="367"/>
      <c r="AK20" s="367"/>
      <c r="AL20" s="368"/>
      <c r="AM20" s="381"/>
      <c r="AN20" s="382"/>
      <c r="AO20" s="382"/>
      <c r="AP20" s="382"/>
      <c r="AQ20" s="382"/>
      <c r="AR20" s="382"/>
      <c r="AS20" s="382"/>
      <c r="AT20" s="382"/>
      <c r="AU20" s="382"/>
      <c r="AV20" s="382"/>
      <c r="AW20" s="382"/>
      <c r="AX20" s="383"/>
      <c r="AY20" s="393"/>
      <c r="AZ20" s="400"/>
      <c r="BA20" s="394"/>
      <c r="BB20" s="394"/>
    </row>
    <row r="21" spans="1:54" x14ac:dyDescent="0.25">
      <c r="A21" s="18" t="s">
        <v>36</v>
      </c>
      <c r="B21" s="20"/>
      <c r="C21" s="369">
        <f>$F$38</f>
        <v>3.6889999999999992E-2</v>
      </c>
      <c r="D21" s="360">
        <f>$F$38</f>
        <v>3.6889999999999992E-2</v>
      </c>
      <c r="E21" s="360">
        <f>$F$38</f>
        <v>3.6889999999999992E-2</v>
      </c>
      <c r="F21" s="360">
        <f>$F$38</f>
        <v>3.6889999999999992E-2</v>
      </c>
      <c r="G21" s="360">
        <f>$F$38</f>
        <v>3.6889999999999992E-2</v>
      </c>
      <c r="H21" s="406">
        <f>F38*0.5+L37*0.5</f>
        <v>4.5249999999999999E-2</v>
      </c>
      <c r="I21" s="360">
        <f>$L$37</f>
        <v>5.3609999999999998E-2</v>
      </c>
      <c r="J21" s="360">
        <f>$L$37</f>
        <v>5.3609999999999998E-2</v>
      </c>
      <c r="K21" s="360">
        <f>$L$37</f>
        <v>5.3609999999999998E-2</v>
      </c>
      <c r="L21" s="406">
        <f>L37*0.5+L38*0.5</f>
        <v>5.3444999999999999E-2</v>
      </c>
      <c r="M21" s="360">
        <f t="shared" ref="M21:S21" si="16">$S$38</f>
        <v>5.3788442674849862E-2</v>
      </c>
      <c r="N21" s="370">
        <f t="shared" si="16"/>
        <v>5.3788442674849862E-2</v>
      </c>
      <c r="O21" s="384">
        <f t="shared" si="16"/>
        <v>5.3788442674849862E-2</v>
      </c>
      <c r="P21" s="374">
        <f t="shared" si="16"/>
        <v>5.3788442674849862E-2</v>
      </c>
      <c r="Q21" s="374">
        <f t="shared" si="16"/>
        <v>5.3788442674849862E-2</v>
      </c>
      <c r="R21" s="374">
        <f t="shared" si="16"/>
        <v>5.3788442674849862E-2</v>
      </c>
      <c r="S21" s="374">
        <f t="shared" si="16"/>
        <v>5.3788442674849862E-2</v>
      </c>
      <c r="T21" s="374">
        <f>$S$37*0.5+$S$38*0.5</f>
        <v>5.3948442674849863E-2</v>
      </c>
      <c r="U21" s="374">
        <f>$S$37</f>
        <v>5.4108442674849863E-2</v>
      </c>
      <c r="V21" s="374">
        <f>$S$37</f>
        <v>5.4108442674849863E-2</v>
      </c>
      <c r="W21" s="374">
        <f>$S$37</f>
        <v>5.4108442674849863E-2</v>
      </c>
      <c r="X21" s="374">
        <f>$S$37*0.5+$S$38*0.5</f>
        <v>5.3948442674849863E-2</v>
      </c>
      <c r="Y21" s="374">
        <f>$S$38</f>
        <v>5.3788442674849862E-2</v>
      </c>
      <c r="Z21" s="385">
        <f>$S$38</f>
        <v>5.3788442674849862E-2</v>
      </c>
      <c r="AA21" s="369">
        <f t="shared" ref="AA21:AE21" si="17">$S$38</f>
        <v>5.3788442674849862E-2</v>
      </c>
      <c r="AB21" s="360">
        <f t="shared" si="17"/>
        <v>5.3788442674849862E-2</v>
      </c>
      <c r="AC21" s="360">
        <f t="shared" si="17"/>
        <v>5.3788442674849862E-2</v>
      </c>
      <c r="AD21" s="360">
        <f t="shared" si="17"/>
        <v>5.3788442674849862E-2</v>
      </c>
      <c r="AE21" s="360">
        <f t="shared" si="17"/>
        <v>5.3788442674849862E-2</v>
      </c>
      <c r="AF21" s="360">
        <f>$S$37*0.5+$S$38*0.5</f>
        <v>5.3948442674849863E-2</v>
      </c>
      <c r="AG21" s="360">
        <f>$S$37</f>
        <v>5.4108442674849863E-2</v>
      </c>
      <c r="AH21" s="360">
        <f>$S$37</f>
        <v>5.4108442674849863E-2</v>
      </c>
      <c r="AI21" s="360">
        <f>$S$37</f>
        <v>5.4108442674849863E-2</v>
      </c>
      <c r="AJ21" s="360">
        <f>$S$37*0.5+$S$38*0.5</f>
        <v>5.3948442674849863E-2</v>
      </c>
      <c r="AK21" s="360">
        <f>$S$38</f>
        <v>5.3788442674849862E-2</v>
      </c>
      <c r="AL21" s="370">
        <f>$S$38</f>
        <v>5.3788442674849862E-2</v>
      </c>
      <c r="AM21" s="384">
        <f t="shared" ref="AM21:AQ21" si="18">$S$38</f>
        <v>5.3788442674849862E-2</v>
      </c>
      <c r="AN21" s="374">
        <f t="shared" si="18"/>
        <v>5.3788442674849862E-2</v>
      </c>
      <c r="AO21" s="374">
        <f t="shared" si="18"/>
        <v>5.3788442674849862E-2</v>
      </c>
      <c r="AP21" s="374">
        <f t="shared" si="18"/>
        <v>5.3788442674849862E-2</v>
      </c>
      <c r="AQ21" s="374">
        <f t="shared" si="18"/>
        <v>5.3788442674849862E-2</v>
      </c>
      <c r="AR21" s="374">
        <f>$S$37*0.5+$S$38*0.5</f>
        <v>5.3948442674849863E-2</v>
      </c>
      <c r="AS21" s="374">
        <f>$S$37</f>
        <v>5.4108442674849863E-2</v>
      </c>
      <c r="AT21" s="374">
        <f>$S$37</f>
        <v>5.4108442674849863E-2</v>
      </c>
      <c r="AU21" s="374">
        <f>$S$37</f>
        <v>5.4108442674849863E-2</v>
      </c>
      <c r="AV21" s="374">
        <f>$S$37*0.5+$S$38*0.5</f>
        <v>5.3948442674849863E-2</v>
      </c>
      <c r="AW21" s="374">
        <f>$S$38</f>
        <v>5.3788442674849862E-2</v>
      </c>
      <c r="AX21" s="385">
        <f>$S$38</f>
        <v>5.3788442674849862E-2</v>
      </c>
      <c r="AY21" s="395"/>
      <c r="AZ21" s="401"/>
      <c r="BA21" s="396"/>
      <c r="BB21" s="396"/>
    </row>
    <row r="22" spans="1:54" x14ac:dyDescent="0.25">
      <c r="A22" s="21" t="s">
        <v>37</v>
      </c>
      <c r="B22" s="21"/>
      <c r="C22" s="371">
        <f t="shared" ref="C22:Z22" si="19">C19*$B$20*C21</f>
        <v>1393.9135216917464</v>
      </c>
      <c r="D22" s="372">
        <f t="shared" si="19"/>
        <v>3363.0773149843208</v>
      </c>
      <c r="E22" s="372">
        <f t="shared" si="19"/>
        <v>6007.962925681145</v>
      </c>
      <c r="F22" s="372">
        <f t="shared" si="19"/>
        <v>7353.2598282958106</v>
      </c>
      <c r="G22" s="372">
        <f t="shared" si="19"/>
        <v>7835.5002701336125</v>
      </c>
      <c r="H22" s="372">
        <f t="shared" si="19"/>
        <v>8934.1168835914359</v>
      </c>
      <c r="I22" s="372">
        <f t="shared" si="19"/>
        <v>10663.00480805519</v>
      </c>
      <c r="J22" s="372">
        <f t="shared" si="19"/>
        <v>11087.394410591982</v>
      </c>
      <c r="K22" s="372">
        <f t="shared" si="19"/>
        <v>11890.562680200987</v>
      </c>
      <c r="L22" s="372">
        <f t="shared" si="19"/>
        <v>14059.185441894957</v>
      </c>
      <c r="M22" s="372">
        <f t="shared" si="19"/>
        <v>15193.915294837901</v>
      </c>
      <c r="N22" s="373">
        <f t="shared" si="19"/>
        <v>17670.250429040607</v>
      </c>
      <c r="O22" s="386">
        <f t="shared" si="19"/>
        <v>19267.70727955463</v>
      </c>
      <c r="P22" s="387">
        <f t="shared" si="19"/>
        <v>16841.486623224406</v>
      </c>
      <c r="Q22" s="387">
        <f t="shared" si="19"/>
        <v>17686.598252829113</v>
      </c>
      <c r="R22" s="387">
        <f t="shared" si="19"/>
        <v>16118.628636297977</v>
      </c>
      <c r="S22" s="387">
        <f t="shared" si="19"/>
        <v>15118.510051646352</v>
      </c>
      <c r="T22" s="387">
        <f t="shared" si="19"/>
        <v>13084.526504982767</v>
      </c>
      <c r="U22" s="387">
        <f t="shared" si="19"/>
        <v>12999.968446660752</v>
      </c>
      <c r="V22" s="387">
        <f t="shared" si="19"/>
        <v>13517.369642794647</v>
      </c>
      <c r="W22" s="387">
        <f t="shared" si="19"/>
        <v>14135.530938582904</v>
      </c>
      <c r="X22" s="387">
        <f t="shared" si="19"/>
        <v>16146.330154211746</v>
      </c>
      <c r="Y22" s="387">
        <f t="shared" si="19"/>
        <v>17115.509974959685</v>
      </c>
      <c r="Z22" s="388">
        <f t="shared" si="19"/>
        <v>18721.183985961685</v>
      </c>
      <c r="AA22" s="371">
        <f t="shared" ref="AA22:AL22" si="20">AA19*$B$20*AA21</f>
        <v>19267.70727955463</v>
      </c>
      <c r="AB22" s="372">
        <f t="shared" si="20"/>
        <v>16841.486623224406</v>
      </c>
      <c r="AC22" s="372">
        <f t="shared" si="20"/>
        <v>17686.598252829113</v>
      </c>
      <c r="AD22" s="372">
        <f t="shared" si="20"/>
        <v>16118.628636297977</v>
      </c>
      <c r="AE22" s="372">
        <f t="shared" si="20"/>
        <v>15118.510051646352</v>
      </c>
      <c r="AF22" s="372">
        <f t="shared" si="20"/>
        <v>13084.526504982767</v>
      </c>
      <c r="AG22" s="372">
        <f t="shared" si="20"/>
        <v>12999.968446660752</v>
      </c>
      <c r="AH22" s="372">
        <f t="shared" si="20"/>
        <v>13517.369642794647</v>
      </c>
      <c r="AI22" s="372">
        <f t="shared" si="20"/>
        <v>14135.530938582904</v>
      </c>
      <c r="AJ22" s="372">
        <f t="shared" si="20"/>
        <v>16146.330154211746</v>
      </c>
      <c r="AK22" s="372">
        <f t="shared" si="20"/>
        <v>17115.509974959685</v>
      </c>
      <c r="AL22" s="373">
        <f t="shared" si="20"/>
        <v>18721.183985961685</v>
      </c>
      <c r="AM22" s="386">
        <f t="shared" ref="AM22:AX22" si="21">AM19*$B$20*AM21</f>
        <v>19267.70727955463</v>
      </c>
      <c r="AN22" s="387">
        <f t="shared" si="21"/>
        <v>16841.486623224406</v>
      </c>
      <c r="AO22" s="387">
        <f t="shared" si="21"/>
        <v>17686.598252829113</v>
      </c>
      <c r="AP22" s="387">
        <f t="shared" si="21"/>
        <v>16118.628636297977</v>
      </c>
      <c r="AQ22" s="387">
        <f t="shared" si="21"/>
        <v>15118.510051646352</v>
      </c>
      <c r="AR22" s="387">
        <f t="shared" si="21"/>
        <v>13084.526504982767</v>
      </c>
      <c r="AS22" s="387">
        <f t="shared" si="21"/>
        <v>12999.968446660752</v>
      </c>
      <c r="AT22" s="387">
        <f t="shared" si="21"/>
        <v>13517.369642794647</v>
      </c>
      <c r="AU22" s="387">
        <f t="shared" si="21"/>
        <v>14135.530938582904</v>
      </c>
      <c r="AV22" s="387">
        <f t="shared" si="21"/>
        <v>16146.330154211746</v>
      </c>
      <c r="AW22" s="387">
        <f t="shared" si="21"/>
        <v>17115.509974959685</v>
      </c>
      <c r="AX22" s="388">
        <f t="shared" si="21"/>
        <v>18721.183985961685</v>
      </c>
      <c r="AY22" s="397">
        <f t="shared" ref="AY22" si="22">SUM(C22:N22)</f>
        <v>115452.14380899968</v>
      </c>
      <c r="AZ22" s="411">
        <f t="shared" ref="AZ22" si="23">SUM(O22:Z22)</f>
        <v>190753.35049170669</v>
      </c>
      <c r="BA22" s="398">
        <f t="shared" ref="BA22" si="24">SUM(AA22:AL22)</f>
        <v>190753.35049170669</v>
      </c>
      <c r="BB22" s="398">
        <f>SUM(AM22:AX22)</f>
        <v>190753.35049170669</v>
      </c>
    </row>
    <row r="24" spans="1:54" x14ac:dyDescent="0.25">
      <c r="K24" s="19"/>
    </row>
    <row r="25" spans="1:54" x14ac:dyDescent="0.25">
      <c r="A25" s="196" t="s">
        <v>39</v>
      </c>
      <c r="B25" s="276"/>
      <c r="C25" s="277"/>
      <c r="I25" s="23"/>
    </row>
    <row r="26" spans="1:54" x14ac:dyDescent="0.25">
      <c r="A26" s="356" t="s">
        <v>298</v>
      </c>
      <c r="B26" s="262"/>
      <c r="C26" s="263">
        <v>1</v>
      </c>
      <c r="I26" s="23"/>
    </row>
    <row r="27" spans="1:54" x14ac:dyDescent="0.25">
      <c r="A27" s="357" t="s">
        <v>299</v>
      </c>
      <c r="B27" s="261"/>
      <c r="C27" s="256">
        <v>0</v>
      </c>
      <c r="I27" s="23"/>
    </row>
    <row r="28" spans="1:54" x14ac:dyDescent="0.25">
      <c r="A28" s="358" t="s">
        <v>300</v>
      </c>
      <c r="B28" s="257"/>
      <c r="C28" s="258">
        <v>0</v>
      </c>
    </row>
    <row r="29" spans="1:54" x14ac:dyDescent="0.25">
      <c r="C29" s="27"/>
    </row>
    <row r="30" spans="1:54" x14ac:dyDescent="0.25">
      <c r="A30" s="22" t="s">
        <v>33</v>
      </c>
      <c r="C30" s="72">
        <f t="array" ref="C30:N32">TRANSPOSE('8. Load Shapes'!B4:D15)</f>
        <v>0.10118199999999999</v>
      </c>
      <c r="D30" s="73">
        <v>8.8441000000000006E-2</v>
      </c>
      <c r="E30" s="73">
        <v>9.2879000000000003E-2</v>
      </c>
      <c r="F30" s="73">
        <v>8.4644999999999998E-2</v>
      </c>
      <c r="G30" s="73">
        <v>7.9393000000000005E-2</v>
      </c>
      <c r="H30" s="73">
        <v>6.8507999999999999E-2</v>
      </c>
      <c r="I30" s="74">
        <v>6.7863999999999994E-2</v>
      </c>
      <c r="J30" s="74">
        <v>7.0565000000000003E-2</v>
      </c>
      <c r="K30" s="74">
        <v>7.3791999999999996E-2</v>
      </c>
      <c r="L30" s="74">
        <v>8.4539000000000003E-2</v>
      </c>
      <c r="M30" s="74">
        <v>8.9880000000000002E-2</v>
      </c>
      <c r="N30" s="74">
        <v>9.8311999999999997E-2</v>
      </c>
      <c r="O30" s="223">
        <f>C30</f>
        <v>0.10118199999999999</v>
      </c>
      <c r="P30" s="224">
        <f t="shared" ref="P30:Z30" si="25">D30</f>
        <v>8.8441000000000006E-2</v>
      </c>
      <c r="Q30" s="224">
        <f t="shared" si="25"/>
        <v>9.2879000000000003E-2</v>
      </c>
      <c r="R30" s="224">
        <f t="shared" si="25"/>
        <v>8.4644999999999998E-2</v>
      </c>
      <c r="S30" s="224">
        <f t="shared" si="25"/>
        <v>7.9393000000000005E-2</v>
      </c>
      <c r="T30" s="224">
        <f t="shared" si="25"/>
        <v>6.8507999999999999E-2</v>
      </c>
      <c r="U30" s="224">
        <f t="shared" si="25"/>
        <v>6.7863999999999994E-2</v>
      </c>
      <c r="V30" s="224">
        <f t="shared" si="25"/>
        <v>7.0565000000000003E-2</v>
      </c>
      <c r="W30" s="224">
        <f t="shared" si="25"/>
        <v>7.3791999999999996E-2</v>
      </c>
      <c r="X30" s="224">
        <f t="shared" si="25"/>
        <v>8.4539000000000003E-2</v>
      </c>
      <c r="Y30" s="224">
        <f t="shared" si="25"/>
        <v>8.9880000000000002E-2</v>
      </c>
      <c r="Z30" s="407">
        <f t="shared" si="25"/>
        <v>9.8311999999999997E-2</v>
      </c>
      <c r="AA30" s="416">
        <f>O30</f>
        <v>0.10118199999999999</v>
      </c>
      <c r="AB30" s="417">
        <f t="shared" ref="AB30:AB32" si="26">P30</f>
        <v>8.8441000000000006E-2</v>
      </c>
      <c r="AC30" s="417">
        <f t="shared" ref="AC30:AC32" si="27">Q30</f>
        <v>9.2879000000000003E-2</v>
      </c>
      <c r="AD30" s="417">
        <f t="shared" ref="AD30:AD32" si="28">R30</f>
        <v>8.4644999999999998E-2</v>
      </c>
      <c r="AE30" s="417">
        <f t="shared" ref="AE30:AE32" si="29">S30</f>
        <v>7.9393000000000005E-2</v>
      </c>
      <c r="AF30" s="417">
        <f t="shared" ref="AF30:AF32" si="30">T30</f>
        <v>6.8507999999999999E-2</v>
      </c>
      <c r="AG30" s="417">
        <f t="shared" ref="AG30:AG32" si="31">U30</f>
        <v>6.7863999999999994E-2</v>
      </c>
      <c r="AH30" s="417">
        <f t="shared" ref="AH30:AH32" si="32">V30</f>
        <v>7.0565000000000003E-2</v>
      </c>
      <c r="AI30" s="417">
        <f t="shared" ref="AI30:AI32" si="33">W30</f>
        <v>7.3791999999999996E-2</v>
      </c>
      <c r="AJ30" s="417">
        <f t="shared" ref="AJ30:AJ32" si="34">X30</f>
        <v>8.4539000000000003E-2</v>
      </c>
      <c r="AK30" s="417">
        <f t="shared" ref="AK30:AK32" si="35">Y30</f>
        <v>8.9880000000000002E-2</v>
      </c>
      <c r="AL30" s="418">
        <f t="shared" ref="AL30:AL32" si="36">Z30</f>
        <v>9.8311999999999997E-2</v>
      </c>
      <c r="AM30" s="416">
        <f>AA30</f>
        <v>0.10118199999999999</v>
      </c>
      <c r="AN30" s="417">
        <f t="shared" ref="AN30:AN32" si="37">AB30</f>
        <v>8.8441000000000006E-2</v>
      </c>
      <c r="AO30" s="417">
        <f t="shared" ref="AO30:AO32" si="38">AC30</f>
        <v>9.2879000000000003E-2</v>
      </c>
      <c r="AP30" s="417">
        <f t="shared" ref="AP30:AP32" si="39">AD30</f>
        <v>8.4644999999999998E-2</v>
      </c>
      <c r="AQ30" s="417">
        <f t="shared" ref="AQ30:AQ32" si="40">AE30</f>
        <v>7.9393000000000005E-2</v>
      </c>
      <c r="AR30" s="417">
        <f t="shared" ref="AR30:AR32" si="41">AF30</f>
        <v>6.8507999999999999E-2</v>
      </c>
      <c r="AS30" s="417">
        <f t="shared" ref="AS30:AS32" si="42">AG30</f>
        <v>6.7863999999999994E-2</v>
      </c>
      <c r="AT30" s="417">
        <f t="shared" ref="AT30:AT32" si="43">AH30</f>
        <v>7.0565000000000003E-2</v>
      </c>
      <c r="AU30" s="417">
        <f t="shared" ref="AU30:AU32" si="44">AI30</f>
        <v>7.3791999999999996E-2</v>
      </c>
      <c r="AV30" s="417">
        <f t="shared" ref="AV30:AV32" si="45">AJ30</f>
        <v>8.4539000000000003E-2</v>
      </c>
      <c r="AW30" s="417">
        <f t="shared" ref="AW30:AW32" si="46">AK30</f>
        <v>8.9880000000000002E-2</v>
      </c>
      <c r="AX30" s="418">
        <f t="shared" ref="AX30:AX32" si="47">AL30</f>
        <v>9.8311999999999997E-2</v>
      </c>
      <c r="AY30" s="412"/>
      <c r="AZ30" s="412"/>
      <c r="BA30" s="412"/>
      <c r="BB30" s="412"/>
    </row>
    <row r="31" spans="1:54" x14ac:dyDescent="0.25">
      <c r="A31" s="22" t="s">
        <v>40</v>
      </c>
      <c r="C31" s="76">
        <v>0.21790599999999999</v>
      </c>
      <c r="D31" s="77">
        <v>0.18213499999999999</v>
      </c>
      <c r="E31" s="77">
        <v>0.13483300000000001</v>
      </c>
      <c r="F31" s="77">
        <v>5.8486000000000003E-2</v>
      </c>
      <c r="G31" s="77">
        <v>1.7144E-2</v>
      </c>
      <c r="H31" s="77">
        <v>5.1000000000000004E-4</v>
      </c>
      <c r="I31" s="78">
        <v>6.0000000000000002E-6</v>
      </c>
      <c r="J31" s="78">
        <v>9.0000000000000002E-6</v>
      </c>
      <c r="K31" s="78">
        <v>8.8090000000000009E-3</v>
      </c>
      <c r="L31" s="78">
        <v>5.4961999999999997E-2</v>
      </c>
      <c r="M31" s="78">
        <v>0.115899</v>
      </c>
      <c r="N31" s="78">
        <v>0.20930099999999999</v>
      </c>
      <c r="O31" s="227">
        <f t="shared" ref="O31:O32" si="48">C31</f>
        <v>0.21790599999999999</v>
      </c>
      <c r="P31" s="228">
        <f t="shared" ref="P31:P32" si="49">D31</f>
        <v>0.18213499999999999</v>
      </c>
      <c r="Q31" s="228">
        <f t="shared" ref="Q31:Q32" si="50">E31</f>
        <v>0.13483300000000001</v>
      </c>
      <c r="R31" s="228">
        <f t="shared" ref="R31:R32" si="51">F31</f>
        <v>5.8486000000000003E-2</v>
      </c>
      <c r="S31" s="228">
        <f t="shared" ref="S31:S32" si="52">G31</f>
        <v>1.7144E-2</v>
      </c>
      <c r="T31" s="228">
        <f t="shared" ref="T31:T32" si="53">H31</f>
        <v>5.1000000000000004E-4</v>
      </c>
      <c r="U31" s="228">
        <f t="shared" ref="U31:U32" si="54">I31</f>
        <v>6.0000000000000002E-6</v>
      </c>
      <c r="V31" s="228">
        <f t="shared" ref="V31:V32" si="55">J31</f>
        <v>9.0000000000000002E-6</v>
      </c>
      <c r="W31" s="228">
        <f t="shared" ref="W31:W32" si="56">K31</f>
        <v>8.8090000000000009E-3</v>
      </c>
      <c r="X31" s="228">
        <f t="shared" ref="X31:X32" si="57">L31</f>
        <v>5.4961999999999997E-2</v>
      </c>
      <c r="Y31" s="228">
        <f t="shared" ref="Y31:Y32" si="58">M31</f>
        <v>0.115899</v>
      </c>
      <c r="Z31" s="408">
        <f t="shared" ref="Z31:Z32" si="59">N31</f>
        <v>0.20930099999999999</v>
      </c>
      <c r="AA31" s="419">
        <f t="shared" ref="AA31:AA32" si="60">O31</f>
        <v>0.21790599999999999</v>
      </c>
      <c r="AB31" s="420">
        <f t="shared" si="26"/>
        <v>0.18213499999999999</v>
      </c>
      <c r="AC31" s="420">
        <f t="shared" si="27"/>
        <v>0.13483300000000001</v>
      </c>
      <c r="AD31" s="420">
        <f t="shared" si="28"/>
        <v>5.8486000000000003E-2</v>
      </c>
      <c r="AE31" s="420">
        <f t="shared" si="29"/>
        <v>1.7144E-2</v>
      </c>
      <c r="AF31" s="420">
        <f t="shared" si="30"/>
        <v>5.1000000000000004E-4</v>
      </c>
      <c r="AG31" s="420">
        <f t="shared" si="31"/>
        <v>6.0000000000000002E-6</v>
      </c>
      <c r="AH31" s="420">
        <f t="shared" si="32"/>
        <v>9.0000000000000002E-6</v>
      </c>
      <c r="AI31" s="420">
        <f t="shared" si="33"/>
        <v>8.8090000000000009E-3</v>
      </c>
      <c r="AJ31" s="420">
        <f t="shared" si="34"/>
        <v>5.4961999999999997E-2</v>
      </c>
      <c r="AK31" s="420">
        <f t="shared" si="35"/>
        <v>0.115899</v>
      </c>
      <c r="AL31" s="421">
        <f t="shared" si="36"/>
        <v>0.20930099999999999</v>
      </c>
      <c r="AM31" s="419">
        <f t="shared" ref="AM31:AM32" si="61">AA31</f>
        <v>0.21790599999999999</v>
      </c>
      <c r="AN31" s="420">
        <f t="shared" si="37"/>
        <v>0.18213499999999999</v>
      </c>
      <c r="AO31" s="420">
        <f t="shared" si="38"/>
        <v>0.13483300000000001</v>
      </c>
      <c r="AP31" s="420">
        <f t="shared" si="39"/>
        <v>5.8486000000000003E-2</v>
      </c>
      <c r="AQ31" s="420">
        <f t="shared" si="40"/>
        <v>1.7144E-2</v>
      </c>
      <c r="AR31" s="420">
        <f t="shared" si="41"/>
        <v>5.1000000000000004E-4</v>
      </c>
      <c r="AS31" s="420">
        <f t="shared" si="42"/>
        <v>6.0000000000000002E-6</v>
      </c>
      <c r="AT31" s="420">
        <f t="shared" si="43"/>
        <v>9.0000000000000002E-6</v>
      </c>
      <c r="AU31" s="420">
        <f t="shared" si="44"/>
        <v>8.8090000000000009E-3</v>
      </c>
      <c r="AV31" s="420">
        <f t="shared" si="45"/>
        <v>5.4961999999999997E-2</v>
      </c>
      <c r="AW31" s="420">
        <f t="shared" si="46"/>
        <v>0.115899</v>
      </c>
      <c r="AX31" s="421">
        <f t="shared" si="47"/>
        <v>0.20930099999999999</v>
      </c>
      <c r="AY31" s="412"/>
      <c r="AZ31" s="412"/>
      <c r="BA31" s="412"/>
      <c r="BB31" s="412"/>
    </row>
    <row r="32" spans="1:54" x14ac:dyDescent="0.25">
      <c r="A32" s="22" t="s">
        <v>41</v>
      </c>
      <c r="C32" s="80">
        <v>1.1999999999999999E-3</v>
      </c>
      <c r="D32" s="81">
        <v>1.1000000000000001E-3</v>
      </c>
      <c r="E32" s="81">
        <v>3.13E-3</v>
      </c>
      <c r="F32" s="81">
        <v>1.5047E-2</v>
      </c>
      <c r="G32" s="81">
        <v>6.5409999999999996E-2</v>
      </c>
      <c r="H32" s="81">
        <v>0.21082300000000001</v>
      </c>
      <c r="I32" s="82">
        <v>0.28478100000000001</v>
      </c>
      <c r="J32" s="82">
        <v>0.27076600000000001</v>
      </c>
      <c r="K32" s="82">
        <v>0.126605</v>
      </c>
      <c r="L32" s="82">
        <v>1.8471999999999999E-2</v>
      </c>
      <c r="M32" s="82">
        <v>1.444E-3</v>
      </c>
      <c r="N32" s="82">
        <v>1.222E-3</v>
      </c>
      <c r="O32" s="231">
        <f t="shared" si="48"/>
        <v>1.1999999999999999E-3</v>
      </c>
      <c r="P32" s="232">
        <f t="shared" si="49"/>
        <v>1.1000000000000001E-3</v>
      </c>
      <c r="Q32" s="232">
        <f t="shared" si="50"/>
        <v>3.13E-3</v>
      </c>
      <c r="R32" s="232">
        <f t="shared" si="51"/>
        <v>1.5047E-2</v>
      </c>
      <c r="S32" s="232">
        <f t="shared" si="52"/>
        <v>6.5409999999999996E-2</v>
      </c>
      <c r="T32" s="232">
        <f t="shared" si="53"/>
        <v>0.21082300000000001</v>
      </c>
      <c r="U32" s="232">
        <f t="shared" si="54"/>
        <v>0.28478100000000001</v>
      </c>
      <c r="V32" s="232">
        <f t="shared" si="55"/>
        <v>0.27076600000000001</v>
      </c>
      <c r="W32" s="232">
        <f t="shared" si="56"/>
        <v>0.126605</v>
      </c>
      <c r="X32" s="232">
        <f t="shared" si="57"/>
        <v>1.8471999999999999E-2</v>
      </c>
      <c r="Y32" s="232">
        <f t="shared" si="58"/>
        <v>1.444E-3</v>
      </c>
      <c r="Z32" s="409">
        <f t="shared" si="59"/>
        <v>1.222E-3</v>
      </c>
      <c r="AA32" s="422">
        <f t="shared" si="60"/>
        <v>1.1999999999999999E-3</v>
      </c>
      <c r="AB32" s="423">
        <f t="shared" si="26"/>
        <v>1.1000000000000001E-3</v>
      </c>
      <c r="AC32" s="423">
        <f t="shared" si="27"/>
        <v>3.13E-3</v>
      </c>
      <c r="AD32" s="423">
        <f t="shared" si="28"/>
        <v>1.5047E-2</v>
      </c>
      <c r="AE32" s="423">
        <f t="shared" si="29"/>
        <v>6.5409999999999996E-2</v>
      </c>
      <c r="AF32" s="423">
        <f t="shared" si="30"/>
        <v>0.21082300000000001</v>
      </c>
      <c r="AG32" s="423">
        <f t="shared" si="31"/>
        <v>0.28478100000000001</v>
      </c>
      <c r="AH32" s="423">
        <f t="shared" si="32"/>
        <v>0.27076600000000001</v>
      </c>
      <c r="AI32" s="423">
        <f t="shared" si="33"/>
        <v>0.126605</v>
      </c>
      <c r="AJ32" s="423">
        <f t="shared" si="34"/>
        <v>1.8471999999999999E-2</v>
      </c>
      <c r="AK32" s="423">
        <f t="shared" si="35"/>
        <v>1.444E-3</v>
      </c>
      <c r="AL32" s="424">
        <f t="shared" si="36"/>
        <v>1.222E-3</v>
      </c>
      <c r="AM32" s="422">
        <f t="shared" si="61"/>
        <v>1.1999999999999999E-3</v>
      </c>
      <c r="AN32" s="423">
        <f t="shared" si="37"/>
        <v>1.1000000000000001E-3</v>
      </c>
      <c r="AO32" s="423">
        <f t="shared" si="38"/>
        <v>3.13E-3</v>
      </c>
      <c r="AP32" s="423">
        <f t="shared" si="39"/>
        <v>1.5047E-2</v>
      </c>
      <c r="AQ32" s="423">
        <f t="shared" si="40"/>
        <v>6.5409999999999996E-2</v>
      </c>
      <c r="AR32" s="423">
        <f t="shared" si="41"/>
        <v>0.21082300000000001</v>
      </c>
      <c r="AS32" s="423">
        <f t="shared" si="42"/>
        <v>0.28478100000000001</v>
      </c>
      <c r="AT32" s="423">
        <f t="shared" si="43"/>
        <v>0.27076600000000001</v>
      </c>
      <c r="AU32" s="423">
        <f t="shared" si="44"/>
        <v>0.126605</v>
      </c>
      <c r="AV32" s="423">
        <f t="shared" si="45"/>
        <v>1.8471999999999999E-2</v>
      </c>
      <c r="AW32" s="423">
        <f t="shared" si="46"/>
        <v>1.444E-3</v>
      </c>
      <c r="AX32" s="424">
        <f t="shared" si="47"/>
        <v>1.222E-3</v>
      </c>
      <c r="AY32" s="412"/>
      <c r="AZ32" s="412"/>
      <c r="BA32" s="412"/>
      <c r="BB32" s="412"/>
    </row>
    <row r="33" spans="1:19" x14ac:dyDescent="0.25">
      <c r="C33" s="24"/>
      <c r="D33" s="24"/>
      <c r="E33" s="24"/>
      <c r="F33" s="24"/>
      <c r="G33" s="24"/>
      <c r="H33" s="24"/>
      <c r="O33" s="25"/>
    </row>
    <row r="34" spans="1:19" x14ac:dyDescent="0.25">
      <c r="C34" s="24"/>
      <c r="D34" s="24"/>
      <c r="E34" s="24"/>
      <c r="F34" s="24"/>
      <c r="G34" s="24"/>
      <c r="H34" s="24"/>
      <c r="O34" s="25"/>
    </row>
    <row r="35" spans="1:19" x14ac:dyDescent="0.25">
      <c r="A35" s="196"/>
      <c r="B35" s="761" t="s">
        <v>148</v>
      </c>
      <c r="C35" s="761"/>
      <c r="D35" s="761"/>
      <c r="E35" s="761"/>
      <c r="F35" s="762"/>
      <c r="H35" s="763" t="s">
        <v>149</v>
      </c>
      <c r="I35" s="761"/>
      <c r="J35" s="761"/>
      <c r="K35" s="761"/>
      <c r="L35" s="762"/>
      <c r="N35" s="763" t="s">
        <v>248</v>
      </c>
      <c r="O35" s="761"/>
      <c r="P35" s="761"/>
      <c r="Q35" s="761"/>
      <c r="R35" s="761"/>
      <c r="S35" s="762"/>
    </row>
    <row r="36" spans="1:19" x14ac:dyDescent="0.25">
      <c r="A36" s="197"/>
      <c r="B36" s="248" t="s">
        <v>147</v>
      </c>
      <c r="C36" s="248" t="s">
        <v>42</v>
      </c>
      <c r="D36" s="248" t="s">
        <v>156</v>
      </c>
      <c r="E36" s="248" t="s">
        <v>43</v>
      </c>
      <c r="F36" s="158" t="s">
        <v>44</v>
      </c>
      <c r="H36" s="278" t="s">
        <v>147</v>
      </c>
      <c r="I36" s="248" t="s">
        <v>42</v>
      </c>
      <c r="J36" s="248" t="s">
        <v>156</v>
      </c>
      <c r="K36" s="248" t="s">
        <v>43</v>
      </c>
      <c r="L36" s="158" t="s">
        <v>44</v>
      </c>
      <c r="N36" s="278" t="s">
        <v>147</v>
      </c>
      <c r="O36" s="248" t="s">
        <v>42</v>
      </c>
      <c r="P36" s="248" t="s">
        <v>156</v>
      </c>
      <c r="Q36" s="248" t="s">
        <v>43</v>
      </c>
      <c r="R36" s="248" t="s">
        <v>132</v>
      </c>
      <c r="S36" s="158" t="s">
        <v>44</v>
      </c>
    </row>
    <row r="37" spans="1:19" x14ac:dyDescent="0.25">
      <c r="A37" s="26" t="s">
        <v>45</v>
      </c>
      <c r="B37" s="265">
        <v>8.6940000000000003E-2</v>
      </c>
      <c r="C37" s="254">
        <v>6.7449999999999996E-2</v>
      </c>
      <c r="D37" s="254">
        <v>6.0560000000000003E-2</v>
      </c>
      <c r="E37" s="255">
        <v>2.3380000000000001E-2</v>
      </c>
      <c r="F37" s="28">
        <f>SUMPRODUCT(B37:D37,B40:D40)-E37</f>
        <v>3.7180000000000005E-2</v>
      </c>
      <c r="H37" s="265">
        <v>8.9410000000000003E-2</v>
      </c>
      <c r="I37" s="254">
        <v>6.9389999999999993E-2</v>
      </c>
      <c r="J37" s="254">
        <v>6.2309999999999997E-2</v>
      </c>
      <c r="K37" s="255">
        <v>8.6999999999999994E-3</v>
      </c>
      <c r="L37" s="28">
        <f>SUMPRODUCT(H37:J37,H40:J40)-K37</f>
        <v>5.3609999999999998E-2</v>
      </c>
      <c r="N37" s="265">
        <v>8.9980000000000004E-2</v>
      </c>
      <c r="O37" s="254">
        <v>7.0910000000000001E-2</v>
      </c>
      <c r="P37" s="254">
        <v>6.4170000000000005E-2</v>
      </c>
      <c r="Q37" s="254">
        <f>K37</f>
        <v>8.6999999999999994E-3</v>
      </c>
      <c r="R37" s="255">
        <v>5.0000000000000001E-3</v>
      </c>
      <c r="S37" s="28">
        <f>SUMPRODUCT(N37:P37,N40:P40)-Q37-R37*$R$40</f>
        <v>5.4108442674849863E-2</v>
      </c>
    </row>
    <row r="38" spans="1:19" x14ac:dyDescent="0.25">
      <c r="A38" s="26" t="s">
        <v>46</v>
      </c>
      <c r="B38" s="266">
        <v>7.4639999999999998E-2</v>
      </c>
      <c r="C38" s="267">
        <v>6.0780000000000001E-2</v>
      </c>
      <c r="D38" s="267">
        <v>6.0269999999999997E-2</v>
      </c>
      <c r="E38" s="275">
        <f>+E37</f>
        <v>2.3380000000000001E-2</v>
      </c>
      <c r="F38" s="28">
        <f>SUMPRODUCT(B38:D38,B41:D41)-E38</f>
        <v>3.6889999999999992E-2</v>
      </c>
      <c r="H38" s="266">
        <v>7.6759999999999995E-2</v>
      </c>
      <c r="I38" s="267">
        <v>6.2530000000000002E-2</v>
      </c>
      <c r="J38" s="267">
        <v>6.198E-2</v>
      </c>
      <c r="K38" s="275">
        <f>+K37</f>
        <v>8.6999999999999994E-3</v>
      </c>
      <c r="L38" s="28">
        <f>SUMPRODUCT(H38:J38,H41:J41)-K38</f>
        <v>5.3280000000000001E-2</v>
      </c>
      <c r="N38" s="266">
        <v>7.7929999999999999E-2</v>
      </c>
      <c r="O38" s="267">
        <v>6.4360000000000001E-2</v>
      </c>
      <c r="P38" s="267">
        <v>6.3850000000000004E-2</v>
      </c>
      <c r="Q38" s="274">
        <f>K38</f>
        <v>8.6999999999999994E-3</v>
      </c>
      <c r="R38" s="275">
        <f>+R37</f>
        <v>5.0000000000000001E-3</v>
      </c>
      <c r="S38" s="28">
        <f>SUMPRODUCT(N38:P38,N41:P41)-Q38-R38*$R$40</f>
        <v>5.3788442674849862E-2</v>
      </c>
    </row>
    <row r="39" spans="1:19" x14ac:dyDescent="0.25">
      <c r="B39" s="17"/>
    </row>
    <row r="40" spans="1:19" x14ac:dyDescent="0.25">
      <c r="A40" s="26" t="s">
        <v>45</v>
      </c>
      <c r="B40" s="285">
        <f t="array" ref="B40:D41">TRANSPOSE('Step Adjustments'!B40:C42)</f>
        <v>0</v>
      </c>
      <c r="C40" s="286">
        <v>0</v>
      </c>
      <c r="D40" s="287">
        <v>1</v>
      </c>
      <c r="H40" s="291">
        <f>B40</f>
        <v>0</v>
      </c>
      <c r="I40" s="292">
        <f t="shared" ref="I40:J40" si="62">C40</f>
        <v>0</v>
      </c>
      <c r="J40" s="293">
        <f t="shared" si="62"/>
        <v>1</v>
      </c>
      <c r="N40" s="291">
        <f>B40</f>
        <v>0</v>
      </c>
      <c r="O40" s="292">
        <f t="shared" ref="O40:P40" si="63">C40</f>
        <v>0</v>
      </c>
      <c r="P40" s="293">
        <f t="shared" si="63"/>
        <v>1</v>
      </c>
      <c r="R40" s="253">
        <v>0.27231146503002779</v>
      </c>
    </row>
    <row r="41" spans="1:19" x14ac:dyDescent="0.25">
      <c r="A41" s="26" t="s">
        <v>46</v>
      </c>
      <c r="B41" s="288">
        <v>0</v>
      </c>
      <c r="C41" s="289">
        <v>0</v>
      </c>
      <c r="D41" s="290">
        <v>1</v>
      </c>
      <c r="H41" s="294">
        <f>B41</f>
        <v>0</v>
      </c>
      <c r="I41" s="295">
        <f t="shared" ref="I41" si="64">C41</f>
        <v>0</v>
      </c>
      <c r="J41" s="296">
        <f t="shared" ref="J41" si="65">D41</f>
        <v>1</v>
      </c>
      <c r="N41" s="294">
        <f>B41</f>
        <v>0</v>
      </c>
      <c r="O41" s="295">
        <f t="shared" ref="O41" si="66">C41</f>
        <v>0</v>
      </c>
      <c r="P41" s="296">
        <f t="shared" ref="P41" si="67">D41</f>
        <v>1</v>
      </c>
    </row>
  </sheetData>
  <mergeCells count="7">
    <mergeCell ref="AM1:AX1"/>
    <mergeCell ref="C1:N1"/>
    <mergeCell ref="B35:F35"/>
    <mergeCell ref="O1:Z1"/>
    <mergeCell ref="AA1:AL1"/>
    <mergeCell ref="N35:S35"/>
    <mergeCell ref="H35:L35"/>
  </mergeCells>
  <phoneticPr fontId="30" type="noConversion"/>
  <pageMargins left="0.7" right="0.7" top="0.75" bottom="0.75" header="0.3" footer="0.3"/>
  <pageSetup orientation="portrait" r:id="rId1"/>
  <ignoredErrors>
    <ignoredError sqref="AY2:BA2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52206-6D9F-4833-94F8-E0346767F4CF}">
  <sheetPr codeName="Sheet10"/>
  <dimension ref="A1:AO46"/>
  <sheetViews>
    <sheetView zoomScaleNormal="100" workbookViewId="0">
      <pane xSplit="2" ySplit="5" topLeftCell="C6" activePane="bottomRight" state="frozen"/>
      <selection activeCell="AA1" sqref="AA1:AB1048576"/>
      <selection pane="topRight" activeCell="AA1" sqref="AA1:AB1048576"/>
      <selection pane="bottomLeft" activeCell="AA1" sqref="AA1:AB1048576"/>
      <selection pane="bottomRight"/>
    </sheetView>
  </sheetViews>
  <sheetFormatPr defaultColWidth="12.7109375" defaultRowHeight="13.1" x14ac:dyDescent="0.25"/>
  <cols>
    <col min="1" max="1" width="30.7109375" style="22" customWidth="1"/>
    <col min="2" max="2" width="12.7109375" style="22"/>
    <col min="3" max="14" width="12.7109375" style="17"/>
    <col min="15" max="15" width="13.5703125" style="17" bestFit="1" customWidth="1"/>
    <col min="16" max="26" width="12.7109375" style="17"/>
    <col min="27" max="27" width="13.5703125" style="17" bestFit="1" customWidth="1"/>
    <col min="28" max="16384" width="12.7109375" style="17"/>
  </cols>
  <sheetData>
    <row r="1" spans="1:41" x14ac:dyDescent="0.25">
      <c r="A1" s="168" t="str">
        <f>Company_Filing</f>
        <v>2025 MEEIA Filing</v>
      </c>
      <c r="B1" s="272"/>
      <c r="C1" s="760" t="s">
        <v>227</v>
      </c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760" t="s">
        <v>244</v>
      </c>
      <c r="P1" s="760"/>
      <c r="Q1" s="760"/>
      <c r="R1" s="760"/>
      <c r="S1" s="760"/>
      <c r="T1" s="760"/>
      <c r="U1" s="760"/>
      <c r="V1" s="760"/>
      <c r="W1" s="760"/>
      <c r="X1" s="760"/>
      <c r="Y1" s="760"/>
      <c r="Z1" s="760"/>
      <c r="AA1" s="760" t="s">
        <v>245</v>
      </c>
      <c r="AB1" s="760"/>
      <c r="AC1" s="760"/>
      <c r="AD1" s="760"/>
      <c r="AE1" s="760"/>
      <c r="AF1" s="760"/>
      <c r="AG1" s="760"/>
      <c r="AH1" s="760"/>
      <c r="AI1" s="760"/>
      <c r="AJ1" s="760"/>
      <c r="AK1" s="760"/>
      <c r="AL1" s="760"/>
      <c r="AM1" s="313" t="s">
        <v>221</v>
      </c>
      <c r="AN1" s="313" t="s">
        <v>221</v>
      </c>
      <c r="AO1" s="389" t="s">
        <v>222</v>
      </c>
    </row>
    <row r="2" spans="1:41" x14ac:dyDescent="0.25">
      <c r="A2" s="87" t="s">
        <v>187</v>
      </c>
      <c r="B2" s="273"/>
      <c r="C2" s="215">
        <v>44927</v>
      </c>
      <c r="D2" s="215">
        <v>44958</v>
      </c>
      <c r="E2" s="215">
        <v>44986</v>
      </c>
      <c r="F2" s="215">
        <v>45017</v>
      </c>
      <c r="G2" s="215">
        <v>45047</v>
      </c>
      <c r="H2" s="215">
        <v>45078</v>
      </c>
      <c r="I2" s="215">
        <v>45108</v>
      </c>
      <c r="J2" s="215">
        <v>45139</v>
      </c>
      <c r="K2" s="215">
        <v>45170</v>
      </c>
      <c r="L2" s="215">
        <v>45200</v>
      </c>
      <c r="M2" s="215">
        <v>45231</v>
      </c>
      <c r="N2" s="215">
        <v>45261</v>
      </c>
      <c r="O2" s="215">
        <v>45292</v>
      </c>
      <c r="P2" s="215">
        <v>45323</v>
      </c>
      <c r="Q2" s="215">
        <v>45352</v>
      </c>
      <c r="R2" s="215">
        <v>45383</v>
      </c>
      <c r="S2" s="215">
        <v>45413</v>
      </c>
      <c r="T2" s="215">
        <v>45444</v>
      </c>
      <c r="U2" s="215">
        <v>45474</v>
      </c>
      <c r="V2" s="215">
        <v>45505</v>
      </c>
      <c r="W2" s="215">
        <v>45536</v>
      </c>
      <c r="X2" s="215">
        <v>45566</v>
      </c>
      <c r="Y2" s="215">
        <v>45597</v>
      </c>
      <c r="Z2" s="215">
        <v>45627</v>
      </c>
      <c r="AA2" s="215">
        <v>45658</v>
      </c>
      <c r="AB2" s="215">
        <v>45689</v>
      </c>
      <c r="AC2" s="215">
        <v>45717</v>
      </c>
      <c r="AD2" s="215">
        <v>45748</v>
      </c>
      <c r="AE2" s="215">
        <v>45778</v>
      </c>
      <c r="AF2" s="215">
        <v>45809</v>
      </c>
      <c r="AG2" s="215">
        <v>45839</v>
      </c>
      <c r="AH2" s="215">
        <v>45870</v>
      </c>
      <c r="AI2" s="215">
        <v>45901</v>
      </c>
      <c r="AJ2" s="215">
        <v>45931</v>
      </c>
      <c r="AK2" s="215">
        <v>45962</v>
      </c>
      <c r="AL2" s="215">
        <v>45992</v>
      </c>
      <c r="AM2" s="402" t="s">
        <v>180</v>
      </c>
      <c r="AN2" s="402" t="s">
        <v>181</v>
      </c>
      <c r="AO2" s="402" t="s">
        <v>246</v>
      </c>
    </row>
    <row r="3" spans="1:41" x14ac:dyDescent="0.25">
      <c r="A3" s="88"/>
    </row>
    <row r="4" spans="1:41" x14ac:dyDescent="0.25">
      <c r="A4" s="353" t="s">
        <v>229</v>
      </c>
      <c r="B4" s="271" t="s">
        <v>69</v>
      </c>
    </row>
    <row r="6" spans="1:41" x14ac:dyDescent="0.25">
      <c r="A6" s="18">
        <v>44927</v>
      </c>
      <c r="B6" s="93">
        <f>'6. 2023 Installed kWh Savings'!D6+'6. 2023 Installed kWh Savings'!I6+'6. 2023 Installed kWh Savings'!K6</f>
        <v>1347.49</v>
      </c>
      <c r="C6" s="376">
        <f>$B6*(SUMPRODUCT(C$30:C$32,$C$26:$C$28))/2</f>
        <v>68.170866590000003</v>
      </c>
      <c r="D6" s="376">
        <f t="shared" ref="D6:S17" si="0">$B6*(SUMPRODUCT(D$30:D$32,$C$26:$C$28))</f>
        <v>119.17336309000001</v>
      </c>
      <c r="E6" s="376">
        <f t="shared" si="0"/>
        <v>125.15352371</v>
      </c>
      <c r="F6" s="376">
        <f t="shared" si="0"/>
        <v>114.05829104999999</v>
      </c>
      <c r="G6" s="376">
        <f t="shared" si="0"/>
        <v>106.98127357000001</v>
      </c>
      <c r="H6" s="376">
        <f t="shared" si="0"/>
        <v>92.313844919999994</v>
      </c>
      <c r="I6" s="376">
        <f t="shared" si="0"/>
        <v>91.446061359999987</v>
      </c>
      <c r="J6" s="376">
        <f t="shared" si="0"/>
        <v>95.085631849999999</v>
      </c>
      <c r="K6" s="376">
        <f t="shared" si="0"/>
        <v>99.433982079999993</v>
      </c>
      <c r="L6" s="376">
        <f t="shared" si="0"/>
        <v>113.91545711000001</v>
      </c>
      <c r="M6" s="376">
        <f t="shared" si="0"/>
        <v>121.11240120000001</v>
      </c>
      <c r="N6" s="377">
        <f t="shared" si="0"/>
        <v>132.47443687999998</v>
      </c>
      <c r="O6" s="531">
        <f>$B6*(SUMPRODUCT(O$30:O$32,$C$26:$C$28))</f>
        <v>136.34173318000001</v>
      </c>
      <c r="P6" s="361">
        <f t="shared" ref="P6:AE17" si="1">$B6*(SUMPRODUCT(P$30:P$32,$C$26:$C$28))</f>
        <v>119.17336309000001</v>
      </c>
      <c r="Q6" s="361">
        <f t="shared" si="1"/>
        <v>125.15352371</v>
      </c>
      <c r="R6" s="361">
        <f t="shared" si="1"/>
        <v>114.05829104999999</v>
      </c>
      <c r="S6" s="361">
        <f t="shared" si="1"/>
        <v>106.98127357000001</v>
      </c>
      <c r="T6" s="361">
        <f t="shared" si="1"/>
        <v>92.313844919999994</v>
      </c>
      <c r="U6" s="361">
        <f t="shared" si="1"/>
        <v>91.446061359999987</v>
      </c>
      <c r="V6" s="361">
        <f t="shared" si="1"/>
        <v>95.085631849999999</v>
      </c>
      <c r="W6" s="361">
        <f t="shared" si="1"/>
        <v>99.433982079999993</v>
      </c>
      <c r="X6" s="361">
        <f t="shared" si="1"/>
        <v>113.91545711000001</v>
      </c>
      <c r="Y6" s="361">
        <f t="shared" si="1"/>
        <v>121.11240120000001</v>
      </c>
      <c r="Z6" s="361">
        <f>$B6*(SUMPRODUCT(Z$30:Z$32,$C$26:$C$28))</f>
        <v>132.47443687999998</v>
      </c>
      <c r="AA6" s="375">
        <f>$B6*(SUMPRODUCT(AA$30:AA$32,$C$26:$C$28))</f>
        <v>136.34173318000001</v>
      </c>
      <c r="AB6" s="376">
        <f t="shared" si="1"/>
        <v>119.17336309000001</v>
      </c>
      <c r="AC6" s="376">
        <f t="shared" si="1"/>
        <v>125.15352371</v>
      </c>
      <c r="AD6" s="376">
        <f t="shared" si="1"/>
        <v>114.05829104999999</v>
      </c>
      <c r="AE6" s="376">
        <f t="shared" si="1"/>
        <v>106.98127357000001</v>
      </c>
      <c r="AF6" s="376">
        <f t="shared" ref="AB6:AL17" si="2">$B6*(SUMPRODUCT(AF$30:AF$32,$C$26:$C$28))</f>
        <v>92.313844919999994</v>
      </c>
      <c r="AG6" s="376">
        <f t="shared" si="2"/>
        <v>91.446061359999987</v>
      </c>
      <c r="AH6" s="376">
        <f t="shared" si="2"/>
        <v>95.085631849999999</v>
      </c>
      <c r="AI6" s="376">
        <f t="shared" si="2"/>
        <v>99.433982079999993</v>
      </c>
      <c r="AJ6" s="376">
        <f t="shared" si="2"/>
        <v>113.91545711000001</v>
      </c>
      <c r="AK6" s="376">
        <f t="shared" si="2"/>
        <v>121.11240120000001</v>
      </c>
      <c r="AL6" s="376">
        <f>$B6*(SUMPRODUCT(AL$30:AL$32,$C$26:$C$28))</f>
        <v>132.47443687999998</v>
      </c>
      <c r="AM6" s="391">
        <f>SUM(C6:N6)</f>
        <v>1279.3191334099999</v>
      </c>
      <c r="AN6" s="410">
        <f>SUM(O6:Z6)</f>
        <v>1347.4899999999998</v>
      </c>
      <c r="AO6" s="532">
        <f>SUM(AA6:AL6)</f>
        <v>1347.4899999999998</v>
      </c>
    </row>
    <row r="7" spans="1:41" x14ac:dyDescent="0.25">
      <c r="A7" s="18">
        <v>44958</v>
      </c>
      <c r="B7" s="94">
        <f>'6. 2023 Installed kWh Savings'!D7+'6. 2023 Installed kWh Savings'!I7+'6. 2023 Installed kWh Savings'!K7</f>
        <v>0</v>
      </c>
      <c r="C7" s="379"/>
      <c r="D7" s="379">
        <f>$B7*(SUMPRODUCT(D$30:D$32,$C$26:$C$28))/2</f>
        <v>0</v>
      </c>
      <c r="E7" s="379">
        <f t="shared" si="0"/>
        <v>0</v>
      </c>
      <c r="F7" s="379">
        <f t="shared" si="0"/>
        <v>0</v>
      </c>
      <c r="G7" s="379">
        <f t="shared" si="0"/>
        <v>0</v>
      </c>
      <c r="H7" s="379">
        <f t="shared" si="0"/>
        <v>0</v>
      </c>
      <c r="I7" s="379">
        <f t="shared" si="0"/>
        <v>0</v>
      </c>
      <c r="J7" s="379">
        <f t="shared" si="0"/>
        <v>0</v>
      </c>
      <c r="K7" s="379">
        <f t="shared" si="0"/>
        <v>0</v>
      </c>
      <c r="L7" s="379">
        <f t="shared" si="0"/>
        <v>0</v>
      </c>
      <c r="M7" s="379">
        <f t="shared" si="0"/>
        <v>0</v>
      </c>
      <c r="N7" s="380">
        <f t="shared" si="0"/>
        <v>0</v>
      </c>
      <c r="O7" s="363">
        <f t="shared" si="0"/>
        <v>0</v>
      </c>
      <c r="P7" s="364">
        <f t="shared" si="0"/>
        <v>0</v>
      </c>
      <c r="Q7" s="364">
        <f t="shared" si="0"/>
        <v>0</v>
      </c>
      <c r="R7" s="364">
        <f t="shared" si="0"/>
        <v>0</v>
      </c>
      <c r="S7" s="364">
        <f t="shared" si="0"/>
        <v>0</v>
      </c>
      <c r="T7" s="364">
        <f t="shared" si="1"/>
        <v>0</v>
      </c>
      <c r="U7" s="364">
        <f t="shared" si="1"/>
        <v>0</v>
      </c>
      <c r="V7" s="364">
        <f t="shared" si="1"/>
        <v>0</v>
      </c>
      <c r="W7" s="364">
        <f t="shared" si="1"/>
        <v>0</v>
      </c>
      <c r="X7" s="364">
        <f t="shared" si="1"/>
        <v>0</v>
      </c>
      <c r="Y7" s="364">
        <f t="shared" si="1"/>
        <v>0</v>
      </c>
      <c r="Z7" s="364">
        <f t="shared" si="1"/>
        <v>0</v>
      </c>
      <c r="AA7" s="378">
        <f t="shared" si="1"/>
        <v>0</v>
      </c>
      <c r="AB7" s="379">
        <f t="shared" si="1"/>
        <v>0</v>
      </c>
      <c r="AC7" s="379">
        <f t="shared" si="1"/>
        <v>0</v>
      </c>
      <c r="AD7" s="379">
        <f t="shared" si="1"/>
        <v>0</v>
      </c>
      <c r="AE7" s="379">
        <f t="shared" si="1"/>
        <v>0</v>
      </c>
      <c r="AF7" s="379">
        <f t="shared" si="2"/>
        <v>0</v>
      </c>
      <c r="AG7" s="379">
        <f t="shared" si="2"/>
        <v>0</v>
      </c>
      <c r="AH7" s="379">
        <f t="shared" si="2"/>
        <v>0</v>
      </c>
      <c r="AI7" s="379">
        <f t="shared" si="2"/>
        <v>0</v>
      </c>
      <c r="AJ7" s="379">
        <f t="shared" si="2"/>
        <v>0</v>
      </c>
      <c r="AK7" s="379">
        <f t="shared" si="2"/>
        <v>0</v>
      </c>
      <c r="AL7" s="379">
        <f t="shared" si="2"/>
        <v>0</v>
      </c>
      <c r="AM7" s="392">
        <f t="shared" ref="AM7:AM17" si="3">SUM(C7:N7)</f>
        <v>0</v>
      </c>
      <c r="AN7" s="399">
        <f t="shared" ref="AN7:AN17" si="4">SUM(O7:Z7)</f>
        <v>0</v>
      </c>
      <c r="AO7" s="533">
        <f t="shared" ref="AO7:AO17" si="5">SUM(AA7:AL7)</f>
        <v>0</v>
      </c>
    </row>
    <row r="8" spans="1:41" x14ac:dyDescent="0.25">
      <c r="A8" s="18">
        <v>44986</v>
      </c>
      <c r="B8" s="94">
        <f>'6. 2023 Installed kWh Savings'!D8+'6. 2023 Installed kWh Savings'!I8+'6. 2023 Installed kWh Savings'!K8</f>
        <v>852.78499999999997</v>
      </c>
      <c r="C8" s="379"/>
      <c r="D8" s="379"/>
      <c r="E8" s="379">
        <f>$B8*(SUMPRODUCT(E$30:E$32,$C$26:$C$28))/2</f>
        <v>39.602909007500003</v>
      </c>
      <c r="F8" s="379">
        <f t="shared" si="0"/>
        <v>72.183986324999992</v>
      </c>
      <c r="G8" s="379">
        <f t="shared" si="0"/>
        <v>67.705159504999997</v>
      </c>
      <c r="H8" s="379">
        <f t="shared" si="0"/>
        <v>58.422594779999997</v>
      </c>
      <c r="I8" s="379">
        <f t="shared" si="0"/>
        <v>57.873401239999993</v>
      </c>
      <c r="J8" s="379">
        <f t="shared" si="0"/>
        <v>60.176773525000002</v>
      </c>
      <c r="K8" s="379">
        <f t="shared" si="0"/>
        <v>62.928710719999998</v>
      </c>
      <c r="L8" s="379">
        <f t="shared" si="0"/>
        <v>72.093591114999995</v>
      </c>
      <c r="M8" s="379">
        <f t="shared" si="0"/>
        <v>76.648315799999992</v>
      </c>
      <c r="N8" s="380">
        <f t="shared" si="0"/>
        <v>83.838998919999995</v>
      </c>
      <c r="O8" s="363">
        <f t="shared" si="0"/>
        <v>86.286491869999992</v>
      </c>
      <c r="P8" s="364">
        <f t="shared" si="1"/>
        <v>75.421158184999996</v>
      </c>
      <c r="Q8" s="364">
        <f t="shared" si="1"/>
        <v>79.205818015000006</v>
      </c>
      <c r="R8" s="364">
        <f t="shared" si="1"/>
        <v>72.183986324999992</v>
      </c>
      <c r="S8" s="364">
        <f t="shared" si="1"/>
        <v>67.705159504999997</v>
      </c>
      <c r="T8" s="364">
        <f t="shared" si="1"/>
        <v>58.422594779999997</v>
      </c>
      <c r="U8" s="364">
        <f t="shared" si="1"/>
        <v>57.873401239999993</v>
      </c>
      <c r="V8" s="364">
        <f t="shared" si="1"/>
        <v>60.176773525000002</v>
      </c>
      <c r="W8" s="364">
        <f t="shared" si="1"/>
        <v>62.928710719999998</v>
      </c>
      <c r="X8" s="364">
        <f t="shared" si="1"/>
        <v>72.093591114999995</v>
      </c>
      <c r="Y8" s="364">
        <f t="shared" si="1"/>
        <v>76.648315799999992</v>
      </c>
      <c r="Z8" s="364">
        <f t="shared" si="1"/>
        <v>83.838998919999995</v>
      </c>
      <c r="AA8" s="378">
        <f t="shared" si="1"/>
        <v>86.286491869999992</v>
      </c>
      <c r="AB8" s="379">
        <f t="shared" si="2"/>
        <v>75.421158184999996</v>
      </c>
      <c r="AC8" s="379">
        <f t="shared" si="2"/>
        <v>79.205818015000006</v>
      </c>
      <c r="AD8" s="379">
        <f t="shared" si="2"/>
        <v>72.183986324999992</v>
      </c>
      <c r="AE8" s="379">
        <f t="shared" si="2"/>
        <v>67.705159504999997</v>
      </c>
      <c r="AF8" s="379">
        <f t="shared" si="2"/>
        <v>58.422594779999997</v>
      </c>
      <c r="AG8" s="379">
        <f t="shared" si="2"/>
        <v>57.873401239999993</v>
      </c>
      <c r="AH8" s="379">
        <f t="shared" si="2"/>
        <v>60.176773525000002</v>
      </c>
      <c r="AI8" s="379">
        <f t="shared" si="2"/>
        <v>62.928710719999998</v>
      </c>
      <c r="AJ8" s="379">
        <f t="shared" si="2"/>
        <v>72.093591114999995</v>
      </c>
      <c r="AK8" s="379">
        <f t="shared" si="2"/>
        <v>76.648315799999992</v>
      </c>
      <c r="AL8" s="379">
        <f t="shared" si="2"/>
        <v>83.838998919999995</v>
      </c>
      <c r="AM8" s="392">
        <f t="shared" si="3"/>
        <v>651.47444093749993</v>
      </c>
      <c r="AN8" s="399">
        <f t="shared" si="4"/>
        <v>852.78499999999997</v>
      </c>
      <c r="AO8" s="533">
        <f t="shared" si="5"/>
        <v>852.78499999999997</v>
      </c>
    </row>
    <row r="9" spans="1:41" x14ac:dyDescent="0.25">
      <c r="A9" s="18">
        <v>45017</v>
      </c>
      <c r="B9" s="94">
        <f>'6. 2023 Installed kWh Savings'!D9+'6. 2023 Installed kWh Savings'!I9+'6. 2023 Installed kWh Savings'!K9</f>
        <v>2021.2350000000001</v>
      </c>
      <c r="C9" s="379"/>
      <c r="D9" s="379"/>
      <c r="E9" s="379"/>
      <c r="F9" s="379">
        <f>$B9*(SUMPRODUCT(F$30:F$32,$C$26:$C$28))/2</f>
        <v>85.543718287499999</v>
      </c>
      <c r="G9" s="379">
        <f t="shared" si="0"/>
        <v>160.47191035500003</v>
      </c>
      <c r="H9" s="379">
        <f t="shared" si="0"/>
        <v>138.47076738000001</v>
      </c>
      <c r="I9" s="379">
        <f t="shared" si="0"/>
        <v>137.16909204000001</v>
      </c>
      <c r="J9" s="379">
        <f t="shared" si="0"/>
        <v>142.62844777500001</v>
      </c>
      <c r="K9" s="379">
        <f t="shared" si="0"/>
        <v>149.15097312</v>
      </c>
      <c r="L9" s="379">
        <f t="shared" si="0"/>
        <v>170.87318566500002</v>
      </c>
      <c r="M9" s="379">
        <f t="shared" si="0"/>
        <v>181.6686018</v>
      </c>
      <c r="N9" s="380">
        <f t="shared" si="0"/>
        <v>198.71165532000001</v>
      </c>
      <c r="O9" s="363">
        <f t="shared" si="0"/>
        <v>204.51259977000001</v>
      </c>
      <c r="P9" s="364">
        <f t="shared" si="1"/>
        <v>178.76004463500001</v>
      </c>
      <c r="Q9" s="364">
        <f t="shared" si="1"/>
        <v>187.73028556500003</v>
      </c>
      <c r="R9" s="364">
        <f t="shared" si="1"/>
        <v>171.087436575</v>
      </c>
      <c r="S9" s="364">
        <f t="shared" si="1"/>
        <v>160.47191035500003</v>
      </c>
      <c r="T9" s="364">
        <f t="shared" si="1"/>
        <v>138.47076738000001</v>
      </c>
      <c r="U9" s="364">
        <f t="shared" si="1"/>
        <v>137.16909204000001</v>
      </c>
      <c r="V9" s="364">
        <f t="shared" si="1"/>
        <v>142.62844777500001</v>
      </c>
      <c r="W9" s="364">
        <f t="shared" si="1"/>
        <v>149.15097312</v>
      </c>
      <c r="X9" s="364">
        <f t="shared" si="1"/>
        <v>170.87318566500002</v>
      </c>
      <c r="Y9" s="364">
        <f t="shared" si="1"/>
        <v>181.6686018</v>
      </c>
      <c r="Z9" s="364">
        <f t="shared" si="1"/>
        <v>198.71165532000001</v>
      </c>
      <c r="AA9" s="378">
        <f t="shared" si="1"/>
        <v>204.51259977000001</v>
      </c>
      <c r="AB9" s="379">
        <f t="shared" si="2"/>
        <v>178.76004463500001</v>
      </c>
      <c r="AC9" s="379">
        <f t="shared" si="2"/>
        <v>187.73028556500003</v>
      </c>
      <c r="AD9" s="379">
        <f t="shared" si="2"/>
        <v>171.087436575</v>
      </c>
      <c r="AE9" s="379">
        <f t="shared" si="2"/>
        <v>160.47191035500003</v>
      </c>
      <c r="AF9" s="379">
        <f t="shared" si="2"/>
        <v>138.47076738000001</v>
      </c>
      <c r="AG9" s="379">
        <f t="shared" si="2"/>
        <v>137.16909204000001</v>
      </c>
      <c r="AH9" s="379">
        <f t="shared" si="2"/>
        <v>142.62844777500001</v>
      </c>
      <c r="AI9" s="379">
        <f t="shared" si="2"/>
        <v>149.15097312</v>
      </c>
      <c r="AJ9" s="379">
        <f t="shared" si="2"/>
        <v>170.87318566500002</v>
      </c>
      <c r="AK9" s="379">
        <f t="shared" si="2"/>
        <v>181.6686018</v>
      </c>
      <c r="AL9" s="379">
        <f t="shared" si="2"/>
        <v>198.71165532000001</v>
      </c>
      <c r="AM9" s="392">
        <f t="shared" si="3"/>
        <v>1364.6883517425001</v>
      </c>
      <c r="AN9" s="399">
        <f t="shared" si="4"/>
        <v>2021.2350000000001</v>
      </c>
      <c r="AO9" s="533">
        <f t="shared" si="5"/>
        <v>2021.2350000000001</v>
      </c>
    </row>
    <row r="10" spans="1:41" x14ac:dyDescent="0.25">
      <c r="A10" s="18">
        <v>45047</v>
      </c>
      <c r="B10" s="94">
        <f>'6. 2023 Installed kWh Savings'!D10+'6. 2023 Installed kWh Savings'!I10+'6. 2023 Installed kWh Savings'!K10</f>
        <v>673.745</v>
      </c>
      <c r="C10" s="379"/>
      <c r="D10" s="379"/>
      <c r="E10" s="379"/>
      <c r="F10" s="379"/>
      <c r="G10" s="379">
        <f>$B10*(SUMPRODUCT(G$30:G$32,$C$26:$C$28))/2</f>
        <v>26.745318392500003</v>
      </c>
      <c r="H10" s="379">
        <f t="shared" si="0"/>
        <v>46.156922459999997</v>
      </c>
      <c r="I10" s="379">
        <f t="shared" si="0"/>
        <v>45.723030679999994</v>
      </c>
      <c r="J10" s="379">
        <f t="shared" si="0"/>
        <v>47.542815924999999</v>
      </c>
      <c r="K10" s="379">
        <f t="shared" si="0"/>
        <v>49.716991039999996</v>
      </c>
      <c r="L10" s="379">
        <f t="shared" si="0"/>
        <v>56.957728555000003</v>
      </c>
      <c r="M10" s="379">
        <f t="shared" si="0"/>
        <v>60.556200600000004</v>
      </c>
      <c r="N10" s="380">
        <f t="shared" si="0"/>
        <v>66.237218439999992</v>
      </c>
      <c r="O10" s="363">
        <f t="shared" si="0"/>
        <v>68.170866590000003</v>
      </c>
      <c r="P10" s="364">
        <f t="shared" si="1"/>
        <v>59.586681545000005</v>
      </c>
      <c r="Q10" s="364">
        <f t="shared" si="1"/>
        <v>62.576761855000001</v>
      </c>
      <c r="R10" s="364">
        <f t="shared" si="1"/>
        <v>57.029145524999997</v>
      </c>
      <c r="S10" s="364">
        <f t="shared" si="1"/>
        <v>53.490636785000007</v>
      </c>
      <c r="T10" s="364">
        <f t="shared" si="1"/>
        <v>46.156922459999997</v>
      </c>
      <c r="U10" s="364">
        <f t="shared" si="1"/>
        <v>45.723030679999994</v>
      </c>
      <c r="V10" s="364">
        <f t="shared" si="1"/>
        <v>47.542815924999999</v>
      </c>
      <c r="W10" s="364">
        <f t="shared" si="1"/>
        <v>49.716991039999996</v>
      </c>
      <c r="X10" s="364">
        <f t="shared" si="1"/>
        <v>56.957728555000003</v>
      </c>
      <c r="Y10" s="364">
        <f t="shared" si="1"/>
        <v>60.556200600000004</v>
      </c>
      <c r="Z10" s="364">
        <f t="shared" si="1"/>
        <v>66.237218439999992</v>
      </c>
      <c r="AA10" s="378">
        <f t="shared" si="1"/>
        <v>68.170866590000003</v>
      </c>
      <c r="AB10" s="379">
        <f t="shared" si="2"/>
        <v>59.586681545000005</v>
      </c>
      <c r="AC10" s="379">
        <f t="shared" si="2"/>
        <v>62.576761855000001</v>
      </c>
      <c r="AD10" s="379">
        <f t="shared" si="2"/>
        <v>57.029145524999997</v>
      </c>
      <c r="AE10" s="379">
        <f t="shared" si="2"/>
        <v>53.490636785000007</v>
      </c>
      <c r="AF10" s="379">
        <f t="shared" si="2"/>
        <v>46.156922459999997</v>
      </c>
      <c r="AG10" s="379">
        <f t="shared" si="2"/>
        <v>45.723030679999994</v>
      </c>
      <c r="AH10" s="379">
        <f t="shared" si="2"/>
        <v>47.542815924999999</v>
      </c>
      <c r="AI10" s="379">
        <f t="shared" si="2"/>
        <v>49.716991039999996</v>
      </c>
      <c r="AJ10" s="379">
        <f t="shared" si="2"/>
        <v>56.957728555000003</v>
      </c>
      <c r="AK10" s="379">
        <f t="shared" si="2"/>
        <v>60.556200600000004</v>
      </c>
      <c r="AL10" s="379">
        <f t="shared" si="2"/>
        <v>66.237218439999992</v>
      </c>
      <c r="AM10" s="392">
        <f t="shared" si="3"/>
        <v>399.63622609250001</v>
      </c>
      <c r="AN10" s="399">
        <f t="shared" si="4"/>
        <v>673.74499999999989</v>
      </c>
      <c r="AO10" s="533">
        <f t="shared" si="5"/>
        <v>673.74499999999989</v>
      </c>
    </row>
    <row r="11" spans="1:41" x14ac:dyDescent="0.25">
      <c r="A11" s="18">
        <v>45078</v>
      </c>
      <c r="B11" s="94">
        <f>'6. 2023 Installed kWh Savings'!D11+'6. 2023 Installed kWh Savings'!I11+'6. 2023 Installed kWh Savings'!K11</f>
        <v>2110.7550000000001</v>
      </c>
      <c r="C11" s="379"/>
      <c r="D11" s="379"/>
      <c r="E11" s="379"/>
      <c r="F11" s="379"/>
      <c r="G11" s="379"/>
      <c r="H11" s="379">
        <f>$B11*(SUMPRODUCT(H$30:H$32,$C$26:$C$28))/2</f>
        <v>72.301801769999997</v>
      </c>
      <c r="I11" s="379">
        <f t="shared" si="0"/>
        <v>143.24427731999998</v>
      </c>
      <c r="J11" s="379">
        <f t="shared" si="0"/>
        <v>148.94542657500003</v>
      </c>
      <c r="K11" s="379">
        <f t="shared" si="0"/>
        <v>155.75683296</v>
      </c>
      <c r="L11" s="379">
        <f t="shared" si="0"/>
        <v>178.441116945</v>
      </c>
      <c r="M11" s="379">
        <f t="shared" si="0"/>
        <v>189.71465940000002</v>
      </c>
      <c r="N11" s="380">
        <f t="shared" si="0"/>
        <v>207.51254556000001</v>
      </c>
      <c r="O11" s="363">
        <f t="shared" si="0"/>
        <v>213.57041240999999</v>
      </c>
      <c r="P11" s="364">
        <f t="shared" si="1"/>
        <v>186.67728295500001</v>
      </c>
      <c r="Q11" s="364">
        <f t="shared" si="1"/>
        <v>196.044813645</v>
      </c>
      <c r="R11" s="364">
        <f t="shared" si="1"/>
        <v>178.66485697499999</v>
      </c>
      <c r="S11" s="364">
        <f t="shared" si="1"/>
        <v>167.57917171500003</v>
      </c>
      <c r="T11" s="364">
        <f t="shared" si="1"/>
        <v>144.60360353999999</v>
      </c>
      <c r="U11" s="364">
        <f t="shared" si="1"/>
        <v>143.24427731999998</v>
      </c>
      <c r="V11" s="364">
        <f t="shared" si="1"/>
        <v>148.94542657500003</v>
      </c>
      <c r="W11" s="364">
        <f t="shared" si="1"/>
        <v>155.75683296</v>
      </c>
      <c r="X11" s="364">
        <f t="shared" si="1"/>
        <v>178.441116945</v>
      </c>
      <c r="Y11" s="364">
        <f t="shared" si="1"/>
        <v>189.71465940000002</v>
      </c>
      <c r="Z11" s="364">
        <f t="shared" si="1"/>
        <v>207.51254556000001</v>
      </c>
      <c r="AA11" s="378">
        <f t="shared" si="1"/>
        <v>213.57041240999999</v>
      </c>
      <c r="AB11" s="379">
        <f t="shared" si="2"/>
        <v>186.67728295500001</v>
      </c>
      <c r="AC11" s="379">
        <f t="shared" si="2"/>
        <v>196.044813645</v>
      </c>
      <c r="AD11" s="379">
        <f t="shared" si="2"/>
        <v>178.66485697499999</v>
      </c>
      <c r="AE11" s="379">
        <f t="shared" si="2"/>
        <v>167.57917171500003</v>
      </c>
      <c r="AF11" s="379">
        <f t="shared" si="2"/>
        <v>144.60360353999999</v>
      </c>
      <c r="AG11" s="379">
        <f t="shared" si="2"/>
        <v>143.24427731999998</v>
      </c>
      <c r="AH11" s="379">
        <f t="shared" si="2"/>
        <v>148.94542657500003</v>
      </c>
      <c r="AI11" s="379">
        <f t="shared" si="2"/>
        <v>155.75683296</v>
      </c>
      <c r="AJ11" s="379">
        <f t="shared" si="2"/>
        <v>178.441116945</v>
      </c>
      <c r="AK11" s="379">
        <f t="shared" si="2"/>
        <v>189.71465940000002</v>
      </c>
      <c r="AL11" s="379">
        <f t="shared" si="2"/>
        <v>207.51254556000001</v>
      </c>
      <c r="AM11" s="392">
        <f t="shared" si="3"/>
        <v>1095.9166605299999</v>
      </c>
      <c r="AN11" s="399">
        <f t="shared" si="4"/>
        <v>2110.7550000000001</v>
      </c>
      <c r="AO11" s="533">
        <f t="shared" si="5"/>
        <v>2110.7550000000001</v>
      </c>
    </row>
    <row r="12" spans="1:41" x14ac:dyDescent="0.25">
      <c r="A12" s="18">
        <v>45108</v>
      </c>
      <c r="B12" s="94">
        <f>'6. 2023 Installed kWh Savings'!D12+'6. 2023 Installed kWh Savings'!I12+'6. 2023 Installed kWh Savings'!K12</f>
        <v>45720.450000000004</v>
      </c>
      <c r="C12" s="379"/>
      <c r="D12" s="379"/>
      <c r="E12" s="379"/>
      <c r="F12" s="379"/>
      <c r="G12" s="379"/>
      <c r="H12" s="379"/>
      <c r="I12" s="379">
        <f>$B12*(SUMPRODUCT(I$30:I$32,$C$26:$C$28))/2</f>
        <v>1551.3863094000001</v>
      </c>
      <c r="J12" s="379">
        <f>$B12*(SUMPRODUCT(J$30:J$32,$C$26:$C$28))</f>
        <v>3226.2635542500007</v>
      </c>
      <c r="K12" s="379">
        <f>$B12*(SUMPRODUCT(K$30:K$32,$C$26:$C$28))</f>
        <v>3373.8034464000002</v>
      </c>
      <c r="L12" s="379">
        <f>$B12*(SUMPRODUCT(L$30:L$32,$C$26:$C$28))</f>
        <v>3865.1611225500005</v>
      </c>
      <c r="M12" s="379">
        <f>$B12*(SUMPRODUCT(M$30:M$32,$C$26:$C$28))</f>
        <v>4109.3540460000004</v>
      </c>
      <c r="N12" s="380">
        <f>$B12*(SUMPRODUCT(N$30:N$32,$C$26:$C$28))</f>
        <v>4494.8688804000003</v>
      </c>
      <c r="O12" s="363">
        <f t="shared" si="0"/>
        <v>4626.0865719000003</v>
      </c>
      <c r="P12" s="364">
        <f t="shared" si="1"/>
        <v>4043.5623184500005</v>
      </c>
      <c r="Q12" s="364">
        <f t="shared" si="1"/>
        <v>4246.4696755500008</v>
      </c>
      <c r="R12" s="364">
        <f t="shared" si="1"/>
        <v>3870.0074902500005</v>
      </c>
      <c r="S12" s="364">
        <f t="shared" si="1"/>
        <v>3629.8836868500007</v>
      </c>
      <c r="T12" s="364">
        <f t="shared" si="1"/>
        <v>3132.2165886000003</v>
      </c>
      <c r="U12" s="364">
        <f t="shared" si="1"/>
        <v>3102.7726188000001</v>
      </c>
      <c r="V12" s="364">
        <f t="shared" si="1"/>
        <v>3226.2635542500007</v>
      </c>
      <c r="W12" s="364">
        <f t="shared" si="1"/>
        <v>3373.8034464000002</v>
      </c>
      <c r="X12" s="364">
        <f t="shared" si="1"/>
        <v>3865.1611225500005</v>
      </c>
      <c r="Y12" s="364">
        <f t="shared" si="1"/>
        <v>4109.3540460000004</v>
      </c>
      <c r="Z12" s="364">
        <f t="shared" si="1"/>
        <v>4494.8688804000003</v>
      </c>
      <c r="AA12" s="378">
        <f t="shared" si="1"/>
        <v>4626.0865719000003</v>
      </c>
      <c r="AB12" s="379">
        <f t="shared" si="2"/>
        <v>4043.5623184500005</v>
      </c>
      <c r="AC12" s="379">
        <f t="shared" si="2"/>
        <v>4246.4696755500008</v>
      </c>
      <c r="AD12" s="379">
        <f t="shared" si="2"/>
        <v>3870.0074902500005</v>
      </c>
      <c r="AE12" s="379">
        <f t="shared" si="2"/>
        <v>3629.8836868500007</v>
      </c>
      <c r="AF12" s="379">
        <f t="shared" si="2"/>
        <v>3132.2165886000003</v>
      </c>
      <c r="AG12" s="379">
        <f t="shared" si="2"/>
        <v>3102.7726188000001</v>
      </c>
      <c r="AH12" s="379">
        <f t="shared" si="2"/>
        <v>3226.2635542500007</v>
      </c>
      <c r="AI12" s="379">
        <f t="shared" si="2"/>
        <v>3373.8034464000002</v>
      </c>
      <c r="AJ12" s="379">
        <f t="shared" si="2"/>
        <v>3865.1611225500005</v>
      </c>
      <c r="AK12" s="379">
        <f t="shared" si="2"/>
        <v>4109.3540460000004</v>
      </c>
      <c r="AL12" s="379">
        <f t="shared" si="2"/>
        <v>4494.8688804000003</v>
      </c>
      <c r="AM12" s="392">
        <f t="shared" si="3"/>
        <v>20620.837359000001</v>
      </c>
      <c r="AN12" s="399">
        <f t="shared" si="4"/>
        <v>45720.450000000004</v>
      </c>
      <c r="AO12" s="533">
        <f t="shared" si="5"/>
        <v>45720.450000000004</v>
      </c>
    </row>
    <row r="13" spans="1:41" x14ac:dyDescent="0.25">
      <c r="A13" s="18">
        <v>45139</v>
      </c>
      <c r="B13" s="94">
        <f>'6. 2023 Installed kWh Savings'!D13+'6. 2023 Installed kWh Savings'!I13+'6. 2023 Installed kWh Savings'!K13</f>
        <v>2694.98</v>
      </c>
      <c r="C13" s="379"/>
      <c r="D13" s="379"/>
      <c r="E13" s="379"/>
      <c r="F13" s="379"/>
      <c r="G13" s="379"/>
      <c r="H13" s="379"/>
      <c r="I13" s="379"/>
      <c r="J13" s="379">
        <f>$B13*(SUMPRODUCT(J$30:J$32,$C$26:$C$28))/2</f>
        <v>95.085631849999999</v>
      </c>
      <c r="K13" s="379">
        <f>$B13*(SUMPRODUCT(K$30:K$32,$C$26:$C$28))</f>
        <v>198.86796415999999</v>
      </c>
      <c r="L13" s="379">
        <f>$B13*(SUMPRODUCT(L$30:L$32,$C$26:$C$28))</f>
        <v>227.83091422000001</v>
      </c>
      <c r="M13" s="379">
        <f>$B13*(SUMPRODUCT(M$30:M$32,$C$26:$C$28))</f>
        <v>242.22480240000002</v>
      </c>
      <c r="N13" s="380">
        <f>$B13*(SUMPRODUCT(N$30:N$32,$C$26:$C$28))</f>
        <v>264.94887375999997</v>
      </c>
      <c r="O13" s="363">
        <f t="shared" si="0"/>
        <v>272.68346636000001</v>
      </c>
      <c r="P13" s="364">
        <f t="shared" si="1"/>
        <v>238.34672618000002</v>
      </c>
      <c r="Q13" s="364">
        <f t="shared" si="1"/>
        <v>250.30704742</v>
      </c>
      <c r="R13" s="364">
        <f t="shared" si="1"/>
        <v>228.11658209999999</v>
      </c>
      <c r="S13" s="364">
        <f t="shared" si="1"/>
        <v>213.96254714000003</v>
      </c>
      <c r="T13" s="364">
        <f t="shared" si="1"/>
        <v>184.62768983999999</v>
      </c>
      <c r="U13" s="364">
        <f t="shared" si="1"/>
        <v>182.89212271999997</v>
      </c>
      <c r="V13" s="364">
        <f t="shared" si="1"/>
        <v>190.1712637</v>
      </c>
      <c r="W13" s="364">
        <f t="shared" si="1"/>
        <v>198.86796415999999</v>
      </c>
      <c r="X13" s="364">
        <f t="shared" si="1"/>
        <v>227.83091422000001</v>
      </c>
      <c r="Y13" s="364">
        <f t="shared" si="1"/>
        <v>242.22480240000002</v>
      </c>
      <c r="Z13" s="364">
        <f t="shared" si="1"/>
        <v>264.94887375999997</v>
      </c>
      <c r="AA13" s="378">
        <f t="shared" si="1"/>
        <v>272.68346636000001</v>
      </c>
      <c r="AB13" s="379">
        <f t="shared" si="2"/>
        <v>238.34672618000002</v>
      </c>
      <c r="AC13" s="379">
        <f t="shared" si="2"/>
        <v>250.30704742</v>
      </c>
      <c r="AD13" s="379">
        <f t="shared" si="2"/>
        <v>228.11658209999999</v>
      </c>
      <c r="AE13" s="379">
        <f t="shared" si="2"/>
        <v>213.96254714000003</v>
      </c>
      <c r="AF13" s="379">
        <f t="shared" si="2"/>
        <v>184.62768983999999</v>
      </c>
      <c r="AG13" s="379">
        <f t="shared" si="2"/>
        <v>182.89212271999997</v>
      </c>
      <c r="AH13" s="379">
        <f t="shared" si="2"/>
        <v>190.1712637</v>
      </c>
      <c r="AI13" s="379">
        <f t="shared" si="2"/>
        <v>198.86796415999999</v>
      </c>
      <c r="AJ13" s="379">
        <f t="shared" si="2"/>
        <v>227.83091422000001</v>
      </c>
      <c r="AK13" s="379">
        <f t="shared" si="2"/>
        <v>242.22480240000002</v>
      </c>
      <c r="AL13" s="379">
        <f t="shared" si="2"/>
        <v>264.94887375999997</v>
      </c>
      <c r="AM13" s="392">
        <f t="shared" si="3"/>
        <v>1028.95818639</v>
      </c>
      <c r="AN13" s="399">
        <f t="shared" si="4"/>
        <v>2694.9799999999996</v>
      </c>
      <c r="AO13" s="533">
        <f t="shared" si="5"/>
        <v>2694.9799999999996</v>
      </c>
    </row>
    <row r="14" spans="1:41" x14ac:dyDescent="0.25">
      <c r="A14" s="18">
        <v>45170</v>
      </c>
      <c r="B14" s="94">
        <f>'6. 2023 Installed kWh Savings'!D14+'6. 2023 Installed kWh Savings'!I14+'6. 2023 Installed kWh Savings'!K14</f>
        <v>763.26499999999999</v>
      </c>
      <c r="C14" s="379"/>
      <c r="D14" s="379"/>
      <c r="E14" s="379"/>
      <c r="F14" s="379"/>
      <c r="G14" s="379"/>
      <c r="H14" s="379"/>
      <c r="I14" s="379"/>
      <c r="J14" s="379"/>
      <c r="K14" s="379">
        <f>$B14*(SUMPRODUCT(K$30:K$32,$C$26:$C$28))/2</f>
        <v>28.161425439999999</v>
      </c>
      <c r="L14" s="379">
        <f>$B14*(SUMPRODUCT(L$30:L$32,$C$26:$C$28))</f>
        <v>64.525659834999999</v>
      </c>
      <c r="M14" s="379">
        <f>$B14*(SUMPRODUCT(M$30:M$32,$C$26:$C$28))</f>
        <v>68.602258199999994</v>
      </c>
      <c r="N14" s="380">
        <f>$B14*(SUMPRODUCT(N$30:N$32,$C$26:$C$28))</f>
        <v>75.038108679999993</v>
      </c>
      <c r="O14" s="363">
        <f t="shared" si="0"/>
        <v>77.228679229999997</v>
      </c>
      <c r="P14" s="364">
        <f t="shared" si="1"/>
        <v>67.503919865</v>
      </c>
      <c r="Q14" s="364">
        <f t="shared" si="1"/>
        <v>70.891289935000003</v>
      </c>
      <c r="R14" s="364">
        <f t="shared" si="1"/>
        <v>64.606565924999998</v>
      </c>
      <c r="S14" s="364">
        <f t="shared" si="1"/>
        <v>60.597898145000002</v>
      </c>
      <c r="T14" s="364">
        <f t="shared" si="1"/>
        <v>52.289758620000001</v>
      </c>
      <c r="U14" s="364">
        <f t="shared" si="1"/>
        <v>51.798215959999993</v>
      </c>
      <c r="V14" s="364">
        <f t="shared" si="1"/>
        <v>53.859794725</v>
      </c>
      <c r="W14" s="364">
        <f t="shared" si="1"/>
        <v>56.322850879999997</v>
      </c>
      <c r="X14" s="364">
        <f t="shared" si="1"/>
        <v>64.525659834999999</v>
      </c>
      <c r="Y14" s="364">
        <f t="shared" si="1"/>
        <v>68.602258199999994</v>
      </c>
      <c r="Z14" s="364">
        <f t="shared" si="1"/>
        <v>75.038108679999993</v>
      </c>
      <c r="AA14" s="378">
        <f t="shared" si="1"/>
        <v>77.228679229999997</v>
      </c>
      <c r="AB14" s="379">
        <f t="shared" si="2"/>
        <v>67.503919865</v>
      </c>
      <c r="AC14" s="379">
        <f t="shared" si="2"/>
        <v>70.891289935000003</v>
      </c>
      <c r="AD14" s="379">
        <f t="shared" si="2"/>
        <v>64.606565924999998</v>
      </c>
      <c r="AE14" s="379">
        <f t="shared" si="2"/>
        <v>60.597898145000002</v>
      </c>
      <c r="AF14" s="379">
        <f t="shared" si="2"/>
        <v>52.289758620000001</v>
      </c>
      <c r="AG14" s="379">
        <f t="shared" si="2"/>
        <v>51.798215959999993</v>
      </c>
      <c r="AH14" s="379">
        <f t="shared" si="2"/>
        <v>53.859794725</v>
      </c>
      <c r="AI14" s="379">
        <f t="shared" si="2"/>
        <v>56.322850879999997</v>
      </c>
      <c r="AJ14" s="379">
        <f t="shared" si="2"/>
        <v>64.525659834999999</v>
      </c>
      <c r="AK14" s="379">
        <f t="shared" si="2"/>
        <v>68.602258199999994</v>
      </c>
      <c r="AL14" s="379">
        <f t="shared" si="2"/>
        <v>75.038108679999993</v>
      </c>
      <c r="AM14" s="392">
        <f t="shared" si="3"/>
        <v>236.327452155</v>
      </c>
      <c r="AN14" s="399">
        <f t="shared" si="4"/>
        <v>763.2650000000001</v>
      </c>
      <c r="AO14" s="533">
        <f t="shared" si="5"/>
        <v>763.2650000000001</v>
      </c>
    </row>
    <row r="15" spans="1:41" x14ac:dyDescent="0.25">
      <c r="A15" s="18">
        <v>45200</v>
      </c>
      <c r="B15" s="94">
        <f>'6. 2023 Installed kWh Savings'!D15+'6. 2023 Installed kWh Savings'!I15+'6. 2023 Installed kWh Savings'!K15</f>
        <v>673.745</v>
      </c>
      <c r="C15" s="379"/>
      <c r="D15" s="379"/>
      <c r="E15" s="379"/>
      <c r="F15" s="379"/>
      <c r="G15" s="379"/>
      <c r="H15" s="379"/>
      <c r="I15" s="379"/>
      <c r="J15" s="379"/>
      <c r="K15" s="379"/>
      <c r="L15" s="379">
        <f>$B15*(SUMPRODUCT(L$30:L$32,$C$26:$C$28))/2</f>
        <v>28.478864277500001</v>
      </c>
      <c r="M15" s="379">
        <f>$B15*(SUMPRODUCT(M$30:M$32,$C$26:$C$28))</f>
        <v>60.556200600000004</v>
      </c>
      <c r="N15" s="380">
        <f>$B15*(SUMPRODUCT(N$30:N$32,$C$26:$C$28))</f>
        <v>66.237218439999992</v>
      </c>
      <c r="O15" s="363">
        <f t="shared" si="0"/>
        <v>68.170866590000003</v>
      </c>
      <c r="P15" s="364">
        <f t="shared" si="1"/>
        <v>59.586681545000005</v>
      </c>
      <c r="Q15" s="364">
        <f t="shared" si="1"/>
        <v>62.576761855000001</v>
      </c>
      <c r="R15" s="364">
        <f t="shared" si="1"/>
        <v>57.029145524999997</v>
      </c>
      <c r="S15" s="364">
        <f t="shared" si="1"/>
        <v>53.490636785000007</v>
      </c>
      <c r="T15" s="364">
        <f t="shared" si="1"/>
        <v>46.156922459999997</v>
      </c>
      <c r="U15" s="364">
        <f t="shared" si="1"/>
        <v>45.723030679999994</v>
      </c>
      <c r="V15" s="364">
        <f t="shared" si="1"/>
        <v>47.542815924999999</v>
      </c>
      <c r="W15" s="364">
        <f t="shared" si="1"/>
        <v>49.716991039999996</v>
      </c>
      <c r="X15" s="364">
        <f t="shared" si="1"/>
        <v>56.957728555000003</v>
      </c>
      <c r="Y15" s="364">
        <f t="shared" si="1"/>
        <v>60.556200600000004</v>
      </c>
      <c r="Z15" s="364">
        <f t="shared" si="1"/>
        <v>66.237218439999992</v>
      </c>
      <c r="AA15" s="378">
        <f t="shared" si="1"/>
        <v>68.170866590000003</v>
      </c>
      <c r="AB15" s="379">
        <f t="shared" si="2"/>
        <v>59.586681545000005</v>
      </c>
      <c r="AC15" s="379">
        <f t="shared" si="2"/>
        <v>62.576761855000001</v>
      </c>
      <c r="AD15" s="379">
        <f t="shared" si="2"/>
        <v>57.029145524999997</v>
      </c>
      <c r="AE15" s="379">
        <f t="shared" si="2"/>
        <v>53.490636785000007</v>
      </c>
      <c r="AF15" s="379">
        <f t="shared" si="2"/>
        <v>46.156922459999997</v>
      </c>
      <c r="AG15" s="379">
        <f t="shared" si="2"/>
        <v>45.723030679999994</v>
      </c>
      <c r="AH15" s="379">
        <f t="shared" si="2"/>
        <v>47.542815924999999</v>
      </c>
      <c r="AI15" s="379">
        <f t="shared" si="2"/>
        <v>49.716991039999996</v>
      </c>
      <c r="AJ15" s="379">
        <f t="shared" si="2"/>
        <v>56.957728555000003</v>
      </c>
      <c r="AK15" s="379">
        <f t="shared" si="2"/>
        <v>60.556200600000004</v>
      </c>
      <c r="AL15" s="379">
        <f t="shared" si="2"/>
        <v>66.237218439999992</v>
      </c>
      <c r="AM15" s="392">
        <f t="shared" si="3"/>
        <v>155.27228331750001</v>
      </c>
      <c r="AN15" s="399">
        <f t="shared" si="4"/>
        <v>673.74499999999989</v>
      </c>
      <c r="AO15" s="533">
        <f t="shared" si="5"/>
        <v>673.74499999999989</v>
      </c>
    </row>
    <row r="16" spans="1:41" x14ac:dyDescent="0.25">
      <c r="A16" s="18">
        <v>45231</v>
      </c>
      <c r="B16" s="94">
        <f>'6. 2023 Installed kWh Savings'!D16+'6. 2023 Installed kWh Savings'!I16+'6. 2023 Installed kWh Savings'!K16</f>
        <v>673.745</v>
      </c>
      <c r="C16" s="379"/>
      <c r="D16" s="379"/>
      <c r="E16" s="379"/>
      <c r="F16" s="379"/>
      <c r="G16" s="379"/>
      <c r="H16" s="379"/>
      <c r="I16" s="379"/>
      <c r="J16" s="379"/>
      <c r="K16" s="379"/>
      <c r="L16" s="379"/>
      <c r="M16" s="379">
        <f>$B16*(SUMPRODUCT(M$30:M$32,$C$26:$C$28))/2</f>
        <v>30.278100300000002</v>
      </c>
      <c r="N16" s="380">
        <f>$B16*(SUMPRODUCT(N$30:N$32,$C$26:$C$28))</f>
        <v>66.237218439999992</v>
      </c>
      <c r="O16" s="363">
        <f t="shared" si="0"/>
        <v>68.170866590000003</v>
      </c>
      <c r="P16" s="364">
        <f t="shared" si="1"/>
        <v>59.586681545000005</v>
      </c>
      <c r="Q16" s="364">
        <f t="shared" si="1"/>
        <v>62.576761855000001</v>
      </c>
      <c r="R16" s="364">
        <f t="shared" si="1"/>
        <v>57.029145524999997</v>
      </c>
      <c r="S16" s="364">
        <f t="shared" si="1"/>
        <v>53.490636785000007</v>
      </c>
      <c r="T16" s="364">
        <f t="shared" si="1"/>
        <v>46.156922459999997</v>
      </c>
      <c r="U16" s="364">
        <f t="shared" si="1"/>
        <v>45.723030679999994</v>
      </c>
      <c r="V16" s="364">
        <f t="shared" si="1"/>
        <v>47.542815924999999</v>
      </c>
      <c r="W16" s="364">
        <f t="shared" si="1"/>
        <v>49.716991039999996</v>
      </c>
      <c r="X16" s="364">
        <f t="shared" si="1"/>
        <v>56.957728555000003</v>
      </c>
      <c r="Y16" s="364">
        <f t="shared" si="1"/>
        <v>60.556200600000004</v>
      </c>
      <c r="Z16" s="364">
        <f t="shared" si="1"/>
        <v>66.237218439999992</v>
      </c>
      <c r="AA16" s="378">
        <f t="shared" si="1"/>
        <v>68.170866590000003</v>
      </c>
      <c r="AB16" s="379">
        <f t="shared" si="2"/>
        <v>59.586681545000005</v>
      </c>
      <c r="AC16" s="379">
        <f t="shared" si="2"/>
        <v>62.576761855000001</v>
      </c>
      <c r="AD16" s="379">
        <f t="shared" si="2"/>
        <v>57.029145524999997</v>
      </c>
      <c r="AE16" s="379">
        <f t="shared" si="2"/>
        <v>53.490636785000007</v>
      </c>
      <c r="AF16" s="379">
        <f t="shared" si="2"/>
        <v>46.156922459999997</v>
      </c>
      <c r="AG16" s="379">
        <f t="shared" si="2"/>
        <v>45.723030679999994</v>
      </c>
      <c r="AH16" s="379">
        <f t="shared" si="2"/>
        <v>47.542815924999999</v>
      </c>
      <c r="AI16" s="379">
        <f t="shared" si="2"/>
        <v>49.716991039999996</v>
      </c>
      <c r="AJ16" s="379">
        <f t="shared" si="2"/>
        <v>56.957728555000003</v>
      </c>
      <c r="AK16" s="379">
        <f t="shared" si="2"/>
        <v>60.556200600000004</v>
      </c>
      <c r="AL16" s="379">
        <f t="shared" si="2"/>
        <v>66.237218439999992</v>
      </c>
      <c r="AM16" s="392">
        <f t="shared" si="3"/>
        <v>96.515318739999998</v>
      </c>
      <c r="AN16" s="399">
        <f t="shared" si="4"/>
        <v>673.74499999999989</v>
      </c>
      <c r="AO16" s="533">
        <f t="shared" si="5"/>
        <v>673.74499999999989</v>
      </c>
    </row>
    <row r="17" spans="1:41" x14ac:dyDescent="0.25">
      <c r="A17" s="18">
        <v>45261</v>
      </c>
      <c r="B17" s="95">
        <f>'6. 2023 Installed kWh Savings'!D17+'6. 2023 Installed kWh Savings'!I17+'6. 2023 Installed kWh Savings'!K17</f>
        <v>0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80">
        <f>$B17*(SUMPRODUCT(N$30:N$32,$C$26:$C$28))/2</f>
        <v>0</v>
      </c>
      <c r="O17" s="363">
        <f t="shared" si="0"/>
        <v>0</v>
      </c>
      <c r="P17" s="364">
        <f t="shared" si="1"/>
        <v>0</v>
      </c>
      <c r="Q17" s="364">
        <f t="shared" si="1"/>
        <v>0</v>
      </c>
      <c r="R17" s="364">
        <f t="shared" si="1"/>
        <v>0</v>
      </c>
      <c r="S17" s="364">
        <f t="shared" si="1"/>
        <v>0</v>
      </c>
      <c r="T17" s="364">
        <f t="shared" si="1"/>
        <v>0</v>
      </c>
      <c r="U17" s="364">
        <f t="shared" si="1"/>
        <v>0</v>
      </c>
      <c r="V17" s="364">
        <f t="shared" si="1"/>
        <v>0</v>
      </c>
      <c r="W17" s="364">
        <f t="shared" si="1"/>
        <v>0</v>
      </c>
      <c r="X17" s="364">
        <f t="shared" si="1"/>
        <v>0</v>
      </c>
      <c r="Y17" s="364">
        <f t="shared" si="1"/>
        <v>0</v>
      </c>
      <c r="Z17" s="364">
        <f t="shared" si="1"/>
        <v>0</v>
      </c>
      <c r="AA17" s="378">
        <f t="shared" si="1"/>
        <v>0</v>
      </c>
      <c r="AB17" s="379">
        <f t="shared" si="2"/>
        <v>0</v>
      </c>
      <c r="AC17" s="379">
        <f t="shared" si="2"/>
        <v>0</v>
      </c>
      <c r="AD17" s="379">
        <f t="shared" si="2"/>
        <v>0</v>
      </c>
      <c r="AE17" s="379">
        <f t="shared" si="2"/>
        <v>0</v>
      </c>
      <c r="AF17" s="379">
        <f t="shared" si="2"/>
        <v>0</v>
      </c>
      <c r="AG17" s="379">
        <f t="shared" si="2"/>
        <v>0</v>
      </c>
      <c r="AH17" s="379">
        <f t="shared" si="2"/>
        <v>0</v>
      </c>
      <c r="AI17" s="379">
        <f t="shared" si="2"/>
        <v>0</v>
      </c>
      <c r="AJ17" s="379">
        <f t="shared" si="2"/>
        <v>0</v>
      </c>
      <c r="AK17" s="379">
        <f t="shared" si="2"/>
        <v>0</v>
      </c>
      <c r="AL17" s="379">
        <f t="shared" si="2"/>
        <v>0</v>
      </c>
      <c r="AM17" s="392">
        <f t="shared" si="3"/>
        <v>0</v>
      </c>
      <c r="AN17" s="399">
        <f t="shared" si="4"/>
        <v>0</v>
      </c>
      <c r="AO17" s="533">
        <f t="shared" si="5"/>
        <v>0</v>
      </c>
    </row>
    <row r="18" spans="1:41" x14ac:dyDescent="0.25">
      <c r="A18" s="18"/>
      <c r="B18" s="20"/>
      <c r="C18" s="378"/>
      <c r="D18" s="379"/>
      <c r="E18" s="379"/>
      <c r="F18" s="379"/>
      <c r="G18" s="379"/>
      <c r="H18" s="379"/>
      <c r="I18" s="379"/>
      <c r="J18" s="379"/>
      <c r="K18" s="379"/>
      <c r="L18" s="379"/>
      <c r="M18" s="379"/>
      <c r="N18" s="380"/>
      <c r="O18" s="363"/>
      <c r="P18" s="364"/>
      <c r="Q18" s="364"/>
      <c r="R18" s="364"/>
      <c r="S18" s="364"/>
      <c r="T18" s="364"/>
      <c r="U18" s="364"/>
      <c r="V18" s="364"/>
      <c r="W18" s="364"/>
      <c r="X18" s="364"/>
      <c r="Y18" s="364"/>
      <c r="Z18" s="364"/>
      <c r="AA18" s="378"/>
      <c r="AB18" s="379"/>
      <c r="AC18" s="379"/>
      <c r="AD18" s="379"/>
      <c r="AE18" s="379"/>
      <c r="AF18" s="379"/>
      <c r="AG18" s="379"/>
      <c r="AH18" s="379"/>
      <c r="AI18" s="379"/>
      <c r="AJ18" s="379"/>
      <c r="AK18" s="379"/>
      <c r="AL18" s="379"/>
      <c r="AM18" s="392"/>
      <c r="AN18" s="399"/>
      <c r="AO18" s="534"/>
    </row>
    <row r="19" spans="1:41" x14ac:dyDescent="0.25">
      <c r="A19" s="88" t="s">
        <v>35</v>
      </c>
      <c r="B19" s="20">
        <f>SUM(B6:B17)</f>
        <v>57532.195000000014</v>
      </c>
      <c r="C19" s="425">
        <f t="shared" ref="C19:N19" si="6">SUM(C6:C17)</f>
        <v>68.170866590000003</v>
      </c>
      <c r="D19" s="426">
        <f t="shared" si="6"/>
        <v>119.17336309000001</v>
      </c>
      <c r="E19" s="426">
        <f t="shared" si="6"/>
        <v>164.75643271749999</v>
      </c>
      <c r="F19" s="426">
        <f t="shared" si="6"/>
        <v>271.7859956625</v>
      </c>
      <c r="G19" s="426">
        <f t="shared" si="6"/>
        <v>361.90366182250006</v>
      </c>
      <c r="H19" s="426">
        <f t="shared" si="6"/>
        <v>407.66593130999996</v>
      </c>
      <c r="I19" s="426">
        <f t="shared" si="6"/>
        <v>2026.8421720399999</v>
      </c>
      <c r="J19" s="426">
        <f t="shared" si="6"/>
        <v>3815.7282817500009</v>
      </c>
      <c r="K19" s="426">
        <f t="shared" si="6"/>
        <v>4117.82032592</v>
      </c>
      <c r="L19" s="426">
        <f t="shared" si="6"/>
        <v>4778.2776402725003</v>
      </c>
      <c r="M19" s="426">
        <f t="shared" si="6"/>
        <v>5140.7155862999998</v>
      </c>
      <c r="N19" s="427">
        <f t="shared" si="6"/>
        <v>5656.1051548400001</v>
      </c>
      <c r="O19" s="447">
        <f t="shared" ref="O19:AN19" si="7">SUM(O6:O17)</f>
        <v>5821.2225544900002</v>
      </c>
      <c r="P19" s="448">
        <f t="shared" si="7"/>
        <v>5088.2048579950006</v>
      </c>
      <c r="Q19" s="448">
        <f t="shared" si="7"/>
        <v>5343.5327394050009</v>
      </c>
      <c r="R19" s="448">
        <f t="shared" si="7"/>
        <v>4869.8126457750004</v>
      </c>
      <c r="S19" s="448">
        <f t="shared" si="7"/>
        <v>4567.6535576350007</v>
      </c>
      <c r="T19" s="448">
        <f t="shared" si="7"/>
        <v>3941.4156150600002</v>
      </c>
      <c r="U19" s="448">
        <f t="shared" si="7"/>
        <v>3904.3648814800003</v>
      </c>
      <c r="V19" s="448">
        <f t="shared" si="7"/>
        <v>4059.7593401750009</v>
      </c>
      <c r="W19" s="448">
        <f t="shared" si="7"/>
        <v>4245.4157334399997</v>
      </c>
      <c r="X19" s="448">
        <f t="shared" si="7"/>
        <v>4863.7142331050009</v>
      </c>
      <c r="Y19" s="448">
        <f t="shared" si="7"/>
        <v>5170.9936865999998</v>
      </c>
      <c r="Z19" s="448">
        <f t="shared" si="7"/>
        <v>5656.1051548400001</v>
      </c>
      <c r="AA19" s="425">
        <f t="shared" ref="AA19:AL19" si="8">SUM(AA6:AA17)</f>
        <v>5821.2225544900002</v>
      </c>
      <c r="AB19" s="426">
        <f t="shared" si="8"/>
        <v>5088.2048579950006</v>
      </c>
      <c r="AC19" s="426">
        <f t="shared" si="8"/>
        <v>5343.5327394050009</v>
      </c>
      <c r="AD19" s="426">
        <f t="shared" si="8"/>
        <v>4869.8126457750004</v>
      </c>
      <c r="AE19" s="426">
        <f t="shared" si="8"/>
        <v>4567.6535576350007</v>
      </c>
      <c r="AF19" s="426">
        <f t="shared" si="8"/>
        <v>3941.4156150600002</v>
      </c>
      <c r="AG19" s="426">
        <f t="shared" si="8"/>
        <v>3904.3648814800003</v>
      </c>
      <c r="AH19" s="426">
        <f t="shared" si="8"/>
        <v>4059.7593401750009</v>
      </c>
      <c r="AI19" s="426">
        <f t="shared" si="8"/>
        <v>4245.4157334399997</v>
      </c>
      <c r="AJ19" s="426">
        <f t="shared" si="8"/>
        <v>4863.7142331050009</v>
      </c>
      <c r="AK19" s="426">
        <f t="shared" si="8"/>
        <v>5170.9936865999998</v>
      </c>
      <c r="AL19" s="426">
        <f t="shared" si="8"/>
        <v>5656.1051548400001</v>
      </c>
      <c r="AM19" s="397">
        <f t="shared" si="7"/>
        <v>26928.945412314999</v>
      </c>
      <c r="AN19" s="398">
        <f t="shared" si="7"/>
        <v>57532.195000000007</v>
      </c>
      <c r="AO19" s="535">
        <f t="shared" ref="AO19" si="9">SUM(AO6:AO17)</f>
        <v>57532.195000000007</v>
      </c>
    </row>
    <row r="20" spans="1:41" x14ac:dyDescent="0.25">
      <c r="A20" s="88" t="s">
        <v>38</v>
      </c>
      <c r="B20" s="733">
        <v>0.82499999999999996</v>
      </c>
      <c r="C20" s="381"/>
      <c r="D20" s="382"/>
      <c r="E20" s="382"/>
      <c r="F20" s="382"/>
      <c r="G20" s="382"/>
      <c r="H20" s="382"/>
      <c r="I20" s="382"/>
      <c r="J20" s="382"/>
      <c r="K20" s="382"/>
      <c r="L20" s="382"/>
      <c r="M20" s="382"/>
      <c r="N20" s="383"/>
      <c r="O20" s="366"/>
      <c r="P20" s="367"/>
      <c r="Q20" s="367"/>
      <c r="R20" s="367"/>
      <c r="S20" s="367"/>
      <c r="T20" s="367"/>
      <c r="U20" s="367"/>
      <c r="V20" s="367"/>
      <c r="W20" s="367"/>
      <c r="X20" s="367"/>
      <c r="Y20" s="367"/>
      <c r="Z20" s="367"/>
      <c r="AA20" s="381"/>
      <c r="AB20" s="382"/>
      <c r="AC20" s="382"/>
      <c r="AD20" s="382"/>
      <c r="AE20" s="382"/>
      <c r="AF20" s="382"/>
      <c r="AG20" s="382"/>
      <c r="AH20" s="382"/>
      <c r="AI20" s="382"/>
      <c r="AJ20" s="382"/>
      <c r="AK20" s="382"/>
      <c r="AL20" s="382"/>
      <c r="AM20" s="393"/>
      <c r="AN20" s="394"/>
      <c r="AO20" s="394"/>
    </row>
    <row r="21" spans="1:41" x14ac:dyDescent="0.25">
      <c r="A21" s="88" t="s">
        <v>36</v>
      </c>
      <c r="B21" s="20"/>
      <c r="C21" s="384">
        <f>$F$38</f>
        <v>0.10241358634724779</v>
      </c>
      <c r="D21" s="374">
        <f t="shared" ref="D21:G21" si="10">$F$38</f>
        <v>0.10241358634724779</v>
      </c>
      <c r="E21" s="374">
        <f t="shared" si="10"/>
        <v>0.10241358634724779</v>
      </c>
      <c r="F21" s="374">
        <f t="shared" si="10"/>
        <v>0.10241358634724779</v>
      </c>
      <c r="G21" s="374">
        <f t="shared" si="10"/>
        <v>0.10241358634724779</v>
      </c>
      <c r="H21" s="374">
        <f>$F$37*0.5+$F$38*0.5</f>
        <v>0.11431358634724779</v>
      </c>
      <c r="I21" s="374">
        <f>$F$37</f>
        <v>0.1262135863472478</v>
      </c>
      <c r="J21" s="374">
        <f t="shared" ref="J21:K21" si="11">$F$37</f>
        <v>0.1262135863472478</v>
      </c>
      <c r="K21" s="374">
        <f t="shared" si="11"/>
        <v>0.1262135863472478</v>
      </c>
      <c r="L21" s="374">
        <f>$F$37*0.5+$F$38*0.5</f>
        <v>0.11431358634724779</v>
      </c>
      <c r="M21" s="374">
        <f>$F$38</f>
        <v>0.10241358634724779</v>
      </c>
      <c r="N21" s="385">
        <f t="shared" ref="N21" si="12">$F$38</f>
        <v>0.10241358634724779</v>
      </c>
      <c r="O21" s="369">
        <f>$F$38</f>
        <v>0.10241358634724779</v>
      </c>
      <c r="P21" s="360">
        <f t="shared" ref="P21:S21" si="13">$F$38</f>
        <v>0.10241358634724779</v>
      </c>
      <c r="Q21" s="360">
        <f t="shared" si="13"/>
        <v>0.10241358634724779</v>
      </c>
      <c r="R21" s="360">
        <f t="shared" si="13"/>
        <v>0.10241358634724779</v>
      </c>
      <c r="S21" s="360">
        <f t="shared" si="13"/>
        <v>0.10241358634724779</v>
      </c>
      <c r="T21" s="360">
        <f>$F$37*0.5+$F$38*0.5</f>
        <v>0.11431358634724779</v>
      </c>
      <c r="U21" s="360">
        <f>$F$37</f>
        <v>0.1262135863472478</v>
      </c>
      <c r="V21" s="360">
        <f t="shared" ref="V21:W21" si="14">$F$37</f>
        <v>0.1262135863472478</v>
      </c>
      <c r="W21" s="360">
        <f t="shared" si="14"/>
        <v>0.1262135863472478</v>
      </c>
      <c r="X21" s="360">
        <f>$F$37*0.5+$F$38*0.5</f>
        <v>0.11431358634724779</v>
      </c>
      <c r="Y21" s="360">
        <f>$F$38</f>
        <v>0.10241358634724779</v>
      </c>
      <c r="Z21" s="360">
        <f t="shared" ref="Z21" si="15">$F$38</f>
        <v>0.10241358634724779</v>
      </c>
      <c r="AA21" s="384">
        <f>$F$38</f>
        <v>0.10241358634724779</v>
      </c>
      <c r="AB21" s="374">
        <f t="shared" ref="AB21:AE21" si="16">$F$38</f>
        <v>0.10241358634724779</v>
      </c>
      <c r="AC21" s="374">
        <f t="shared" si="16"/>
        <v>0.10241358634724779</v>
      </c>
      <c r="AD21" s="374">
        <f t="shared" si="16"/>
        <v>0.10241358634724779</v>
      </c>
      <c r="AE21" s="374">
        <f t="shared" si="16"/>
        <v>0.10241358634724779</v>
      </c>
      <c r="AF21" s="374">
        <f>$F$37*0.5+$F$38*0.5</f>
        <v>0.11431358634724779</v>
      </c>
      <c r="AG21" s="374">
        <f>$F$37</f>
        <v>0.1262135863472478</v>
      </c>
      <c r="AH21" s="374">
        <f t="shared" ref="AH21:AI21" si="17">$F$37</f>
        <v>0.1262135863472478</v>
      </c>
      <c r="AI21" s="374">
        <f t="shared" si="17"/>
        <v>0.1262135863472478</v>
      </c>
      <c r="AJ21" s="374">
        <f>$F$37*0.5+$F$38*0.5</f>
        <v>0.11431358634724779</v>
      </c>
      <c r="AK21" s="374">
        <f>$F$38</f>
        <v>0.10241358634724779</v>
      </c>
      <c r="AL21" s="374">
        <f t="shared" ref="AL21" si="18">$F$38</f>
        <v>0.10241358634724779</v>
      </c>
      <c r="AM21" s="395"/>
      <c r="AN21" s="396"/>
      <c r="AO21" s="396"/>
    </row>
    <row r="22" spans="1:41" x14ac:dyDescent="0.25">
      <c r="A22" s="354" t="s">
        <v>37</v>
      </c>
      <c r="B22" s="21"/>
      <c r="C22" s="386">
        <f>C19*$B$20*C21</f>
        <v>5.7598389188023811</v>
      </c>
      <c r="D22" s="387">
        <f t="shared" ref="D22:N22" si="19">D19*$B$20*D21</f>
        <v>10.069101496665443</v>
      </c>
      <c r="E22" s="387">
        <f t="shared" si="19"/>
        <v>13.920470147412018</v>
      </c>
      <c r="F22" s="387">
        <f t="shared" si="19"/>
        <v>22.963527291172181</v>
      </c>
      <c r="G22" s="387">
        <f t="shared" si="19"/>
        <v>30.577677833541109</v>
      </c>
      <c r="H22" s="387">
        <f t="shared" si="19"/>
        <v>38.446447577700418</v>
      </c>
      <c r="I22" s="387">
        <f t="shared" si="19"/>
        <v>211.04739108173638</v>
      </c>
      <c r="J22" s="387">
        <f t="shared" si="19"/>
        <v>397.31731954718862</v>
      </c>
      <c r="K22" s="387">
        <f t="shared" si="19"/>
        <v>428.77301879606364</v>
      </c>
      <c r="L22" s="387">
        <f t="shared" si="19"/>
        <v>450.63319423849146</v>
      </c>
      <c r="M22" s="387">
        <f t="shared" si="19"/>
        <v>434.34527365694652</v>
      </c>
      <c r="N22" s="388">
        <f t="shared" si="19"/>
        <v>477.89116127306369</v>
      </c>
      <c r="O22" s="371">
        <f>O19*$B$20*O21</f>
        <v>491.84212995291654</v>
      </c>
      <c r="P22" s="372">
        <f t="shared" ref="P22:Z22" si="20">P19*$B$20*P21</f>
        <v>429.90857875082423</v>
      </c>
      <c r="Q22" s="372">
        <f t="shared" si="20"/>
        <v>451.48154007527961</v>
      </c>
      <c r="R22" s="372">
        <f t="shared" si="20"/>
        <v>411.4563567617227</v>
      </c>
      <c r="S22" s="372">
        <f t="shared" si="20"/>
        <v>385.92657017406168</v>
      </c>
      <c r="T22" s="372">
        <f t="shared" si="20"/>
        <v>371.70981725010546</v>
      </c>
      <c r="U22" s="372">
        <f t="shared" si="20"/>
        <v>406.54671263236628</v>
      </c>
      <c r="V22" s="372">
        <f t="shared" si="20"/>
        <v>422.72734847493416</v>
      </c>
      <c r="W22" s="372">
        <f t="shared" si="20"/>
        <v>442.05904483330733</v>
      </c>
      <c r="X22" s="372">
        <f t="shared" si="20"/>
        <v>458.69060898736893</v>
      </c>
      <c r="Y22" s="372">
        <f t="shared" si="20"/>
        <v>436.90350694953781</v>
      </c>
      <c r="Z22" s="372">
        <f t="shared" si="20"/>
        <v>477.89116127306369</v>
      </c>
      <c r="AA22" s="386">
        <f>AA19*$B$20*AA21</f>
        <v>491.84212995291654</v>
      </c>
      <c r="AB22" s="387">
        <f t="shared" ref="AB22:AL22" si="21">AB19*$B$20*AB21</f>
        <v>429.90857875082423</v>
      </c>
      <c r="AC22" s="387">
        <f t="shared" si="21"/>
        <v>451.48154007527961</v>
      </c>
      <c r="AD22" s="387">
        <f t="shared" si="21"/>
        <v>411.4563567617227</v>
      </c>
      <c r="AE22" s="387">
        <f t="shared" si="21"/>
        <v>385.92657017406168</v>
      </c>
      <c r="AF22" s="387">
        <f t="shared" si="21"/>
        <v>371.70981725010546</v>
      </c>
      <c r="AG22" s="387">
        <f t="shared" si="21"/>
        <v>406.54671263236628</v>
      </c>
      <c r="AH22" s="387">
        <f t="shared" si="21"/>
        <v>422.72734847493416</v>
      </c>
      <c r="AI22" s="387">
        <f t="shared" si="21"/>
        <v>442.05904483330733</v>
      </c>
      <c r="AJ22" s="387">
        <f t="shared" si="21"/>
        <v>458.69060898736893</v>
      </c>
      <c r="AK22" s="387">
        <f t="shared" si="21"/>
        <v>436.90350694953781</v>
      </c>
      <c r="AL22" s="387">
        <f t="shared" si="21"/>
        <v>477.89116127306369</v>
      </c>
      <c r="AM22" s="429">
        <f t="shared" ref="AM22" si="22">SUM(C22:N22)</f>
        <v>2521.7444218587839</v>
      </c>
      <c r="AN22" s="430">
        <f t="shared" ref="AN22" si="23">SUM(O22:Z22)</f>
        <v>5187.1433761154876</v>
      </c>
      <c r="AO22" s="430">
        <f>SUM(AA22:AL22)</f>
        <v>5187.1433761154876</v>
      </c>
    </row>
    <row r="23" spans="1:41" x14ac:dyDescent="0.25">
      <c r="A23" s="88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AA23" s="89"/>
    </row>
    <row r="24" spans="1:41" x14ac:dyDescent="0.25">
      <c r="A24" s="88"/>
      <c r="O24" s="431"/>
      <c r="AA24" s="431"/>
      <c r="AM24" s="428">
        <f>+AM22/(AM19*$B$20)</f>
        <v>0.11350834050432287</v>
      </c>
      <c r="AN24" s="428">
        <f>+AN22/(AN19*$B$20)</f>
        <v>0.10928570544724778</v>
      </c>
      <c r="AO24" s="428">
        <f>+AO22/(AO19*$B$20)</f>
        <v>0.10928570544724778</v>
      </c>
    </row>
    <row r="25" spans="1:41" x14ac:dyDescent="0.25">
      <c r="A25" s="355" t="s">
        <v>39</v>
      </c>
      <c r="B25" s="276"/>
      <c r="C25" s="277"/>
      <c r="I25" s="23"/>
    </row>
    <row r="26" spans="1:41" x14ac:dyDescent="0.25">
      <c r="A26" s="356" t="s">
        <v>298</v>
      </c>
      <c r="B26" s="262"/>
      <c r="C26" s="263">
        <v>1</v>
      </c>
      <c r="I26" s="23"/>
    </row>
    <row r="27" spans="1:41" x14ac:dyDescent="0.25">
      <c r="A27" s="357" t="s">
        <v>299</v>
      </c>
      <c r="B27" s="261"/>
      <c r="C27" s="256">
        <v>0</v>
      </c>
      <c r="I27" s="23"/>
    </row>
    <row r="28" spans="1:41" x14ac:dyDescent="0.25">
      <c r="A28" s="358" t="s">
        <v>300</v>
      </c>
      <c r="B28" s="257"/>
      <c r="C28" s="258">
        <v>0</v>
      </c>
    </row>
    <row r="29" spans="1:41" x14ac:dyDescent="0.25">
      <c r="A29" s="88"/>
      <c r="C29" s="27"/>
    </row>
    <row r="30" spans="1:41" x14ac:dyDescent="0.25">
      <c r="A30" s="88" t="s">
        <v>33</v>
      </c>
      <c r="C30" s="72">
        <f t="array" ref="C30:N32">TRANSPOSE('8. Load Shapes'!$B$4:$D$15)</f>
        <v>0.10118199999999999</v>
      </c>
      <c r="D30" s="73">
        <v>8.8441000000000006E-2</v>
      </c>
      <c r="E30" s="73">
        <v>9.2879000000000003E-2</v>
      </c>
      <c r="F30" s="73">
        <v>8.4644999999999998E-2</v>
      </c>
      <c r="G30" s="73">
        <v>7.9393000000000005E-2</v>
      </c>
      <c r="H30" s="73">
        <v>6.8507999999999999E-2</v>
      </c>
      <c r="I30" s="74">
        <v>6.7863999999999994E-2</v>
      </c>
      <c r="J30" s="74">
        <v>7.0565000000000003E-2</v>
      </c>
      <c r="K30" s="74">
        <v>7.3791999999999996E-2</v>
      </c>
      <c r="L30" s="74">
        <v>8.4539000000000003E-2</v>
      </c>
      <c r="M30" s="74">
        <v>8.9880000000000002E-2</v>
      </c>
      <c r="N30" s="75">
        <v>9.8311999999999997E-2</v>
      </c>
      <c r="O30" s="72">
        <f t="array" ref="O30:Z32">TRANSPOSE('8. Load Shapes'!$B$4:$D$15)</f>
        <v>0.10118199999999999</v>
      </c>
      <c r="P30" s="73">
        <v>8.8441000000000006E-2</v>
      </c>
      <c r="Q30" s="73">
        <v>9.2879000000000003E-2</v>
      </c>
      <c r="R30" s="73">
        <v>8.4644999999999998E-2</v>
      </c>
      <c r="S30" s="73">
        <v>7.9393000000000005E-2</v>
      </c>
      <c r="T30" s="73">
        <v>6.8507999999999999E-2</v>
      </c>
      <c r="U30" s="74">
        <v>6.7863999999999994E-2</v>
      </c>
      <c r="V30" s="74">
        <v>7.0565000000000003E-2</v>
      </c>
      <c r="W30" s="74">
        <v>7.3791999999999996E-2</v>
      </c>
      <c r="X30" s="74">
        <v>8.4539000000000003E-2</v>
      </c>
      <c r="Y30" s="74">
        <v>8.9880000000000002E-2</v>
      </c>
      <c r="Z30" s="75">
        <v>9.8311999999999997E-2</v>
      </c>
      <c r="AA30" s="72">
        <f t="array" ref="AA30:AL32">TRANSPOSE('8. Load Shapes'!$B$4:$D$15)</f>
        <v>0.10118199999999999</v>
      </c>
      <c r="AB30" s="73">
        <v>8.8441000000000006E-2</v>
      </c>
      <c r="AC30" s="73">
        <v>9.2879000000000003E-2</v>
      </c>
      <c r="AD30" s="73">
        <v>8.4644999999999998E-2</v>
      </c>
      <c r="AE30" s="73">
        <v>7.9393000000000005E-2</v>
      </c>
      <c r="AF30" s="73">
        <v>6.8507999999999999E-2</v>
      </c>
      <c r="AG30" s="74">
        <v>6.7863999999999994E-2</v>
      </c>
      <c r="AH30" s="74">
        <v>7.0565000000000003E-2</v>
      </c>
      <c r="AI30" s="74">
        <v>7.3791999999999996E-2</v>
      </c>
      <c r="AJ30" s="74">
        <v>8.4539000000000003E-2</v>
      </c>
      <c r="AK30" s="74">
        <v>8.9880000000000002E-2</v>
      </c>
      <c r="AL30" s="75">
        <v>9.8311999999999997E-2</v>
      </c>
      <c r="AM30" s="412"/>
    </row>
    <row r="31" spans="1:41" x14ac:dyDescent="0.25">
      <c r="A31" s="88" t="s">
        <v>40</v>
      </c>
      <c r="C31" s="76">
        <v>0.21790599999999999</v>
      </c>
      <c r="D31" s="77">
        <v>0.18213499999999999</v>
      </c>
      <c r="E31" s="77">
        <v>0.13483300000000001</v>
      </c>
      <c r="F31" s="77">
        <v>5.8486000000000003E-2</v>
      </c>
      <c r="G31" s="77">
        <v>1.7144E-2</v>
      </c>
      <c r="H31" s="77">
        <v>5.1000000000000004E-4</v>
      </c>
      <c r="I31" s="78">
        <v>6.0000000000000002E-6</v>
      </c>
      <c r="J31" s="78">
        <v>9.0000000000000002E-6</v>
      </c>
      <c r="K31" s="78">
        <v>8.8090000000000009E-3</v>
      </c>
      <c r="L31" s="78">
        <v>5.4961999999999997E-2</v>
      </c>
      <c r="M31" s="78">
        <v>0.115899</v>
      </c>
      <c r="N31" s="79">
        <v>0.20930099999999999</v>
      </c>
      <c r="O31" s="76">
        <v>0.21790599999999999</v>
      </c>
      <c r="P31" s="77">
        <v>0.18213499999999999</v>
      </c>
      <c r="Q31" s="77">
        <v>0.13483300000000001</v>
      </c>
      <c r="R31" s="77">
        <v>5.8486000000000003E-2</v>
      </c>
      <c r="S31" s="77">
        <v>1.7144E-2</v>
      </c>
      <c r="T31" s="77">
        <v>5.1000000000000004E-4</v>
      </c>
      <c r="U31" s="78">
        <v>6.0000000000000002E-6</v>
      </c>
      <c r="V31" s="78">
        <v>9.0000000000000002E-6</v>
      </c>
      <c r="W31" s="78">
        <v>8.8090000000000009E-3</v>
      </c>
      <c r="X31" s="78">
        <v>5.4961999999999997E-2</v>
      </c>
      <c r="Y31" s="78">
        <v>0.115899</v>
      </c>
      <c r="Z31" s="79">
        <v>0.20930099999999999</v>
      </c>
      <c r="AA31" s="76">
        <v>0.21790599999999999</v>
      </c>
      <c r="AB31" s="77">
        <v>0.18213499999999999</v>
      </c>
      <c r="AC31" s="77">
        <v>0.13483300000000001</v>
      </c>
      <c r="AD31" s="77">
        <v>5.8486000000000003E-2</v>
      </c>
      <c r="AE31" s="77">
        <v>1.7144E-2</v>
      </c>
      <c r="AF31" s="77">
        <v>5.1000000000000004E-4</v>
      </c>
      <c r="AG31" s="78">
        <v>6.0000000000000002E-6</v>
      </c>
      <c r="AH31" s="78">
        <v>9.0000000000000002E-6</v>
      </c>
      <c r="AI31" s="78">
        <v>8.8090000000000009E-3</v>
      </c>
      <c r="AJ31" s="78">
        <v>5.4961999999999997E-2</v>
      </c>
      <c r="AK31" s="78">
        <v>0.115899</v>
      </c>
      <c r="AL31" s="79">
        <v>0.20930099999999999</v>
      </c>
      <c r="AM31" s="412"/>
    </row>
    <row r="32" spans="1:41" x14ac:dyDescent="0.25">
      <c r="A32" s="88" t="s">
        <v>41</v>
      </c>
      <c r="C32" s="80">
        <v>1.1999999999999999E-3</v>
      </c>
      <c r="D32" s="81">
        <v>1.1000000000000001E-3</v>
      </c>
      <c r="E32" s="81">
        <v>3.13E-3</v>
      </c>
      <c r="F32" s="81">
        <v>1.5047E-2</v>
      </c>
      <c r="G32" s="81">
        <v>6.5409999999999996E-2</v>
      </c>
      <c r="H32" s="81">
        <v>0.21082300000000001</v>
      </c>
      <c r="I32" s="82">
        <v>0.28478100000000001</v>
      </c>
      <c r="J32" s="82">
        <v>0.27076600000000001</v>
      </c>
      <c r="K32" s="82">
        <v>0.126605</v>
      </c>
      <c r="L32" s="82">
        <v>1.8471999999999999E-2</v>
      </c>
      <c r="M32" s="82">
        <v>1.444E-3</v>
      </c>
      <c r="N32" s="83">
        <v>1.222E-3</v>
      </c>
      <c r="O32" s="80">
        <v>1.1999999999999999E-3</v>
      </c>
      <c r="P32" s="81">
        <v>1.1000000000000001E-3</v>
      </c>
      <c r="Q32" s="81">
        <v>3.13E-3</v>
      </c>
      <c r="R32" s="81">
        <v>1.5047E-2</v>
      </c>
      <c r="S32" s="81">
        <v>6.5409999999999996E-2</v>
      </c>
      <c r="T32" s="81">
        <v>0.21082300000000001</v>
      </c>
      <c r="U32" s="82">
        <v>0.28478100000000001</v>
      </c>
      <c r="V32" s="82">
        <v>0.27076600000000001</v>
      </c>
      <c r="W32" s="82">
        <v>0.126605</v>
      </c>
      <c r="X32" s="82">
        <v>1.8471999999999999E-2</v>
      </c>
      <c r="Y32" s="82">
        <v>1.444E-3</v>
      </c>
      <c r="Z32" s="83">
        <v>1.222E-3</v>
      </c>
      <c r="AA32" s="80">
        <v>1.1999999999999999E-3</v>
      </c>
      <c r="AB32" s="81">
        <v>1.1000000000000001E-3</v>
      </c>
      <c r="AC32" s="81">
        <v>3.13E-3</v>
      </c>
      <c r="AD32" s="81">
        <v>1.5047E-2</v>
      </c>
      <c r="AE32" s="81">
        <v>6.5409999999999996E-2</v>
      </c>
      <c r="AF32" s="81">
        <v>0.21082300000000001</v>
      </c>
      <c r="AG32" s="82">
        <v>0.28478100000000001</v>
      </c>
      <c r="AH32" s="82">
        <v>0.27076600000000001</v>
      </c>
      <c r="AI32" s="82">
        <v>0.126605</v>
      </c>
      <c r="AJ32" s="82">
        <v>1.8471999999999999E-2</v>
      </c>
      <c r="AK32" s="82">
        <v>1.444E-3</v>
      </c>
      <c r="AL32" s="83">
        <v>1.222E-3</v>
      </c>
      <c r="AM32" s="412"/>
    </row>
    <row r="33" spans="1:27" x14ac:dyDescent="0.25">
      <c r="A33" s="88"/>
    </row>
    <row r="34" spans="1:27" x14ac:dyDescent="0.25">
      <c r="A34" s="88"/>
      <c r="C34" s="24"/>
      <c r="D34" s="24"/>
      <c r="E34" s="24"/>
      <c r="F34" s="24"/>
      <c r="G34" s="24"/>
      <c r="H34" s="24"/>
      <c r="O34" s="25"/>
      <c r="AA34" s="25"/>
    </row>
    <row r="35" spans="1:27" x14ac:dyDescent="0.25">
      <c r="A35" s="355" t="s">
        <v>150</v>
      </c>
      <c r="B35" s="764" t="s">
        <v>249</v>
      </c>
      <c r="C35" s="764"/>
      <c r="D35" s="764"/>
      <c r="E35" s="764"/>
      <c r="F35" s="764"/>
      <c r="G35" s="765"/>
      <c r="I35" s="23"/>
    </row>
    <row r="36" spans="1:27" x14ac:dyDescent="0.25">
      <c r="A36" s="87"/>
      <c r="B36" s="248" t="s">
        <v>147</v>
      </c>
      <c r="C36" s="248" t="s">
        <v>42</v>
      </c>
      <c r="D36" s="248" t="s">
        <v>43</v>
      </c>
      <c r="E36" s="248" t="s">
        <v>132</v>
      </c>
      <c r="F36" s="157" t="s">
        <v>44</v>
      </c>
      <c r="G36" s="158"/>
      <c r="O36" s="25"/>
      <c r="AA36" s="25"/>
    </row>
    <row r="37" spans="1:27" x14ac:dyDescent="0.25">
      <c r="A37" s="359" t="s">
        <v>45</v>
      </c>
      <c r="B37" s="265">
        <v>0.14030999999999999</v>
      </c>
      <c r="C37" s="254">
        <v>0.14030999999999999</v>
      </c>
      <c r="D37" s="254">
        <f>'2. TD Res Lighting install 2022'!N37</f>
        <v>8.6999999999999994E-3</v>
      </c>
      <c r="E37" s="255">
        <v>0.02</v>
      </c>
      <c r="F37" s="28">
        <f>SUMPRODUCT(B37:C37,B40:C40)-D37-E37*$E$40</f>
        <v>0.1262135863472478</v>
      </c>
      <c r="G37" s="60"/>
    </row>
    <row r="38" spans="1:27" x14ac:dyDescent="0.25">
      <c r="A38" s="359" t="s">
        <v>46</v>
      </c>
      <c r="B38" s="266">
        <v>0.14030999999999999</v>
      </c>
      <c r="C38" s="267">
        <v>0.11651</v>
      </c>
      <c r="D38" s="274">
        <f>+D37</f>
        <v>8.6999999999999994E-3</v>
      </c>
      <c r="E38" s="275">
        <f>+E37</f>
        <v>0.02</v>
      </c>
      <c r="F38" s="28">
        <f>SUMPRODUCT(B38:C38,B40:C40)-D38-E38*$E$40</f>
        <v>0.10241358634724779</v>
      </c>
      <c r="G38" s="60"/>
    </row>
    <row r="39" spans="1:27" x14ac:dyDescent="0.25">
      <c r="A39" s="359"/>
      <c r="B39" s="17"/>
    </row>
    <row r="40" spans="1:27" x14ac:dyDescent="0.25">
      <c r="A40" s="88"/>
      <c r="B40" s="279">
        <f t="array" ref="B40:C40">TRANSPOSE('Step Adjustments'!C12:C13)</f>
        <v>0</v>
      </c>
      <c r="C40" s="280">
        <v>1</v>
      </c>
      <c r="E40" s="253">
        <f>'2. TD Res Lighting install 2022'!O40</f>
        <v>0.26982068263761072</v>
      </c>
    </row>
    <row r="41" spans="1:27" x14ac:dyDescent="0.25">
      <c r="A41" s="88"/>
    </row>
    <row r="42" spans="1:27" x14ac:dyDescent="0.25">
      <c r="A42" s="88"/>
    </row>
    <row r="43" spans="1:27" x14ac:dyDescent="0.25">
      <c r="A43" s="88"/>
    </row>
    <row r="44" spans="1:27" x14ac:dyDescent="0.25">
      <c r="A44" s="88"/>
    </row>
    <row r="45" spans="1:27" x14ac:dyDescent="0.25">
      <c r="A45" s="88"/>
    </row>
    <row r="46" spans="1:27" x14ac:dyDescent="0.25">
      <c r="A46" s="88"/>
    </row>
  </sheetData>
  <mergeCells count="4">
    <mergeCell ref="C1:N1"/>
    <mergeCell ref="B35:G35"/>
    <mergeCell ref="O1:Z1"/>
    <mergeCell ref="AA1:AL1"/>
  </mergeCells>
  <phoneticPr fontId="30" type="noConversion"/>
  <pageMargins left="0.7" right="0.7" top="0.75" bottom="0.75" header="0.3" footer="0.3"/>
  <pageSetup orientation="portrait" r:id="rId1"/>
  <ignoredErrors>
    <ignoredError sqref="AM2:AN2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B64EE-B845-4606-939F-5450DC91F0AB}">
  <sheetPr codeName="Sheet11"/>
  <dimension ref="A1:AO40"/>
  <sheetViews>
    <sheetView zoomScaleNormal="100" workbookViewId="0">
      <pane xSplit="2" ySplit="5" topLeftCell="C6" activePane="bottomRight" state="frozen"/>
      <selection activeCell="AA1" sqref="AA1:AB1048576"/>
      <selection pane="topRight" activeCell="AA1" sqref="AA1:AB1048576"/>
      <selection pane="bottomLeft" activeCell="AA1" sqref="AA1:AB1048576"/>
      <selection pane="bottomRight"/>
    </sheetView>
  </sheetViews>
  <sheetFormatPr defaultColWidth="12.7109375" defaultRowHeight="13.1" x14ac:dyDescent="0.25"/>
  <cols>
    <col min="1" max="1" width="30.7109375" style="22" customWidth="1"/>
    <col min="2" max="2" width="12.7109375" style="22"/>
    <col min="3" max="16384" width="12.7109375" style="17"/>
  </cols>
  <sheetData>
    <row r="1" spans="1:41" x14ac:dyDescent="0.25">
      <c r="A1" s="438" t="str">
        <f>Company_Filing</f>
        <v>2025 MEEIA Filing</v>
      </c>
      <c r="B1" s="272"/>
      <c r="C1" s="760" t="s">
        <v>227</v>
      </c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760" t="s">
        <v>244</v>
      </c>
      <c r="P1" s="760"/>
      <c r="Q1" s="760"/>
      <c r="R1" s="760"/>
      <c r="S1" s="760"/>
      <c r="T1" s="760"/>
      <c r="U1" s="760"/>
      <c r="V1" s="760"/>
      <c r="W1" s="760"/>
      <c r="X1" s="760"/>
      <c r="Y1" s="760"/>
      <c r="Z1" s="760"/>
      <c r="AA1" s="760" t="s">
        <v>245</v>
      </c>
      <c r="AB1" s="760"/>
      <c r="AC1" s="760"/>
      <c r="AD1" s="760"/>
      <c r="AE1" s="760"/>
      <c r="AF1" s="760"/>
      <c r="AG1" s="760"/>
      <c r="AH1" s="760"/>
      <c r="AI1" s="760"/>
      <c r="AJ1" s="760"/>
      <c r="AK1" s="760"/>
      <c r="AL1" s="760"/>
      <c r="AM1" s="313" t="s">
        <v>221</v>
      </c>
      <c r="AN1" s="313" t="s">
        <v>221</v>
      </c>
      <c r="AO1" s="389" t="s">
        <v>222</v>
      </c>
    </row>
    <row r="2" spans="1:41" x14ac:dyDescent="0.25">
      <c r="A2" s="439" t="s">
        <v>188</v>
      </c>
      <c r="B2" s="273"/>
      <c r="C2" s="215">
        <v>44927</v>
      </c>
      <c r="D2" s="215">
        <v>44958</v>
      </c>
      <c r="E2" s="215">
        <v>44986</v>
      </c>
      <c r="F2" s="215">
        <v>45017</v>
      </c>
      <c r="G2" s="215">
        <v>45047</v>
      </c>
      <c r="H2" s="215">
        <v>45078</v>
      </c>
      <c r="I2" s="215">
        <v>45108</v>
      </c>
      <c r="J2" s="215">
        <v>45139</v>
      </c>
      <c r="K2" s="215">
        <v>45170</v>
      </c>
      <c r="L2" s="215">
        <v>45200</v>
      </c>
      <c r="M2" s="215">
        <v>45231</v>
      </c>
      <c r="N2" s="215">
        <v>45261</v>
      </c>
      <c r="O2" s="215">
        <v>45292</v>
      </c>
      <c r="P2" s="215">
        <v>45323</v>
      </c>
      <c r="Q2" s="215">
        <v>45352</v>
      </c>
      <c r="R2" s="215">
        <v>45383</v>
      </c>
      <c r="S2" s="215">
        <v>45413</v>
      </c>
      <c r="T2" s="215">
        <v>45444</v>
      </c>
      <c r="U2" s="215">
        <v>45474</v>
      </c>
      <c r="V2" s="215">
        <v>45505</v>
      </c>
      <c r="W2" s="215">
        <v>45536</v>
      </c>
      <c r="X2" s="215">
        <v>45566</v>
      </c>
      <c r="Y2" s="215">
        <v>45597</v>
      </c>
      <c r="Z2" s="215">
        <v>45627</v>
      </c>
      <c r="AA2" s="215">
        <v>45658</v>
      </c>
      <c r="AB2" s="215">
        <v>45689</v>
      </c>
      <c r="AC2" s="215">
        <v>45717</v>
      </c>
      <c r="AD2" s="215">
        <v>45748</v>
      </c>
      <c r="AE2" s="215">
        <v>45778</v>
      </c>
      <c r="AF2" s="215">
        <v>45809</v>
      </c>
      <c r="AG2" s="215">
        <v>45839</v>
      </c>
      <c r="AH2" s="215">
        <v>45870</v>
      </c>
      <c r="AI2" s="215">
        <v>45901</v>
      </c>
      <c r="AJ2" s="215">
        <v>45931</v>
      </c>
      <c r="AK2" s="215">
        <v>45962</v>
      </c>
      <c r="AL2" s="215">
        <v>45992</v>
      </c>
      <c r="AM2" s="402" t="s">
        <v>180</v>
      </c>
      <c r="AN2" s="402" t="s">
        <v>181</v>
      </c>
      <c r="AO2" s="402" t="s">
        <v>246</v>
      </c>
    </row>
    <row r="3" spans="1:41" x14ac:dyDescent="0.25">
      <c r="A3" s="440"/>
    </row>
    <row r="4" spans="1:41" x14ac:dyDescent="0.25">
      <c r="A4" s="353" t="s">
        <v>229</v>
      </c>
      <c r="B4" s="271" t="s">
        <v>69</v>
      </c>
    </row>
    <row r="6" spans="1:41" x14ac:dyDescent="0.25">
      <c r="A6" s="18">
        <v>44927</v>
      </c>
      <c r="B6" s="93">
        <f>SUM('6. 2023 Installed kWh Savings'!E6:G6,'6. 2023 Installed kWh Savings'!J6)</f>
        <v>282989.49090000003</v>
      </c>
      <c r="C6" s="376">
        <f>$B6*(SUMPRODUCT(C$30:C$32,$C$26:$C$28))/2</f>
        <v>15501.173848283852</v>
      </c>
      <c r="D6" s="376">
        <f t="shared" ref="D6:N6" si="0">$B6*(SUMPRODUCT(D$30:D$32,$C$26:$C$28))</f>
        <v>25926.789682530751</v>
      </c>
      <c r="E6" s="376">
        <f t="shared" si="0"/>
        <v>19521.039566518353</v>
      </c>
      <c r="F6" s="376">
        <f t="shared" si="0"/>
        <v>10404.533117174851</v>
      </c>
      <c r="G6" s="376">
        <f t="shared" si="0"/>
        <v>11680.9572158793</v>
      </c>
      <c r="H6" s="376">
        <f t="shared" si="0"/>
        <v>29902.509040184857</v>
      </c>
      <c r="I6" s="376">
        <f t="shared" si="0"/>
        <v>40295.864072469158</v>
      </c>
      <c r="J6" s="376">
        <f t="shared" si="0"/>
        <v>38313.239699223755</v>
      </c>
      <c r="K6" s="376">
        <f t="shared" si="0"/>
        <v>19160.369460366303</v>
      </c>
      <c r="L6" s="376">
        <f t="shared" si="0"/>
        <v>10390.525137375302</v>
      </c>
      <c r="M6" s="376">
        <f t="shared" si="0"/>
        <v>16603.417915339352</v>
      </c>
      <c r="N6" s="377">
        <f t="shared" si="0"/>
        <v>29787.898296370353</v>
      </c>
      <c r="O6" s="531">
        <f>$B6*(SUMPRODUCT(O$30:O$32,$C$26:$C$28))</f>
        <v>31002.347696567704</v>
      </c>
      <c r="P6" s="361">
        <f t="shared" ref="P6:AE17" si="1">$B6*(SUMPRODUCT(P$30:P$32,$C$26:$C$28))</f>
        <v>25926.789682530751</v>
      </c>
      <c r="Q6" s="361">
        <f t="shared" si="1"/>
        <v>19521.039566518353</v>
      </c>
      <c r="R6" s="361">
        <f t="shared" si="1"/>
        <v>10404.533117174851</v>
      </c>
      <c r="S6" s="361">
        <f t="shared" si="1"/>
        <v>11680.9572158793</v>
      </c>
      <c r="T6" s="361">
        <f t="shared" si="1"/>
        <v>29902.509040184857</v>
      </c>
      <c r="U6" s="361">
        <f t="shared" si="1"/>
        <v>40295.864072469158</v>
      </c>
      <c r="V6" s="361">
        <f t="shared" si="1"/>
        <v>38313.239699223755</v>
      </c>
      <c r="W6" s="361">
        <f t="shared" si="1"/>
        <v>19160.369460366303</v>
      </c>
      <c r="X6" s="361">
        <f t="shared" si="1"/>
        <v>10390.525137375302</v>
      </c>
      <c r="Y6" s="361">
        <f t="shared" si="1"/>
        <v>16603.417915339352</v>
      </c>
      <c r="Z6" s="362">
        <f t="shared" si="1"/>
        <v>29787.898296370353</v>
      </c>
      <c r="AA6" s="375">
        <f>$B6*(SUMPRODUCT(AA$30:AA$32,$C$26:$C$28))</f>
        <v>31002.347696567704</v>
      </c>
      <c r="AB6" s="376">
        <f t="shared" si="1"/>
        <v>25926.789682530751</v>
      </c>
      <c r="AC6" s="376">
        <f t="shared" si="1"/>
        <v>19521.039566518353</v>
      </c>
      <c r="AD6" s="376">
        <f t="shared" si="1"/>
        <v>10404.533117174851</v>
      </c>
      <c r="AE6" s="376">
        <f t="shared" si="1"/>
        <v>11680.9572158793</v>
      </c>
      <c r="AF6" s="376">
        <f t="shared" ref="AA6:AL17" si="2">$B6*(SUMPRODUCT(AF$30:AF$32,$C$26:$C$28))</f>
        <v>29902.509040184857</v>
      </c>
      <c r="AG6" s="376">
        <f t="shared" si="2"/>
        <v>40295.864072469158</v>
      </c>
      <c r="AH6" s="376">
        <f t="shared" si="2"/>
        <v>38313.239699223755</v>
      </c>
      <c r="AI6" s="376">
        <f t="shared" si="2"/>
        <v>19160.369460366303</v>
      </c>
      <c r="AJ6" s="376">
        <f t="shared" si="2"/>
        <v>10390.525137375302</v>
      </c>
      <c r="AK6" s="376">
        <f t="shared" si="2"/>
        <v>16603.417915339352</v>
      </c>
      <c r="AL6" s="377">
        <f t="shared" si="2"/>
        <v>29787.898296370353</v>
      </c>
      <c r="AM6" s="391">
        <f>SUM(C6:N6)</f>
        <v>267488.31705171621</v>
      </c>
      <c r="AN6" s="410">
        <f>SUM(O6:Z6)</f>
        <v>282989.49090000009</v>
      </c>
      <c r="AO6" s="532">
        <f>SUM(AA6:AL6)</f>
        <v>282989.49090000009</v>
      </c>
    </row>
    <row r="7" spans="1:41" x14ac:dyDescent="0.25">
      <c r="A7" s="18">
        <v>44958</v>
      </c>
      <c r="B7" s="94">
        <f>SUM('6. 2023 Installed kWh Savings'!E7:G7,'6. 2023 Installed kWh Savings'!J7)</f>
        <v>54905.717100000002</v>
      </c>
      <c r="C7" s="379"/>
      <c r="D7" s="379">
        <f>$B7*(SUMPRODUCT(D$30:D$32,$C$26:$C$28))/2</f>
        <v>2515.162268204625</v>
      </c>
      <c r="E7" s="379">
        <f t="shared" ref="E7:T17" si="3">$B7*(SUMPRODUCT(E$30:E$32,$C$26:$C$28))</f>
        <v>3787.4787241336503</v>
      </c>
      <c r="F7" s="379">
        <f t="shared" si="3"/>
        <v>2018.69104775715</v>
      </c>
      <c r="G7" s="379">
        <f t="shared" si="3"/>
        <v>2266.3432847366998</v>
      </c>
      <c r="H7" s="379">
        <f t="shared" si="3"/>
        <v>5801.6949559471504</v>
      </c>
      <c r="I7" s="379">
        <f t="shared" si="3"/>
        <v>7818.2172278788503</v>
      </c>
      <c r="J7" s="379">
        <f t="shared" si="3"/>
        <v>7433.5477738762502</v>
      </c>
      <c r="K7" s="379">
        <f t="shared" si="3"/>
        <v>3717.5013876897001</v>
      </c>
      <c r="L7" s="379">
        <f t="shared" si="3"/>
        <v>2015.9732147607001</v>
      </c>
      <c r="M7" s="379">
        <f t="shared" si="3"/>
        <v>3221.4007808326501</v>
      </c>
      <c r="N7" s="380">
        <f t="shared" si="3"/>
        <v>5779.4581405216495</v>
      </c>
      <c r="O7" s="363">
        <f t="shared" si="3"/>
        <v>6015.0860254563004</v>
      </c>
      <c r="P7" s="364">
        <f t="shared" si="3"/>
        <v>5030.32453640925</v>
      </c>
      <c r="Q7" s="364">
        <f t="shared" si="3"/>
        <v>3787.4787241336503</v>
      </c>
      <c r="R7" s="364">
        <f t="shared" si="3"/>
        <v>2018.69104775715</v>
      </c>
      <c r="S7" s="364">
        <f t="shared" si="3"/>
        <v>2266.3432847366998</v>
      </c>
      <c r="T7" s="364">
        <f t="shared" si="3"/>
        <v>5801.6949559471504</v>
      </c>
      <c r="U7" s="364">
        <f t="shared" si="1"/>
        <v>7818.2172278788503</v>
      </c>
      <c r="V7" s="364">
        <f t="shared" si="1"/>
        <v>7433.5477738762502</v>
      </c>
      <c r="W7" s="364">
        <f t="shared" si="1"/>
        <v>3717.5013876897001</v>
      </c>
      <c r="X7" s="364">
        <f t="shared" si="1"/>
        <v>2015.9732147607001</v>
      </c>
      <c r="Y7" s="364">
        <f t="shared" si="1"/>
        <v>3221.4007808326501</v>
      </c>
      <c r="Z7" s="365">
        <f t="shared" si="1"/>
        <v>5779.4581405216495</v>
      </c>
      <c r="AA7" s="378">
        <f t="shared" si="1"/>
        <v>6015.0860254563004</v>
      </c>
      <c r="AB7" s="379">
        <f t="shared" si="1"/>
        <v>5030.32453640925</v>
      </c>
      <c r="AC7" s="379">
        <f t="shared" si="1"/>
        <v>3787.4787241336503</v>
      </c>
      <c r="AD7" s="379">
        <f t="shared" si="1"/>
        <v>2018.69104775715</v>
      </c>
      <c r="AE7" s="379">
        <f t="shared" si="1"/>
        <v>2266.3432847366998</v>
      </c>
      <c r="AF7" s="379">
        <f t="shared" si="2"/>
        <v>5801.6949559471504</v>
      </c>
      <c r="AG7" s="379">
        <f t="shared" si="2"/>
        <v>7818.2172278788503</v>
      </c>
      <c r="AH7" s="379">
        <f t="shared" si="2"/>
        <v>7433.5477738762502</v>
      </c>
      <c r="AI7" s="379">
        <f t="shared" si="2"/>
        <v>3717.5013876897001</v>
      </c>
      <c r="AJ7" s="379">
        <f t="shared" si="2"/>
        <v>2015.9732147607001</v>
      </c>
      <c r="AK7" s="379">
        <f t="shared" si="2"/>
        <v>3221.4007808326501</v>
      </c>
      <c r="AL7" s="380">
        <f t="shared" si="2"/>
        <v>5779.4581405216495</v>
      </c>
      <c r="AM7" s="392">
        <f t="shared" ref="AM7:AM17" si="4">SUM(C7:N7)</f>
        <v>46375.468806339079</v>
      </c>
      <c r="AN7" s="399">
        <f t="shared" ref="AN7:AN17" si="5">SUM(O7:Z7)</f>
        <v>54905.717100000002</v>
      </c>
      <c r="AO7" s="533">
        <f t="shared" ref="AO7:AO17" si="6">SUM(AA7:AL7)</f>
        <v>54905.717100000002</v>
      </c>
    </row>
    <row r="8" spans="1:41" x14ac:dyDescent="0.25">
      <c r="A8" s="18">
        <v>44986</v>
      </c>
      <c r="B8" s="94">
        <f>SUM('6. 2023 Installed kWh Savings'!E8:G8,'6. 2023 Installed kWh Savings'!J8)</f>
        <v>72719.74529999998</v>
      </c>
      <c r="C8" s="379"/>
      <c r="D8" s="379"/>
      <c r="E8" s="379">
        <f>$B8*(SUMPRODUCT(E$30:E$32,$C$26:$C$28))/2</f>
        <v>2508.1585552059742</v>
      </c>
      <c r="F8" s="379">
        <f t="shared" ref="F8:N8" si="7">$B8*(SUMPRODUCT(F$30:F$32,$C$26:$C$28))</f>
        <v>2673.6505155724494</v>
      </c>
      <c r="G8" s="379">
        <f t="shared" si="7"/>
        <v>3001.6529267480987</v>
      </c>
      <c r="H8" s="379">
        <f t="shared" si="7"/>
        <v>7684.0409667424483</v>
      </c>
      <c r="I8" s="379">
        <f t="shared" si="7"/>
        <v>10354.819052375547</v>
      </c>
      <c r="J8" s="379">
        <f t="shared" si="7"/>
        <v>9845.344516803747</v>
      </c>
      <c r="K8" s="379">
        <f t="shared" si="7"/>
        <v>4923.6357950270985</v>
      </c>
      <c r="L8" s="379">
        <f t="shared" si="7"/>
        <v>2670.0508881800993</v>
      </c>
      <c r="M8" s="379">
        <f t="shared" si="7"/>
        <v>4266.5765363689488</v>
      </c>
      <c r="N8" s="380">
        <f t="shared" si="7"/>
        <v>7654.5894698959473</v>
      </c>
      <c r="O8" s="363">
        <f t="shared" si="3"/>
        <v>7966.6662568508973</v>
      </c>
      <c r="P8" s="364">
        <f t="shared" si="1"/>
        <v>6662.4012650227478</v>
      </c>
      <c r="Q8" s="364">
        <f t="shared" si="1"/>
        <v>5016.3171104119483</v>
      </c>
      <c r="R8" s="364">
        <f t="shared" si="1"/>
        <v>2673.6505155724494</v>
      </c>
      <c r="S8" s="364">
        <f t="shared" si="1"/>
        <v>3001.6529267480987</v>
      </c>
      <c r="T8" s="364">
        <f t="shared" si="1"/>
        <v>7684.0409667424483</v>
      </c>
      <c r="U8" s="364">
        <f t="shared" si="1"/>
        <v>10354.819052375547</v>
      </c>
      <c r="V8" s="364">
        <f t="shared" si="1"/>
        <v>9845.344516803747</v>
      </c>
      <c r="W8" s="364">
        <f t="shared" si="1"/>
        <v>4923.6357950270985</v>
      </c>
      <c r="X8" s="364">
        <f t="shared" si="1"/>
        <v>2670.0508881800993</v>
      </c>
      <c r="Y8" s="364">
        <f t="shared" si="1"/>
        <v>4266.5765363689488</v>
      </c>
      <c r="Z8" s="365">
        <f t="shared" si="1"/>
        <v>7654.5894698959473</v>
      </c>
      <c r="AA8" s="378">
        <f t="shared" si="2"/>
        <v>7966.6662568508973</v>
      </c>
      <c r="AB8" s="379">
        <f t="shared" si="2"/>
        <v>6662.4012650227478</v>
      </c>
      <c r="AC8" s="379">
        <f t="shared" si="2"/>
        <v>5016.3171104119483</v>
      </c>
      <c r="AD8" s="379">
        <f t="shared" si="2"/>
        <v>2673.6505155724494</v>
      </c>
      <c r="AE8" s="379">
        <f t="shared" si="2"/>
        <v>3001.6529267480987</v>
      </c>
      <c r="AF8" s="379">
        <f t="shared" si="2"/>
        <v>7684.0409667424483</v>
      </c>
      <c r="AG8" s="379">
        <f t="shared" si="2"/>
        <v>10354.819052375547</v>
      </c>
      <c r="AH8" s="379">
        <f t="shared" si="2"/>
        <v>9845.344516803747</v>
      </c>
      <c r="AI8" s="379">
        <f t="shared" si="2"/>
        <v>4923.6357950270985</v>
      </c>
      <c r="AJ8" s="379">
        <f t="shared" si="2"/>
        <v>2670.0508881800993</v>
      </c>
      <c r="AK8" s="379">
        <f t="shared" si="2"/>
        <v>4266.5765363689488</v>
      </c>
      <c r="AL8" s="380">
        <f t="shared" si="2"/>
        <v>7654.5894698959473</v>
      </c>
      <c r="AM8" s="392">
        <f t="shared" si="4"/>
        <v>55582.51922292036</v>
      </c>
      <c r="AN8" s="399">
        <f t="shared" si="5"/>
        <v>72719.74529999998</v>
      </c>
      <c r="AO8" s="533">
        <f t="shared" si="6"/>
        <v>72719.74529999998</v>
      </c>
    </row>
    <row r="9" spans="1:41" x14ac:dyDescent="0.25">
      <c r="A9" s="18">
        <v>45017</v>
      </c>
      <c r="B9" s="94">
        <f>SUM('6. 2023 Installed kWh Savings'!E9:G9,'6. 2023 Installed kWh Savings'!J9)</f>
        <v>278204.00860000035</v>
      </c>
      <c r="C9" s="379"/>
      <c r="D9" s="379"/>
      <c r="E9" s="379"/>
      <c r="F9" s="379">
        <f>$B9*(SUMPRODUCT(F$30:F$32,$C$26:$C$28))/2</f>
        <v>5114.2938410959569</v>
      </c>
      <c r="G9" s="379">
        <f t="shared" ref="G9:N9" si="8">$B9*(SUMPRODUCT(G$30:G$32,$C$26:$C$28))</f>
        <v>11483.426862982213</v>
      </c>
      <c r="H9" s="379">
        <f t="shared" si="8"/>
        <v>29396.843874731941</v>
      </c>
      <c r="I9" s="379">
        <f t="shared" si="8"/>
        <v>39614.442498584154</v>
      </c>
      <c r="J9" s="379">
        <f t="shared" si="8"/>
        <v>37665.345214332548</v>
      </c>
      <c r="K9" s="379">
        <f t="shared" si="8"/>
        <v>18836.358810280224</v>
      </c>
      <c r="L9" s="379">
        <f t="shared" si="8"/>
        <v>10214.816583766213</v>
      </c>
      <c r="M9" s="379">
        <f t="shared" si="8"/>
        <v>16322.646490574922</v>
      </c>
      <c r="N9" s="380">
        <f t="shared" si="8"/>
        <v>29284.171251248936</v>
      </c>
      <c r="O9" s="363">
        <f t="shared" si="3"/>
        <v>30478.083754155839</v>
      </c>
      <c r="P9" s="364">
        <f t="shared" si="1"/>
        <v>25488.355757910529</v>
      </c>
      <c r="Q9" s="364">
        <f t="shared" si="1"/>
        <v>19190.929819240926</v>
      </c>
      <c r="R9" s="364">
        <f t="shared" si="1"/>
        <v>10228.587682191914</v>
      </c>
      <c r="S9" s="364">
        <f t="shared" si="1"/>
        <v>11483.426862982213</v>
      </c>
      <c r="T9" s="364">
        <f t="shared" si="1"/>
        <v>29396.843874731941</v>
      </c>
      <c r="U9" s="364">
        <f t="shared" si="1"/>
        <v>39614.442498584154</v>
      </c>
      <c r="V9" s="364">
        <f t="shared" si="1"/>
        <v>37665.345214332548</v>
      </c>
      <c r="W9" s="364">
        <f t="shared" si="1"/>
        <v>18836.358810280224</v>
      </c>
      <c r="X9" s="364">
        <f t="shared" si="1"/>
        <v>10214.816583766213</v>
      </c>
      <c r="Y9" s="364">
        <f t="shared" si="1"/>
        <v>16322.646490574922</v>
      </c>
      <c r="Z9" s="365">
        <f t="shared" si="1"/>
        <v>29284.171251248936</v>
      </c>
      <c r="AA9" s="378">
        <f t="shared" si="2"/>
        <v>30478.083754155839</v>
      </c>
      <c r="AB9" s="379">
        <f t="shared" si="2"/>
        <v>25488.355757910529</v>
      </c>
      <c r="AC9" s="379">
        <f t="shared" si="2"/>
        <v>19190.929819240926</v>
      </c>
      <c r="AD9" s="379">
        <f t="shared" si="2"/>
        <v>10228.587682191914</v>
      </c>
      <c r="AE9" s="379">
        <f t="shared" si="2"/>
        <v>11483.426862982213</v>
      </c>
      <c r="AF9" s="379">
        <f t="shared" si="2"/>
        <v>29396.843874731941</v>
      </c>
      <c r="AG9" s="379">
        <f t="shared" si="2"/>
        <v>39614.442498584154</v>
      </c>
      <c r="AH9" s="379">
        <f t="shared" si="2"/>
        <v>37665.345214332548</v>
      </c>
      <c r="AI9" s="379">
        <f t="shared" si="2"/>
        <v>18836.358810280224</v>
      </c>
      <c r="AJ9" s="379">
        <f t="shared" si="2"/>
        <v>10214.816583766213</v>
      </c>
      <c r="AK9" s="379">
        <f t="shared" si="2"/>
        <v>16322.646490574922</v>
      </c>
      <c r="AL9" s="380">
        <f t="shared" si="2"/>
        <v>29284.171251248936</v>
      </c>
      <c r="AM9" s="392">
        <f t="shared" si="4"/>
        <v>197932.34542759712</v>
      </c>
      <c r="AN9" s="399">
        <f t="shared" si="5"/>
        <v>278204.00860000035</v>
      </c>
      <c r="AO9" s="533">
        <f t="shared" si="6"/>
        <v>278204.00860000035</v>
      </c>
    </row>
    <row r="10" spans="1:41" x14ac:dyDescent="0.25">
      <c r="A10" s="18">
        <v>45047</v>
      </c>
      <c r="B10" s="94">
        <f>SUM('6. 2023 Installed kWh Savings'!E10:G10,'6. 2023 Installed kWh Savings'!J10)</f>
        <v>45679.9162</v>
      </c>
      <c r="C10" s="379"/>
      <c r="D10" s="379"/>
      <c r="E10" s="379"/>
      <c r="F10" s="379"/>
      <c r="G10" s="379">
        <f>$B10*(SUMPRODUCT(G$30:G$32,$C$26:$C$28))/2</f>
        <v>942.76495049369987</v>
      </c>
      <c r="H10" s="379">
        <f t="shared" ref="H10:N10" si="9">$B10*(SUMPRODUCT(H$30:H$32,$C$26:$C$28))</f>
        <v>4826.8368651473002</v>
      </c>
      <c r="I10" s="379">
        <f t="shared" si="9"/>
        <v>6504.5231474247003</v>
      </c>
      <c r="J10" s="379">
        <f t="shared" si="9"/>
        <v>6184.4896545274996</v>
      </c>
      <c r="K10" s="379">
        <f t="shared" si="9"/>
        <v>3092.8500861534003</v>
      </c>
      <c r="L10" s="379">
        <f t="shared" si="9"/>
        <v>1677.2294831153999</v>
      </c>
      <c r="M10" s="379">
        <f t="shared" si="9"/>
        <v>2680.1092033282998</v>
      </c>
      <c r="N10" s="380">
        <f t="shared" si="9"/>
        <v>4808.3364990863001</v>
      </c>
      <c r="O10" s="363">
        <f t="shared" si="3"/>
        <v>5004.3718594585998</v>
      </c>
      <c r="P10" s="364">
        <f t="shared" si="1"/>
        <v>4185.0797224534999</v>
      </c>
      <c r="Q10" s="364">
        <f t="shared" si="1"/>
        <v>3151.0691393503002</v>
      </c>
      <c r="R10" s="364">
        <f t="shared" si="1"/>
        <v>1679.4906389672999</v>
      </c>
      <c r="S10" s="364">
        <f t="shared" si="1"/>
        <v>1885.5299009873997</v>
      </c>
      <c r="T10" s="364">
        <f t="shared" si="1"/>
        <v>4826.8368651473002</v>
      </c>
      <c r="U10" s="364">
        <f t="shared" si="1"/>
        <v>6504.5231474247003</v>
      </c>
      <c r="V10" s="364">
        <f t="shared" si="1"/>
        <v>6184.4896545274996</v>
      </c>
      <c r="W10" s="364">
        <f t="shared" si="1"/>
        <v>3092.8500861534003</v>
      </c>
      <c r="X10" s="364">
        <f t="shared" si="1"/>
        <v>1677.2294831153999</v>
      </c>
      <c r="Y10" s="364">
        <f t="shared" si="1"/>
        <v>2680.1092033282998</v>
      </c>
      <c r="Z10" s="365">
        <f t="shared" si="1"/>
        <v>4808.3364990863001</v>
      </c>
      <c r="AA10" s="378">
        <f t="shared" si="2"/>
        <v>5004.3718594585998</v>
      </c>
      <c r="AB10" s="379">
        <f t="shared" si="2"/>
        <v>4185.0797224534999</v>
      </c>
      <c r="AC10" s="379">
        <f t="shared" si="2"/>
        <v>3151.0691393503002</v>
      </c>
      <c r="AD10" s="379">
        <f t="shared" si="2"/>
        <v>1679.4906389672999</v>
      </c>
      <c r="AE10" s="379">
        <f t="shared" si="2"/>
        <v>1885.5299009873997</v>
      </c>
      <c r="AF10" s="379">
        <f t="shared" si="2"/>
        <v>4826.8368651473002</v>
      </c>
      <c r="AG10" s="379">
        <f t="shared" si="2"/>
        <v>6504.5231474247003</v>
      </c>
      <c r="AH10" s="379">
        <f t="shared" si="2"/>
        <v>6184.4896545274996</v>
      </c>
      <c r="AI10" s="379">
        <f t="shared" si="2"/>
        <v>3092.8500861534003</v>
      </c>
      <c r="AJ10" s="379">
        <f t="shared" si="2"/>
        <v>1677.2294831153999</v>
      </c>
      <c r="AK10" s="379">
        <f t="shared" si="2"/>
        <v>2680.1092033282998</v>
      </c>
      <c r="AL10" s="380">
        <f t="shared" si="2"/>
        <v>4808.3364990863001</v>
      </c>
      <c r="AM10" s="392">
        <f t="shared" si="4"/>
        <v>30717.139889276601</v>
      </c>
      <c r="AN10" s="399">
        <f t="shared" si="5"/>
        <v>45679.916199999992</v>
      </c>
      <c r="AO10" s="533">
        <f t="shared" si="6"/>
        <v>45679.916199999992</v>
      </c>
    </row>
    <row r="11" spans="1:41" x14ac:dyDescent="0.25">
      <c r="A11" s="18">
        <v>45078</v>
      </c>
      <c r="B11" s="94">
        <f>SUM('6. 2023 Installed kWh Savings'!E11:G11,'6. 2023 Installed kWh Savings'!J11)</f>
        <v>271161.79079999973</v>
      </c>
      <c r="C11" s="379"/>
      <c r="D11" s="379"/>
      <c r="E11" s="379"/>
      <c r="F11" s="379"/>
      <c r="G11" s="379"/>
      <c r="H11" s="379">
        <f>$B11*(SUMPRODUCT(H$30:H$32,$C$26:$C$28))/2</f>
        <v>14326.358683784087</v>
      </c>
      <c r="I11" s="379">
        <f t="shared" ref="I11:N11" si="10">$B11*(SUMPRODUCT(I$30:I$32,$C$26:$C$28))</f>
        <v>38611.676458279762</v>
      </c>
      <c r="J11" s="379">
        <f t="shared" si="10"/>
        <v>36711.91695193496</v>
      </c>
      <c r="K11" s="379">
        <f t="shared" si="10"/>
        <v>18359.551369695582</v>
      </c>
      <c r="L11" s="379">
        <f t="shared" si="10"/>
        <v>9956.2474728035904</v>
      </c>
      <c r="M11" s="379">
        <f t="shared" si="10"/>
        <v>15909.469008922184</v>
      </c>
      <c r="N11" s="380">
        <f t="shared" si="10"/>
        <v>28542.896842294169</v>
      </c>
      <c r="O11" s="363">
        <f t="shared" si="3"/>
        <v>29706.587667512369</v>
      </c>
      <c r="P11" s="364">
        <f t="shared" si="1"/>
        <v>24843.165368618971</v>
      </c>
      <c r="Q11" s="364">
        <f t="shared" si="1"/>
        <v>18705.14707207018</v>
      </c>
      <c r="R11" s="364">
        <f t="shared" si="1"/>
        <v>9969.6699814481908</v>
      </c>
      <c r="S11" s="364">
        <f t="shared" si="1"/>
        <v>11192.745238851587</v>
      </c>
      <c r="T11" s="364">
        <f t="shared" si="1"/>
        <v>28652.717367568173</v>
      </c>
      <c r="U11" s="364">
        <f t="shared" si="1"/>
        <v>38611.676458279762</v>
      </c>
      <c r="V11" s="364">
        <f t="shared" si="1"/>
        <v>36711.91695193496</v>
      </c>
      <c r="W11" s="364">
        <f t="shared" si="1"/>
        <v>18359.551369695582</v>
      </c>
      <c r="X11" s="364">
        <f t="shared" si="1"/>
        <v>9956.2474728035904</v>
      </c>
      <c r="Y11" s="364">
        <f t="shared" si="1"/>
        <v>15909.469008922184</v>
      </c>
      <c r="Z11" s="365">
        <f t="shared" si="1"/>
        <v>28542.896842294169</v>
      </c>
      <c r="AA11" s="378">
        <f t="shared" si="2"/>
        <v>29706.587667512369</v>
      </c>
      <c r="AB11" s="379">
        <f t="shared" si="2"/>
        <v>24843.165368618971</v>
      </c>
      <c r="AC11" s="379">
        <f t="shared" si="2"/>
        <v>18705.14707207018</v>
      </c>
      <c r="AD11" s="379">
        <f t="shared" si="2"/>
        <v>9969.6699814481908</v>
      </c>
      <c r="AE11" s="379">
        <f t="shared" si="2"/>
        <v>11192.745238851587</v>
      </c>
      <c r="AF11" s="379">
        <f t="shared" si="2"/>
        <v>28652.717367568173</v>
      </c>
      <c r="AG11" s="379">
        <f t="shared" si="2"/>
        <v>38611.676458279762</v>
      </c>
      <c r="AH11" s="379">
        <f t="shared" si="2"/>
        <v>36711.91695193496</v>
      </c>
      <c r="AI11" s="379">
        <f t="shared" si="2"/>
        <v>18359.551369695582</v>
      </c>
      <c r="AJ11" s="379">
        <f t="shared" si="2"/>
        <v>9956.2474728035904</v>
      </c>
      <c r="AK11" s="379">
        <f t="shared" si="2"/>
        <v>15909.469008922184</v>
      </c>
      <c r="AL11" s="380">
        <f t="shared" si="2"/>
        <v>28542.896842294169</v>
      </c>
      <c r="AM11" s="392">
        <f t="shared" si="4"/>
        <v>162418.11678771433</v>
      </c>
      <c r="AN11" s="399">
        <f t="shared" si="5"/>
        <v>271161.79079999973</v>
      </c>
      <c r="AO11" s="533">
        <f t="shared" si="6"/>
        <v>271161.79079999973</v>
      </c>
    </row>
    <row r="12" spans="1:41" x14ac:dyDescent="0.25">
      <c r="A12" s="18">
        <v>45108</v>
      </c>
      <c r="B12" s="94">
        <f>SUM('6. 2023 Installed kWh Savings'!E12:G12,'6. 2023 Installed kWh Savings'!J12)</f>
        <v>35784.110499999995</v>
      </c>
      <c r="C12" s="379"/>
      <c r="D12" s="379"/>
      <c r="E12" s="379"/>
      <c r="F12" s="379"/>
      <c r="G12" s="379"/>
      <c r="H12" s="379"/>
      <c r="I12" s="379">
        <f>$B12*(SUMPRODUCT(I$30:I$32,$C$26:$C$28))/2</f>
        <v>2547.712369240875</v>
      </c>
      <c r="J12" s="379">
        <f>$B12*(SUMPRODUCT(J$30:J$32,$C$26:$C$28))</f>
        <v>4844.721260318749</v>
      </c>
      <c r="K12" s="379">
        <f>$B12*(SUMPRODUCT(K$30:K$32,$C$26:$C$28))</f>
        <v>2422.8347696234996</v>
      </c>
      <c r="L12" s="379">
        <f>$B12*(SUMPRODUCT(L$30:L$32,$C$26:$C$28))</f>
        <v>1313.8851852284997</v>
      </c>
      <c r="M12" s="379">
        <f>$B12*(SUMPRODUCT(M$30:M$32,$C$26:$C$28))</f>
        <v>2099.5074392007496</v>
      </c>
      <c r="N12" s="380">
        <f>$B12*(SUMPRODUCT(N$30:N$32,$C$26:$C$28))</f>
        <v>3766.6891473957494</v>
      </c>
      <c r="O12" s="363">
        <f t="shared" si="3"/>
        <v>3920.2566576064992</v>
      </c>
      <c r="P12" s="364">
        <f t="shared" si="1"/>
        <v>3278.4507437337493</v>
      </c>
      <c r="Q12" s="364">
        <f t="shared" si="1"/>
        <v>2468.4416184557499</v>
      </c>
      <c r="R12" s="364">
        <f t="shared" si="1"/>
        <v>1315.6564986982498</v>
      </c>
      <c r="S12" s="364">
        <f t="shared" si="1"/>
        <v>1477.0607291084996</v>
      </c>
      <c r="T12" s="364">
        <f t="shared" si="1"/>
        <v>3781.18171214825</v>
      </c>
      <c r="U12" s="364">
        <f t="shared" si="1"/>
        <v>5095.42473848175</v>
      </c>
      <c r="V12" s="364">
        <f t="shared" si="1"/>
        <v>4844.721260318749</v>
      </c>
      <c r="W12" s="364">
        <f t="shared" si="1"/>
        <v>2422.8347696234996</v>
      </c>
      <c r="X12" s="364">
        <f t="shared" si="1"/>
        <v>1313.8851852284997</v>
      </c>
      <c r="Y12" s="364">
        <f t="shared" si="1"/>
        <v>2099.5074392007496</v>
      </c>
      <c r="Z12" s="365">
        <f t="shared" si="1"/>
        <v>3766.6891473957494</v>
      </c>
      <c r="AA12" s="378">
        <f t="shared" si="2"/>
        <v>3920.2566576064992</v>
      </c>
      <c r="AB12" s="379">
        <f t="shared" si="2"/>
        <v>3278.4507437337493</v>
      </c>
      <c r="AC12" s="379">
        <f t="shared" si="2"/>
        <v>2468.4416184557499</v>
      </c>
      <c r="AD12" s="379">
        <f t="shared" si="2"/>
        <v>1315.6564986982498</v>
      </c>
      <c r="AE12" s="379">
        <f t="shared" si="2"/>
        <v>1477.0607291084996</v>
      </c>
      <c r="AF12" s="379">
        <f t="shared" si="2"/>
        <v>3781.18171214825</v>
      </c>
      <c r="AG12" s="379">
        <f t="shared" si="2"/>
        <v>5095.42473848175</v>
      </c>
      <c r="AH12" s="379">
        <f t="shared" si="2"/>
        <v>4844.721260318749</v>
      </c>
      <c r="AI12" s="379">
        <f t="shared" si="2"/>
        <v>2422.8347696234996</v>
      </c>
      <c r="AJ12" s="379">
        <f t="shared" si="2"/>
        <v>1313.8851852284997</v>
      </c>
      <c r="AK12" s="379">
        <f t="shared" si="2"/>
        <v>2099.5074392007496</v>
      </c>
      <c r="AL12" s="380">
        <f t="shared" si="2"/>
        <v>3766.6891473957494</v>
      </c>
      <c r="AM12" s="392">
        <f t="shared" si="4"/>
        <v>16995.350171008122</v>
      </c>
      <c r="AN12" s="399">
        <f t="shared" si="5"/>
        <v>35784.110499999995</v>
      </c>
      <c r="AO12" s="533">
        <f t="shared" si="6"/>
        <v>35784.110499999995</v>
      </c>
    </row>
    <row r="13" spans="1:41" x14ac:dyDescent="0.25">
      <c r="A13" s="18">
        <v>45139</v>
      </c>
      <c r="B13" s="94">
        <f>SUM('6. 2023 Installed kWh Savings'!E13:G13,'6. 2023 Installed kWh Savings'!J13)</f>
        <v>42341.124899999995</v>
      </c>
      <c r="C13" s="379"/>
      <c r="D13" s="379"/>
      <c r="E13" s="379"/>
      <c r="F13" s="379"/>
      <c r="G13" s="379"/>
      <c r="H13" s="379"/>
      <c r="I13" s="379"/>
      <c r="J13" s="379">
        <f>$B13*(SUMPRODUCT(J$30:J$32,$C$26:$C$28))/2</f>
        <v>2866.2295236993746</v>
      </c>
      <c r="K13" s="379">
        <f>$B13*(SUMPRODUCT(K$30:K$32,$C$26:$C$28))</f>
        <v>2866.7905436042997</v>
      </c>
      <c r="L13" s="379">
        <f>$B13*(SUMPRODUCT(L$30:L$32,$C$26:$C$28))</f>
        <v>1554.6390829532997</v>
      </c>
      <c r="M13" s="379">
        <f>$B13*(SUMPRODUCT(M$30:M$32,$C$26:$C$28))</f>
        <v>2484.2173095703497</v>
      </c>
      <c r="N13" s="380">
        <f>$B13*(SUMPRODUCT(N$30:N$32,$C$26:$C$28))</f>
        <v>4456.8903186613488</v>
      </c>
      <c r="O13" s="363">
        <f t="shared" si="3"/>
        <v>4638.597256169699</v>
      </c>
      <c r="P13" s="364">
        <f t="shared" si="1"/>
        <v>3879.1880105257492</v>
      </c>
      <c r="Q13" s="364">
        <f t="shared" si="1"/>
        <v>2920.7543072893495</v>
      </c>
      <c r="R13" s="364">
        <f t="shared" si="1"/>
        <v>1556.7349686358498</v>
      </c>
      <c r="S13" s="364">
        <f t="shared" si="1"/>
        <v>1747.7146124972996</v>
      </c>
      <c r="T13" s="364">
        <f t="shared" si="1"/>
        <v>4474.03847424585</v>
      </c>
      <c r="U13" s="364">
        <f t="shared" si="1"/>
        <v>6029.1009684481496</v>
      </c>
      <c r="V13" s="364">
        <f t="shared" si="1"/>
        <v>5732.4590473987491</v>
      </c>
      <c r="W13" s="364">
        <f t="shared" si="1"/>
        <v>2866.7905436042997</v>
      </c>
      <c r="X13" s="364">
        <f t="shared" si="1"/>
        <v>1554.6390829532997</v>
      </c>
      <c r="Y13" s="364">
        <f t="shared" si="1"/>
        <v>2484.2173095703497</v>
      </c>
      <c r="Z13" s="365">
        <f t="shared" si="1"/>
        <v>4456.8903186613488</v>
      </c>
      <c r="AA13" s="378">
        <f t="shared" si="2"/>
        <v>4638.597256169699</v>
      </c>
      <c r="AB13" s="379">
        <f t="shared" si="2"/>
        <v>3879.1880105257492</v>
      </c>
      <c r="AC13" s="379">
        <f t="shared" si="2"/>
        <v>2920.7543072893495</v>
      </c>
      <c r="AD13" s="379">
        <f t="shared" si="2"/>
        <v>1556.7349686358498</v>
      </c>
      <c r="AE13" s="379">
        <f t="shared" si="2"/>
        <v>1747.7146124972996</v>
      </c>
      <c r="AF13" s="379">
        <f t="shared" si="2"/>
        <v>4474.03847424585</v>
      </c>
      <c r="AG13" s="379">
        <f t="shared" si="2"/>
        <v>6029.1009684481496</v>
      </c>
      <c r="AH13" s="379">
        <f t="shared" si="2"/>
        <v>5732.4590473987491</v>
      </c>
      <c r="AI13" s="379">
        <f t="shared" si="2"/>
        <v>2866.7905436042997</v>
      </c>
      <c r="AJ13" s="379">
        <f t="shared" si="2"/>
        <v>1554.6390829532997</v>
      </c>
      <c r="AK13" s="379">
        <f t="shared" si="2"/>
        <v>2484.2173095703497</v>
      </c>
      <c r="AL13" s="380">
        <f t="shared" si="2"/>
        <v>4456.8903186613488</v>
      </c>
      <c r="AM13" s="392">
        <f t="shared" si="4"/>
        <v>14228.766778488673</v>
      </c>
      <c r="AN13" s="399">
        <f t="shared" si="5"/>
        <v>42341.124899999981</v>
      </c>
      <c r="AO13" s="533">
        <f t="shared" si="6"/>
        <v>42341.124899999981</v>
      </c>
    </row>
    <row r="14" spans="1:41" x14ac:dyDescent="0.25">
      <c r="A14" s="18">
        <v>45170</v>
      </c>
      <c r="B14" s="94">
        <f>SUM('6. 2023 Installed kWh Savings'!E14:G14,'6. 2023 Installed kWh Savings'!J14)</f>
        <v>308460.86670000071</v>
      </c>
      <c r="C14" s="379"/>
      <c r="D14" s="379"/>
      <c r="E14" s="379"/>
      <c r="F14" s="379"/>
      <c r="G14" s="379"/>
      <c r="H14" s="379"/>
      <c r="I14" s="379"/>
      <c r="J14" s="379"/>
      <c r="K14" s="379">
        <f>$B14*(SUMPRODUCT(K$30:K$32,$C$26:$C$28))/2</f>
        <v>10442.479950828474</v>
      </c>
      <c r="L14" s="379">
        <f>$B14*(SUMPRODUCT(L$30:L$32,$C$26:$C$28))</f>
        <v>11325.757642623927</v>
      </c>
      <c r="M14" s="379">
        <f>$B14*(SUMPRODUCT(M$30:M$32,$C$26:$C$28))</f>
        <v>18097.861740589091</v>
      </c>
      <c r="N14" s="380">
        <f>$B14*(SUMPRODUCT(N$30:N$32,$C$26:$C$28))</f>
        <v>32469.053520142123</v>
      </c>
      <c r="O14" s="363">
        <f t="shared" si="3"/>
        <v>33792.81332958518</v>
      </c>
      <c r="P14" s="364">
        <f t="shared" si="1"/>
        <v>28260.413454887312</v>
      </c>
      <c r="Q14" s="364">
        <f t="shared" si="1"/>
        <v>21278.0932762661</v>
      </c>
      <c r="R14" s="364">
        <f t="shared" si="1"/>
        <v>11341.026455525576</v>
      </c>
      <c r="S14" s="364">
        <f t="shared" si="1"/>
        <v>12732.339194775928</v>
      </c>
      <c r="T14" s="364">
        <f t="shared" si="1"/>
        <v>32593.980171155628</v>
      </c>
      <c r="U14" s="364">
        <f t="shared" si="1"/>
        <v>43922.822422446552</v>
      </c>
      <c r="V14" s="364">
        <f t="shared" si="1"/>
        <v>41761.745590346341</v>
      </c>
      <c r="W14" s="364">
        <f t="shared" si="1"/>
        <v>20884.959901656948</v>
      </c>
      <c r="X14" s="364">
        <f t="shared" si="1"/>
        <v>11325.757642623927</v>
      </c>
      <c r="Y14" s="364">
        <f t="shared" si="1"/>
        <v>18097.861740589091</v>
      </c>
      <c r="Z14" s="365">
        <f t="shared" si="1"/>
        <v>32469.053520142123</v>
      </c>
      <c r="AA14" s="378">
        <f t="shared" si="2"/>
        <v>33792.81332958518</v>
      </c>
      <c r="AB14" s="379">
        <f t="shared" si="2"/>
        <v>28260.413454887312</v>
      </c>
      <c r="AC14" s="379">
        <f t="shared" si="2"/>
        <v>21278.0932762661</v>
      </c>
      <c r="AD14" s="379">
        <f t="shared" si="2"/>
        <v>11341.026455525576</v>
      </c>
      <c r="AE14" s="379">
        <f t="shared" si="2"/>
        <v>12732.339194775928</v>
      </c>
      <c r="AF14" s="379">
        <f t="shared" si="2"/>
        <v>32593.980171155628</v>
      </c>
      <c r="AG14" s="379">
        <f t="shared" si="2"/>
        <v>43922.822422446552</v>
      </c>
      <c r="AH14" s="379">
        <f t="shared" si="2"/>
        <v>41761.745590346341</v>
      </c>
      <c r="AI14" s="379">
        <f t="shared" si="2"/>
        <v>20884.959901656948</v>
      </c>
      <c r="AJ14" s="379">
        <f t="shared" si="2"/>
        <v>11325.757642623927</v>
      </c>
      <c r="AK14" s="379">
        <f t="shared" si="2"/>
        <v>18097.861740589091</v>
      </c>
      <c r="AL14" s="380">
        <f t="shared" si="2"/>
        <v>32469.053520142123</v>
      </c>
      <c r="AM14" s="392">
        <f t="shared" si="4"/>
        <v>72335.152854183616</v>
      </c>
      <c r="AN14" s="399">
        <f t="shared" si="5"/>
        <v>308460.86670000071</v>
      </c>
      <c r="AO14" s="533">
        <f t="shared" si="6"/>
        <v>308460.86670000071</v>
      </c>
    </row>
    <row r="15" spans="1:41" x14ac:dyDescent="0.25">
      <c r="A15" s="18">
        <v>45200</v>
      </c>
      <c r="B15" s="94">
        <f>SUM('6. 2023 Installed kWh Savings'!E15:G15,'6. 2023 Installed kWh Savings'!J15)</f>
        <v>169365.43370000008</v>
      </c>
      <c r="C15" s="379"/>
      <c r="D15" s="379"/>
      <c r="E15" s="379"/>
      <c r="F15" s="379"/>
      <c r="G15" s="379"/>
      <c r="H15" s="379"/>
      <c r="I15" s="379"/>
      <c r="J15" s="379"/>
      <c r="K15" s="379"/>
      <c r="L15" s="379">
        <f>$B15*(SUMPRODUCT(L$30:L$32,$C$26:$C$28))/2</f>
        <v>3109.2953145814513</v>
      </c>
      <c r="M15" s="379">
        <f>$B15*(SUMPRODUCT(M$30:M$32,$C$26:$C$28))</f>
        <v>9936.9240433295545</v>
      </c>
      <c r="N15" s="380">
        <f>$B15*(SUMPRODUCT(N$30:N$32,$C$26:$C$28))</f>
        <v>17827.659599412556</v>
      </c>
      <c r="O15" s="363">
        <f t="shared" si="3"/>
        <v>18554.491358136107</v>
      </c>
      <c r="P15" s="364">
        <f t="shared" si="1"/>
        <v>15516.837622009756</v>
      </c>
      <c r="Q15" s="364">
        <f t="shared" si="1"/>
        <v>11683.081664776555</v>
      </c>
      <c r="R15" s="364">
        <f t="shared" si="1"/>
        <v>6226.974218131053</v>
      </c>
      <c r="S15" s="364">
        <f t="shared" si="1"/>
        <v>6990.8970068349026</v>
      </c>
      <c r="T15" s="364">
        <f t="shared" si="1"/>
        <v>17896.25260006106</v>
      </c>
      <c r="U15" s="364">
        <f t="shared" si="1"/>
        <v>24116.536883560962</v>
      </c>
      <c r="V15" s="364">
        <f t="shared" si="1"/>
        <v>22929.96265505876</v>
      </c>
      <c r="W15" s="364">
        <f t="shared" si="1"/>
        <v>11467.225419525907</v>
      </c>
      <c r="X15" s="364">
        <f t="shared" si="1"/>
        <v>6218.5906291629026</v>
      </c>
      <c r="Y15" s="364">
        <f t="shared" si="1"/>
        <v>9936.9240433295545</v>
      </c>
      <c r="Z15" s="365">
        <f t="shared" si="1"/>
        <v>17827.659599412556</v>
      </c>
      <c r="AA15" s="378">
        <f t="shared" si="2"/>
        <v>18554.491358136107</v>
      </c>
      <c r="AB15" s="379">
        <f t="shared" si="2"/>
        <v>15516.837622009756</v>
      </c>
      <c r="AC15" s="379">
        <f t="shared" si="2"/>
        <v>11683.081664776555</v>
      </c>
      <c r="AD15" s="379">
        <f t="shared" si="2"/>
        <v>6226.974218131053</v>
      </c>
      <c r="AE15" s="379">
        <f t="shared" si="2"/>
        <v>6990.8970068349026</v>
      </c>
      <c r="AF15" s="379">
        <f t="shared" si="2"/>
        <v>17896.25260006106</v>
      </c>
      <c r="AG15" s="379">
        <f t="shared" si="2"/>
        <v>24116.536883560962</v>
      </c>
      <c r="AH15" s="379">
        <f t="shared" si="2"/>
        <v>22929.96265505876</v>
      </c>
      <c r="AI15" s="379">
        <f t="shared" si="2"/>
        <v>11467.225419525907</v>
      </c>
      <c r="AJ15" s="379">
        <f t="shared" si="2"/>
        <v>6218.5906291629026</v>
      </c>
      <c r="AK15" s="379">
        <f t="shared" si="2"/>
        <v>9936.9240433295545</v>
      </c>
      <c r="AL15" s="380">
        <f t="shared" si="2"/>
        <v>17827.659599412556</v>
      </c>
      <c r="AM15" s="392">
        <f t="shared" si="4"/>
        <v>30873.878957323563</v>
      </c>
      <c r="AN15" s="399">
        <f t="shared" si="5"/>
        <v>169365.43370000008</v>
      </c>
      <c r="AO15" s="533">
        <f t="shared" si="6"/>
        <v>169365.43370000008</v>
      </c>
    </row>
    <row r="16" spans="1:41" x14ac:dyDescent="0.25">
      <c r="A16" s="18">
        <v>45231</v>
      </c>
      <c r="B16" s="94">
        <f>SUM('6. 2023 Installed kWh Savings'!E16:G16,'6. 2023 Installed kWh Savings'!J16)</f>
        <v>269129.32600000041</v>
      </c>
      <c r="C16" s="379"/>
      <c r="D16" s="379"/>
      <c r="E16" s="379"/>
      <c r="F16" s="379"/>
      <c r="G16" s="379"/>
      <c r="H16" s="379"/>
      <c r="I16" s="379"/>
      <c r="J16" s="379"/>
      <c r="K16" s="379"/>
      <c r="L16" s="379"/>
      <c r="M16" s="379">
        <f>$B16*(SUMPRODUCT(M$30:M$32,$C$26:$C$28))/2</f>
        <v>7895.110625204512</v>
      </c>
      <c r="N16" s="380">
        <f>$B16*(SUMPRODUCT(N$30:N$32,$C$26:$C$28))</f>
        <v>28328.95654874904</v>
      </c>
      <c r="O16" s="363">
        <f t="shared" si="3"/>
        <v>29483.925051278045</v>
      </c>
      <c r="P16" s="364">
        <f t="shared" si="1"/>
        <v>24656.956024805037</v>
      </c>
      <c r="Q16" s="364">
        <f t="shared" si="1"/>
        <v>18564.944601469029</v>
      </c>
      <c r="R16" s="364">
        <f t="shared" si="1"/>
        <v>9894.9433643790144</v>
      </c>
      <c r="S16" s="364">
        <f t="shared" si="1"/>
        <v>11108.851189302015</v>
      </c>
      <c r="T16" s="364">
        <f t="shared" si="1"/>
        <v>28437.953925779046</v>
      </c>
      <c r="U16" s="364">
        <f t="shared" si="1"/>
        <v>38322.26668178106</v>
      </c>
      <c r="V16" s="364">
        <f t="shared" si="1"/>
        <v>36436.746623825056</v>
      </c>
      <c r="W16" s="364">
        <f t="shared" si="1"/>
        <v>18221.939275482029</v>
      </c>
      <c r="X16" s="364">
        <f t="shared" si="1"/>
        <v>9881.621462742014</v>
      </c>
      <c r="Y16" s="364">
        <f t="shared" si="1"/>
        <v>15790.221250409024</v>
      </c>
      <c r="Z16" s="365">
        <f t="shared" si="1"/>
        <v>28328.95654874904</v>
      </c>
      <c r="AA16" s="378">
        <f t="shared" si="2"/>
        <v>29483.925051278045</v>
      </c>
      <c r="AB16" s="379">
        <f t="shared" si="2"/>
        <v>24656.956024805037</v>
      </c>
      <c r="AC16" s="379">
        <f t="shared" si="2"/>
        <v>18564.944601469029</v>
      </c>
      <c r="AD16" s="379">
        <f t="shared" si="2"/>
        <v>9894.9433643790144</v>
      </c>
      <c r="AE16" s="379">
        <f t="shared" si="2"/>
        <v>11108.851189302015</v>
      </c>
      <c r="AF16" s="379">
        <f t="shared" si="2"/>
        <v>28437.953925779046</v>
      </c>
      <c r="AG16" s="379">
        <f t="shared" si="2"/>
        <v>38322.26668178106</v>
      </c>
      <c r="AH16" s="379">
        <f t="shared" si="2"/>
        <v>36436.746623825056</v>
      </c>
      <c r="AI16" s="379">
        <f t="shared" si="2"/>
        <v>18221.939275482029</v>
      </c>
      <c r="AJ16" s="379">
        <f t="shared" si="2"/>
        <v>9881.621462742014</v>
      </c>
      <c r="AK16" s="379">
        <f t="shared" si="2"/>
        <v>15790.221250409024</v>
      </c>
      <c r="AL16" s="380">
        <f t="shared" si="2"/>
        <v>28328.95654874904</v>
      </c>
      <c r="AM16" s="392">
        <f t="shared" si="4"/>
        <v>36224.067173953554</v>
      </c>
      <c r="AN16" s="399">
        <f t="shared" si="5"/>
        <v>269129.32600000041</v>
      </c>
      <c r="AO16" s="533">
        <f t="shared" si="6"/>
        <v>269129.32600000041</v>
      </c>
    </row>
    <row r="17" spans="1:41" x14ac:dyDescent="0.25">
      <c r="A17" s="18">
        <v>45261</v>
      </c>
      <c r="B17" s="95">
        <f>SUM('6. 2023 Installed kWh Savings'!E17:G17,'6. 2023 Installed kWh Savings'!J17)</f>
        <v>111063.46000000004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80">
        <f>$B17*(SUMPRODUCT(N$30:N$32,$C$26:$C$28))/2</f>
        <v>5845.3531973950012</v>
      </c>
      <c r="O17" s="363">
        <f t="shared" si="3"/>
        <v>12167.335233380003</v>
      </c>
      <c r="P17" s="364">
        <f t="shared" si="1"/>
        <v>10175.356546550001</v>
      </c>
      <c r="Q17" s="364">
        <f t="shared" si="1"/>
        <v>7661.324065990003</v>
      </c>
      <c r="R17" s="364">
        <f t="shared" si="1"/>
        <v>4083.4147020900014</v>
      </c>
      <c r="S17" s="364">
        <f t="shared" si="1"/>
        <v>4584.366438420001</v>
      </c>
      <c r="T17" s="364">
        <f t="shared" si="1"/>
        <v>11735.687096090005</v>
      </c>
      <c r="U17" s="364">
        <f t="shared" si="1"/>
        <v>15814.714791510005</v>
      </c>
      <c r="V17" s="364">
        <f t="shared" si="1"/>
        <v>15036.604190750004</v>
      </c>
      <c r="W17" s="364">
        <f t="shared" si="1"/>
        <v>7519.7736862200027</v>
      </c>
      <c r="X17" s="364">
        <f t="shared" si="1"/>
        <v>4077.9170608200011</v>
      </c>
      <c r="Y17" s="364">
        <f t="shared" si="1"/>
        <v>6516.2597933900024</v>
      </c>
      <c r="Z17" s="365">
        <f t="shared" si="1"/>
        <v>11690.706394790002</v>
      </c>
      <c r="AA17" s="378">
        <f t="shared" si="2"/>
        <v>12167.335233380003</v>
      </c>
      <c r="AB17" s="379">
        <f t="shared" si="2"/>
        <v>10175.356546550001</v>
      </c>
      <c r="AC17" s="379">
        <f t="shared" si="2"/>
        <v>7661.324065990003</v>
      </c>
      <c r="AD17" s="379">
        <f t="shared" si="2"/>
        <v>4083.4147020900014</v>
      </c>
      <c r="AE17" s="379">
        <f t="shared" si="2"/>
        <v>4584.366438420001</v>
      </c>
      <c r="AF17" s="379">
        <f t="shared" si="2"/>
        <v>11735.687096090005</v>
      </c>
      <c r="AG17" s="379">
        <f t="shared" si="2"/>
        <v>15814.714791510005</v>
      </c>
      <c r="AH17" s="379">
        <f t="shared" si="2"/>
        <v>15036.604190750004</v>
      </c>
      <c r="AI17" s="379">
        <f t="shared" si="2"/>
        <v>7519.7736862200027</v>
      </c>
      <c r="AJ17" s="379">
        <f t="shared" si="2"/>
        <v>4077.9170608200011</v>
      </c>
      <c r="AK17" s="379">
        <f t="shared" si="2"/>
        <v>6516.2597933900024</v>
      </c>
      <c r="AL17" s="380">
        <f t="shared" si="2"/>
        <v>11690.706394790002</v>
      </c>
      <c r="AM17" s="392">
        <f t="shared" si="4"/>
        <v>5845.3531973950012</v>
      </c>
      <c r="AN17" s="399">
        <f t="shared" si="5"/>
        <v>111063.46000000002</v>
      </c>
      <c r="AO17" s="533">
        <f t="shared" si="6"/>
        <v>111063.46000000002</v>
      </c>
    </row>
    <row r="18" spans="1:41" x14ac:dyDescent="0.25">
      <c r="A18" s="18"/>
      <c r="B18" s="20"/>
      <c r="C18" s="378"/>
      <c r="D18" s="379"/>
      <c r="E18" s="379"/>
      <c r="F18" s="379"/>
      <c r="G18" s="379"/>
      <c r="H18" s="379"/>
      <c r="I18" s="379"/>
      <c r="J18" s="379"/>
      <c r="K18" s="379"/>
      <c r="L18" s="379"/>
      <c r="M18" s="379"/>
      <c r="N18" s="380"/>
      <c r="O18" s="363"/>
      <c r="P18" s="364"/>
      <c r="Q18" s="364"/>
      <c r="R18" s="364"/>
      <c r="S18" s="364"/>
      <c r="T18" s="364"/>
      <c r="U18" s="364"/>
      <c r="V18" s="364"/>
      <c r="W18" s="364"/>
      <c r="X18" s="364"/>
      <c r="Y18" s="364"/>
      <c r="Z18" s="365"/>
      <c r="AA18" s="378"/>
      <c r="AB18" s="379"/>
      <c r="AC18" s="379"/>
      <c r="AD18" s="379"/>
      <c r="AE18" s="379"/>
      <c r="AF18" s="379"/>
      <c r="AG18" s="379"/>
      <c r="AH18" s="379"/>
      <c r="AI18" s="379"/>
      <c r="AJ18" s="379"/>
      <c r="AK18" s="379"/>
      <c r="AL18" s="380"/>
      <c r="AM18" s="392"/>
      <c r="AN18" s="399"/>
      <c r="AO18" s="534"/>
    </row>
    <row r="19" spans="1:41" x14ac:dyDescent="0.25">
      <c r="A19" s="440" t="s">
        <v>35</v>
      </c>
      <c r="B19" s="20">
        <f>SUM(B6:B17)</f>
        <v>1941804.9907000011</v>
      </c>
      <c r="C19" s="425">
        <f t="shared" ref="C19:N19" si="11">SUM(C6:C17)</f>
        <v>15501.173848283852</v>
      </c>
      <c r="D19" s="426">
        <f t="shared" si="11"/>
        <v>28441.951950735376</v>
      </c>
      <c r="E19" s="426">
        <f t="shared" si="11"/>
        <v>25816.676845857975</v>
      </c>
      <c r="F19" s="426">
        <f t="shared" si="11"/>
        <v>20211.168521600408</v>
      </c>
      <c r="G19" s="426">
        <f t="shared" si="11"/>
        <v>29375.145240840015</v>
      </c>
      <c r="H19" s="426">
        <f t="shared" si="11"/>
        <v>91938.28438653778</v>
      </c>
      <c r="I19" s="426">
        <f t="shared" si="11"/>
        <v>145747.25482625305</v>
      </c>
      <c r="J19" s="426">
        <f t="shared" si="11"/>
        <v>143864.83459471687</v>
      </c>
      <c r="K19" s="426">
        <f t="shared" si="11"/>
        <v>83822.372173268581</v>
      </c>
      <c r="L19" s="426">
        <f t="shared" si="11"/>
        <v>54228.420005388478</v>
      </c>
      <c r="M19" s="426">
        <f t="shared" si="11"/>
        <v>99517.241093260614</v>
      </c>
      <c r="N19" s="427">
        <f t="shared" si="11"/>
        <v>198551.95283117314</v>
      </c>
      <c r="O19" s="447">
        <f t="shared" ref="O19:AN19" si="12">SUM(O6:O17)</f>
        <v>212730.56214615726</v>
      </c>
      <c r="P19" s="448">
        <f t="shared" si="12"/>
        <v>177903.31873545732</v>
      </c>
      <c r="Q19" s="448">
        <f t="shared" si="12"/>
        <v>133948.62096597214</v>
      </c>
      <c r="R19" s="448">
        <f t="shared" si="12"/>
        <v>71393.373190571598</v>
      </c>
      <c r="S19" s="448">
        <f t="shared" si="12"/>
        <v>80151.884601123937</v>
      </c>
      <c r="T19" s="448">
        <f t="shared" si="12"/>
        <v>205183.73704980168</v>
      </c>
      <c r="U19" s="448">
        <f t="shared" si="12"/>
        <v>276500.40894324071</v>
      </c>
      <c r="V19" s="448">
        <f t="shared" si="12"/>
        <v>262896.12317839643</v>
      </c>
      <c r="W19" s="448">
        <f t="shared" si="12"/>
        <v>131473.79050532499</v>
      </c>
      <c r="X19" s="448">
        <f t="shared" si="12"/>
        <v>71297.253843531944</v>
      </c>
      <c r="Y19" s="448">
        <f t="shared" si="12"/>
        <v>113928.61151185512</v>
      </c>
      <c r="Z19" s="449">
        <f t="shared" si="12"/>
        <v>204397.30602856816</v>
      </c>
      <c r="AA19" s="425">
        <f t="shared" ref="AA19:AL19" si="13">SUM(AA6:AA17)</f>
        <v>212730.56214615726</v>
      </c>
      <c r="AB19" s="426">
        <f t="shared" si="13"/>
        <v>177903.31873545732</v>
      </c>
      <c r="AC19" s="426">
        <f t="shared" si="13"/>
        <v>133948.62096597214</v>
      </c>
      <c r="AD19" s="426">
        <f t="shared" si="13"/>
        <v>71393.373190571598</v>
      </c>
      <c r="AE19" s="426">
        <f t="shared" si="13"/>
        <v>80151.884601123937</v>
      </c>
      <c r="AF19" s="426">
        <f t="shared" si="13"/>
        <v>205183.73704980168</v>
      </c>
      <c r="AG19" s="426">
        <f t="shared" si="13"/>
        <v>276500.40894324071</v>
      </c>
      <c r="AH19" s="426">
        <f t="shared" si="13"/>
        <v>262896.12317839643</v>
      </c>
      <c r="AI19" s="426">
        <f t="shared" si="13"/>
        <v>131473.79050532499</v>
      </c>
      <c r="AJ19" s="426">
        <f t="shared" si="13"/>
        <v>71297.253843531944</v>
      </c>
      <c r="AK19" s="426">
        <f t="shared" si="13"/>
        <v>113928.61151185512</v>
      </c>
      <c r="AL19" s="427">
        <f t="shared" si="13"/>
        <v>204397.30602856816</v>
      </c>
      <c r="AM19" s="397">
        <f t="shared" si="12"/>
        <v>937016.47631791618</v>
      </c>
      <c r="AN19" s="398">
        <f t="shared" si="12"/>
        <v>1941804.9907000011</v>
      </c>
      <c r="AO19" s="535">
        <f t="shared" ref="AO19" si="14">SUM(AO6:AO17)</f>
        <v>1941804.9907000011</v>
      </c>
    </row>
    <row r="20" spans="1:41" x14ac:dyDescent="0.25">
      <c r="A20" s="440" t="s">
        <v>38</v>
      </c>
      <c r="B20" s="733">
        <v>0.82499999999999996</v>
      </c>
      <c r="C20" s="381"/>
      <c r="D20" s="382"/>
      <c r="E20" s="382"/>
      <c r="F20" s="382"/>
      <c r="G20" s="382"/>
      <c r="H20" s="382"/>
      <c r="I20" s="382"/>
      <c r="J20" s="382"/>
      <c r="K20" s="382"/>
      <c r="L20" s="382"/>
      <c r="M20" s="382"/>
      <c r="N20" s="383"/>
      <c r="O20" s="366"/>
      <c r="P20" s="367"/>
      <c r="Q20" s="367"/>
      <c r="R20" s="367"/>
      <c r="S20" s="367"/>
      <c r="T20" s="367"/>
      <c r="U20" s="367"/>
      <c r="V20" s="367"/>
      <c r="W20" s="367"/>
      <c r="X20" s="367"/>
      <c r="Y20" s="367"/>
      <c r="Z20" s="368"/>
      <c r="AA20" s="381"/>
      <c r="AB20" s="382"/>
      <c r="AC20" s="382"/>
      <c r="AD20" s="382"/>
      <c r="AE20" s="382"/>
      <c r="AF20" s="382"/>
      <c r="AG20" s="382"/>
      <c r="AH20" s="382"/>
      <c r="AI20" s="382"/>
      <c r="AJ20" s="382"/>
      <c r="AK20" s="382"/>
      <c r="AL20" s="383"/>
      <c r="AM20" s="393"/>
      <c r="AN20" s="394"/>
      <c r="AO20" s="394"/>
    </row>
    <row r="21" spans="1:41" x14ac:dyDescent="0.25">
      <c r="A21" s="440" t="s">
        <v>36</v>
      </c>
      <c r="B21" s="20"/>
      <c r="C21" s="384">
        <f>$F$38</f>
        <v>0.10241358634724779</v>
      </c>
      <c r="D21" s="374">
        <f t="shared" ref="D21:G21" si="15">$F$38</f>
        <v>0.10241358634724779</v>
      </c>
      <c r="E21" s="374">
        <f t="shared" si="15"/>
        <v>0.10241358634724779</v>
      </c>
      <c r="F21" s="374">
        <f t="shared" si="15"/>
        <v>0.10241358634724779</v>
      </c>
      <c r="G21" s="374">
        <f t="shared" si="15"/>
        <v>0.10241358634724779</v>
      </c>
      <c r="H21" s="374">
        <f>$F$37*0.5+$F$38*0.5</f>
        <v>0.11431358634724779</v>
      </c>
      <c r="I21" s="374">
        <f>$F$37</f>
        <v>0.1262135863472478</v>
      </c>
      <c r="J21" s="374">
        <f t="shared" ref="J21:K21" si="16">$F$37</f>
        <v>0.1262135863472478</v>
      </c>
      <c r="K21" s="374">
        <f t="shared" si="16"/>
        <v>0.1262135863472478</v>
      </c>
      <c r="L21" s="374">
        <f>$F$37*0.5+$F$38*0.5</f>
        <v>0.11431358634724779</v>
      </c>
      <c r="M21" s="374">
        <f>$F$38</f>
        <v>0.10241358634724779</v>
      </c>
      <c r="N21" s="385">
        <f t="shared" ref="N21" si="17">$F$38</f>
        <v>0.10241358634724779</v>
      </c>
      <c r="O21" s="369">
        <f>$F$38</f>
        <v>0.10241358634724779</v>
      </c>
      <c r="P21" s="360">
        <f t="shared" ref="P21:S21" si="18">$F$38</f>
        <v>0.10241358634724779</v>
      </c>
      <c r="Q21" s="360">
        <f t="shared" si="18"/>
        <v>0.10241358634724779</v>
      </c>
      <c r="R21" s="360">
        <f t="shared" si="18"/>
        <v>0.10241358634724779</v>
      </c>
      <c r="S21" s="360">
        <f t="shared" si="18"/>
        <v>0.10241358634724779</v>
      </c>
      <c r="T21" s="360">
        <f>$F$37*0.5+$F$38*0.5</f>
        <v>0.11431358634724779</v>
      </c>
      <c r="U21" s="360">
        <f>$F$37</f>
        <v>0.1262135863472478</v>
      </c>
      <c r="V21" s="360">
        <f t="shared" ref="V21:W21" si="19">$F$37</f>
        <v>0.1262135863472478</v>
      </c>
      <c r="W21" s="360">
        <f t="shared" si="19"/>
        <v>0.1262135863472478</v>
      </c>
      <c r="X21" s="360">
        <f>$F$37*0.5+$F$38*0.5</f>
        <v>0.11431358634724779</v>
      </c>
      <c r="Y21" s="360">
        <f>$F$38</f>
        <v>0.10241358634724779</v>
      </c>
      <c r="Z21" s="370">
        <f t="shared" ref="Z21" si="20">$F$38</f>
        <v>0.10241358634724779</v>
      </c>
      <c r="AA21" s="384">
        <f>$F$38</f>
        <v>0.10241358634724779</v>
      </c>
      <c r="AB21" s="374">
        <f t="shared" ref="AB21:AE21" si="21">$F$38</f>
        <v>0.10241358634724779</v>
      </c>
      <c r="AC21" s="374">
        <f t="shared" si="21"/>
        <v>0.10241358634724779</v>
      </c>
      <c r="AD21" s="374">
        <f t="shared" si="21"/>
        <v>0.10241358634724779</v>
      </c>
      <c r="AE21" s="374">
        <f t="shared" si="21"/>
        <v>0.10241358634724779</v>
      </c>
      <c r="AF21" s="374">
        <f>$F$37*0.5+$F$38*0.5</f>
        <v>0.11431358634724779</v>
      </c>
      <c r="AG21" s="374">
        <f>$F$37</f>
        <v>0.1262135863472478</v>
      </c>
      <c r="AH21" s="374">
        <f t="shared" ref="AH21:AI21" si="22">$F$37</f>
        <v>0.1262135863472478</v>
      </c>
      <c r="AI21" s="374">
        <f t="shared" si="22"/>
        <v>0.1262135863472478</v>
      </c>
      <c r="AJ21" s="374">
        <f>$F$37*0.5+$F$38*0.5</f>
        <v>0.11431358634724779</v>
      </c>
      <c r="AK21" s="374">
        <f>$F$38</f>
        <v>0.10241358634724779</v>
      </c>
      <c r="AL21" s="385">
        <f t="shared" ref="AL21" si="23">$F$38</f>
        <v>0.10241358634724779</v>
      </c>
      <c r="AM21" s="395"/>
      <c r="AN21" s="396"/>
      <c r="AO21" s="396"/>
    </row>
    <row r="22" spans="1:41" x14ac:dyDescent="0.25">
      <c r="A22" s="441" t="s">
        <v>37</v>
      </c>
      <c r="B22" s="21"/>
      <c r="C22" s="386">
        <f>C19*$B$20*C21</f>
        <v>1309.7129152758068</v>
      </c>
      <c r="D22" s="387">
        <f t="shared" ref="D22:N22" si="24">D19*$B$20*D21</f>
        <v>2403.0948991425007</v>
      </c>
      <c r="E22" s="387">
        <f t="shared" si="24"/>
        <v>2181.2822322656216</v>
      </c>
      <c r="F22" s="387">
        <f t="shared" si="24"/>
        <v>1707.6660583667021</v>
      </c>
      <c r="G22" s="387">
        <f t="shared" si="24"/>
        <v>2481.9415282082136</v>
      </c>
      <c r="H22" s="387">
        <f t="shared" si="24"/>
        <v>8670.5808839416059</v>
      </c>
      <c r="I22" s="387">
        <f t="shared" si="24"/>
        <v>15176.109078807285</v>
      </c>
      <c r="J22" s="387">
        <f t="shared" si="24"/>
        <v>14980.099796848575</v>
      </c>
      <c r="K22" s="387">
        <f t="shared" si="24"/>
        <v>8728.1058217006303</v>
      </c>
      <c r="L22" s="387">
        <f t="shared" si="24"/>
        <v>5114.212267527656</v>
      </c>
      <c r="M22" s="387">
        <f t="shared" si="24"/>
        <v>8408.3319900892293</v>
      </c>
      <c r="N22" s="388">
        <f t="shared" si="24"/>
        <v>16775.894491694264</v>
      </c>
      <c r="O22" s="371">
        <f>O19*$B$20*O21</f>
        <v>17973.862330919579</v>
      </c>
      <c r="P22" s="372">
        <f t="shared" ref="P22:Z22" si="25">P19*$B$20*P21</f>
        <v>15031.266438189954</v>
      </c>
      <c r="Q22" s="372">
        <f t="shared" si="25"/>
        <v>11317.480893999515</v>
      </c>
      <c r="R22" s="372">
        <f t="shared" si="25"/>
        <v>6032.1123966459591</v>
      </c>
      <c r="S22" s="372">
        <f t="shared" si="25"/>
        <v>6772.1296124557721</v>
      </c>
      <c r="T22" s="372">
        <f t="shared" si="25"/>
        <v>19350.613294892129</v>
      </c>
      <c r="U22" s="372">
        <f t="shared" si="25"/>
        <v>28790.939297345805</v>
      </c>
      <c r="V22" s="372">
        <f t="shared" si="25"/>
        <v>27374.376598084913</v>
      </c>
      <c r="W22" s="372">
        <f t="shared" si="25"/>
        <v>13689.867353533637</v>
      </c>
      <c r="X22" s="372">
        <f t="shared" si="25"/>
        <v>6723.951946440493</v>
      </c>
      <c r="Y22" s="372">
        <f t="shared" si="25"/>
        <v>9625.966096305423</v>
      </c>
      <c r="Z22" s="373">
        <f t="shared" si="25"/>
        <v>17269.775448833814</v>
      </c>
      <c r="AA22" s="386">
        <f>AA19*$B$20*AA21</f>
        <v>17973.862330919579</v>
      </c>
      <c r="AB22" s="387">
        <f t="shared" ref="AB22:AL22" si="26">AB19*$B$20*AB21</f>
        <v>15031.266438189954</v>
      </c>
      <c r="AC22" s="387">
        <f t="shared" si="26"/>
        <v>11317.480893999515</v>
      </c>
      <c r="AD22" s="387">
        <f t="shared" si="26"/>
        <v>6032.1123966459591</v>
      </c>
      <c r="AE22" s="387">
        <f t="shared" si="26"/>
        <v>6772.1296124557721</v>
      </c>
      <c r="AF22" s="387">
        <f t="shared" si="26"/>
        <v>19350.613294892129</v>
      </c>
      <c r="AG22" s="387">
        <f t="shared" si="26"/>
        <v>28790.939297345805</v>
      </c>
      <c r="AH22" s="387">
        <f t="shared" si="26"/>
        <v>27374.376598084913</v>
      </c>
      <c r="AI22" s="387">
        <f t="shared" si="26"/>
        <v>13689.867353533637</v>
      </c>
      <c r="AJ22" s="387">
        <f t="shared" si="26"/>
        <v>6723.951946440493</v>
      </c>
      <c r="AK22" s="387">
        <f t="shared" si="26"/>
        <v>9625.966096305423</v>
      </c>
      <c r="AL22" s="388">
        <f t="shared" si="26"/>
        <v>17269.775448833814</v>
      </c>
      <c r="AM22" s="429">
        <f t="shared" ref="AM22" si="27">SUM(C22:N22)</f>
        <v>87937.031963868096</v>
      </c>
      <c r="AN22" s="430">
        <f t="shared" ref="AN22" si="28">SUM(O22:Z22)</f>
        <v>179952.34170764699</v>
      </c>
      <c r="AO22" s="430">
        <f>SUM(AA22:AL22)</f>
        <v>179952.34170764699</v>
      </c>
    </row>
    <row r="23" spans="1:41" x14ac:dyDescent="0.25">
      <c r="A23" s="440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</row>
    <row r="24" spans="1:41" x14ac:dyDescent="0.25">
      <c r="A24" s="440"/>
      <c r="AM24" s="428">
        <f>+AM22/(AM19*$B$20)</f>
        <v>0.11375503469612525</v>
      </c>
      <c r="AN24" s="428">
        <f>+AN22/(AN19*$B$20)</f>
        <v>0.1123305643972478</v>
      </c>
      <c r="AO24" s="428">
        <f>+AO22/(AO19*$B$20)</f>
        <v>0.1123305643972478</v>
      </c>
    </row>
    <row r="25" spans="1:41" x14ac:dyDescent="0.25">
      <c r="A25" s="442" t="s">
        <v>39</v>
      </c>
      <c r="B25" s="276"/>
      <c r="C25" s="277"/>
      <c r="I25" s="23"/>
    </row>
    <row r="26" spans="1:41" x14ac:dyDescent="0.25">
      <c r="A26" s="356" t="s">
        <v>298</v>
      </c>
      <c r="B26" s="262"/>
      <c r="C26" s="263">
        <v>0</v>
      </c>
      <c r="I26" s="23"/>
    </row>
    <row r="27" spans="1:41" x14ac:dyDescent="0.25">
      <c r="A27" s="357" t="s">
        <v>299</v>
      </c>
      <c r="B27" s="261"/>
      <c r="C27" s="256">
        <v>0.5</v>
      </c>
      <c r="I27" s="23"/>
    </row>
    <row r="28" spans="1:41" x14ac:dyDescent="0.25">
      <c r="A28" s="358" t="s">
        <v>300</v>
      </c>
      <c r="B28" s="257"/>
      <c r="C28" s="258">
        <v>0.5</v>
      </c>
    </row>
    <row r="29" spans="1:41" x14ac:dyDescent="0.25">
      <c r="A29" s="440"/>
      <c r="C29" s="27"/>
    </row>
    <row r="30" spans="1:41" x14ac:dyDescent="0.25">
      <c r="A30" s="440" t="s">
        <v>33</v>
      </c>
      <c r="C30" s="223">
        <f t="array" ref="C30:N32">TRANSPOSE('8. Load Shapes'!$B$4:$D$15)</f>
        <v>0.10118199999999999</v>
      </c>
      <c r="D30" s="224">
        <v>8.8441000000000006E-2</v>
      </c>
      <c r="E30" s="224">
        <v>9.2879000000000003E-2</v>
      </c>
      <c r="F30" s="224">
        <v>8.4644999999999998E-2</v>
      </c>
      <c r="G30" s="224">
        <v>7.9393000000000005E-2</v>
      </c>
      <c r="H30" s="224">
        <v>6.8507999999999999E-2</v>
      </c>
      <c r="I30" s="225">
        <v>6.7863999999999994E-2</v>
      </c>
      <c r="J30" s="225">
        <v>7.0565000000000003E-2</v>
      </c>
      <c r="K30" s="225">
        <v>7.3791999999999996E-2</v>
      </c>
      <c r="L30" s="225">
        <v>8.4539000000000003E-2</v>
      </c>
      <c r="M30" s="225">
        <v>8.9880000000000002E-2</v>
      </c>
      <c r="N30" s="226">
        <v>9.8311999999999997E-2</v>
      </c>
      <c r="O30" s="416">
        <f t="array" ref="O30:Z32">TRANSPOSE('8. Load Shapes'!$B$4:$D$15)</f>
        <v>0.10118199999999999</v>
      </c>
      <c r="P30" s="417">
        <v>8.8441000000000006E-2</v>
      </c>
      <c r="Q30" s="417">
        <v>9.2879000000000003E-2</v>
      </c>
      <c r="R30" s="417">
        <v>8.4644999999999998E-2</v>
      </c>
      <c r="S30" s="417">
        <v>7.9393000000000005E-2</v>
      </c>
      <c r="T30" s="417">
        <v>6.8507999999999999E-2</v>
      </c>
      <c r="U30" s="432">
        <v>6.7863999999999994E-2</v>
      </c>
      <c r="V30" s="432">
        <v>7.0565000000000003E-2</v>
      </c>
      <c r="W30" s="432">
        <v>7.3791999999999996E-2</v>
      </c>
      <c r="X30" s="432">
        <v>8.4539000000000003E-2</v>
      </c>
      <c r="Y30" s="432">
        <v>8.9880000000000002E-2</v>
      </c>
      <c r="Z30" s="433">
        <v>9.8311999999999997E-2</v>
      </c>
      <c r="AA30" s="416">
        <f t="array" ref="AA30:AL32">TRANSPOSE('8. Load Shapes'!$B$4:$D$15)</f>
        <v>0.10118199999999999</v>
      </c>
      <c r="AB30" s="417">
        <v>8.8441000000000006E-2</v>
      </c>
      <c r="AC30" s="417">
        <v>9.2879000000000003E-2</v>
      </c>
      <c r="AD30" s="417">
        <v>8.4644999999999998E-2</v>
      </c>
      <c r="AE30" s="417">
        <v>7.9393000000000005E-2</v>
      </c>
      <c r="AF30" s="417">
        <v>6.8507999999999999E-2</v>
      </c>
      <c r="AG30" s="432">
        <v>6.7863999999999994E-2</v>
      </c>
      <c r="AH30" s="432">
        <v>7.0565000000000003E-2</v>
      </c>
      <c r="AI30" s="432">
        <v>7.3791999999999996E-2</v>
      </c>
      <c r="AJ30" s="432">
        <v>8.4539000000000003E-2</v>
      </c>
      <c r="AK30" s="432">
        <v>8.9880000000000002E-2</v>
      </c>
      <c r="AL30" s="433">
        <v>9.8311999999999997E-2</v>
      </c>
      <c r="AM30" s="412"/>
    </row>
    <row r="31" spans="1:41" x14ac:dyDescent="0.25">
      <c r="A31" s="440" t="s">
        <v>40</v>
      </c>
      <c r="C31" s="227">
        <v>0.21790599999999999</v>
      </c>
      <c r="D31" s="228">
        <v>0.18213499999999999</v>
      </c>
      <c r="E31" s="228">
        <v>0.13483300000000001</v>
      </c>
      <c r="F31" s="228">
        <v>5.8486000000000003E-2</v>
      </c>
      <c r="G31" s="228">
        <v>1.7144E-2</v>
      </c>
      <c r="H31" s="228">
        <v>5.1000000000000004E-4</v>
      </c>
      <c r="I31" s="229">
        <v>6.0000000000000002E-6</v>
      </c>
      <c r="J31" s="229">
        <v>9.0000000000000002E-6</v>
      </c>
      <c r="K31" s="229">
        <v>8.8090000000000009E-3</v>
      </c>
      <c r="L31" s="229">
        <v>5.4961999999999997E-2</v>
      </c>
      <c r="M31" s="229">
        <v>0.115899</v>
      </c>
      <c r="N31" s="230">
        <v>0.20930099999999999</v>
      </c>
      <c r="O31" s="419">
        <v>0.21790599999999999</v>
      </c>
      <c r="P31" s="420">
        <v>0.18213499999999999</v>
      </c>
      <c r="Q31" s="420">
        <v>0.13483300000000001</v>
      </c>
      <c r="R31" s="420">
        <v>5.8486000000000003E-2</v>
      </c>
      <c r="S31" s="420">
        <v>1.7144E-2</v>
      </c>
      <c r="T31" s="420">
        <v>5.1000000000000004E-4</v>
      </c>
      <c r="U31" s="437">
        <v>6.0000000000000002E-6</v>
      </c>
      <c r="V31" s="437">
        <v>9.0000000000000002E-6</v>
      </c>
      <c r="W31" s="437">
        <v>8.8090000000000009E-3</v>
      </c>
      <c r="X31" s="437">
        <v>5.4961999999999997E-2</v>
      </c>
      <c r="Y31" s="437">
        <v>0.115899</v>
      </c>
      <c r="Z31" s="434">
        <v>0.20930099999999999</v>
      </c>
      <c r="AA31" s="419">
        <v>0.21790599999999999</v>
      </c>
      <c r="AB31" s="420">
        <v>0.18213499999999999</v>
      </c>
      <c r="AC31" s="420">
        <v>0.13483300000000001</v>
      </c>
      <c r="AD31" s="420">
        <v>5.8486000000000003E-2</v>
      </c>
      <c r="AE31" s="420">
        <v>1.7144E-2</v>
      </c>
      <c r="AF31" s="420">
        <v>5.1000000000000004E-4</v>
      </c>
      <c r="AG31" s="437">
        <v>6.0000000000000002E-6</v>
      </c>
      <c r="AH31" s="437">
        <v>9.0000000000000002E-6</v>
      </c>
      <c r="AI31" s="437">
        <v>8.8090000000000009E-3</v>
      </c>
      <c r="AJ31" s="437">
        <v>5.4961999999999997E-2</v>
      </c>
      <c r="AK31" s="437">
        <v>0.115899</v>
      </c>
      <c r="AL31" s="434">
        <v>0.20930099999999999</v>
      </c>
      <c r="AM31" s="412"/>
    </row>
    <row r="32" spans="1:41" x14ac:dyDescent="0.25">
      <c r="A32" s="440" t="s">
        <v>41</v>
      </c>
      <c r="C32" s="231">
        <v>1.1999999999999999E-3</v>
      </c>
      <c r="D32" s="232">
        <v>1.1000000000000001E-3</v>
      </c>
      <c r="E32" s="232">
        <v>3.13E-3</v>
      </c>
      <c r="F32" s="232">
        <v>1.5047E-2</v>
      </c>
      <c r="G32" s="232">
        <v>6.5409999999999996E-2</v>
      </c>
      <c r="H32" s="232">
        <v>0.21082300000000001</v>
      </c>
      <c r="I32" s="233">
        <v>0.28478100000000001</v>
      </c>
      <c r="J32" s="233">
        <v>0.27076600000000001</v>
      </c>
      <c r="K32" s="233">
        <v>0.126605</v>
      </c>
      <c r="L32" s="233">
        <v>1.8471999999999999E-2</v>
      </c>
      <c r="M32" s="233">
        <v>1.444E-3</v>
      </c>
      <c r="N32" s="234">
        <v>1.222E-3</v>
      </c>
      <c r="O32" s="422">
        <v>1.1999999999999999E-3</v>
      </c>
      <c r="P32" s="423">
        <v>1.1000000000000001E-3</v>
      </c>
      <c r="Q32" s="423">
        <v>3.13E-3</v>
      </c>
      <c r="R32" s="423">
        <v>1.5047E-2</v>
      </c>
      <c r="S32" s="423">
        <v>6.5409999999999996E-2</v>
      </c>
      <c r="T32" s="423">
        <v>0.21082300000000001</v>
      </c>
      <c r="U32" s="435">
        <v>0.28478100000000001</v>
      </c>
      <c r="V32" s="435">
        <v>0.27076600000000001</v>
      </c>
      <c r="W32" s="435">
        <v>0.126605</v>
      </c>
      <c r="X32" s="435">
        <v>1.8471999999999999E-2</v>
      </c>
      <c r="Y32" s="435">
        <v>1.444E-3</v>
      </c>
      <c r="Z32" s="436">
        <v>1.222E-3</v>
      </c>
      <c r="AA32" s="422">
        <v>1.1999999999999999E-3</v>
      </c>
      <c r="AB32" s="423">
        <v>1.1000000000000001E-3</v>
      </c>
      <c r="AC32" s="423">
        <v>3.13E-3</v>
      </c>
      <c r="AD32" s="423">
        <v>1.5047E-2</v>
      </c>
      <c r="AE32" s="423">
        <v>6.5409999999999996E-2</v>
      </c>
      <c r="AF32" s="423">
        <v>0.21082300000000001</v>
      </c>
      <c r="AG32" s="435">
        <v>0.28478100000000001</v>
      </c>
      <c r="AH32" s="435">
        <v>0.27076600000000001</v>
      </c>
      <c r="AI32" s="435">
        <v>0.126605</v>
      </c>
      <c r="AJ32" s="435">
        <v>1.8471999999999999E-2</v>
      </c>
      <c r="AK32" s="435">
        <v>1.444E-3</v>
      </c>
      <c r="AL32" s="436">
        <v>1.222E-3</v>
      </c>
      <c r="AM32" s="412"/>
    </row>
    <row r="33" spans="1:9" x14ac:dyDescent="0.25">
      <c r="A33" s="440"/>
    </row>
    <row r="34" spans="1:9" x14ac:dyDescent="0.25">
      <c r="A34" s="440"/>
      <c r="C34" s="24"/>
      <c r="D34" s="24"/>
      <c r="E34" s="24"/>
      <c r="F34" s="24"/>
      <c r="G34" s="24"/>
      <c r="H34" s="24"/>
    </row>
    <row r="35" spans="1:9" x14ac:dyDescent="0.25">
      <c r="A35" s="442" t="s">
        <v>150</v>
      </c>
      <c r="B35" s="764" t="s">
        <v>249</v>
      </c>
      <c r="C35" s="764"/>
      <c r="D35" s="764"/>
      <c r="E35" s="764"/>
      <c r="F35" s="764"/>
      <c r="G35" s="765"/>
      <c r="I35" s="23"/>
    </row>
    <row r="36" spans="1:9" x14ac:dyDescent="0.25">
      <c r="A36" s="439"/>
      <c r="B36" s="248" t="s">
        <v>147</v>
      </c>
      <c r="C36" s="248" t="s">
        <v>42</v>
      </c>
      <c r="D36" s="248" t="s">
        <v>43</v>
      </c>
      <c r="E36" s="248" t="s">
        <v>132</v>
      </c>
      <c r="F36" s="157" t="s">
        <v>44</v>
      </c>
      <c r="G36" s="158"/>
    </row>
    <row r="37" spans="1:9" x14ac:dyDescent="0.25">
      <c r="A37" s="443" t="s">
        <v>45</v>
      </c>
      <c r="B37" s="265">
        <v>0.14030999999999999</v>
      </c>
      <c r="C37" s="254">
        <v>0.14030999999999999</v>
      </c>
      <c r="D37" s="254">
        <f>'2. TD Res Lighting install 2022'!N37</f>
        <v>8.6999999999999994E-3</v>
      </c>
      <c r="E37" s="255">
        <v>0.02</v>
      </c>
      <c r="F37" s="28">
        <f>SUMPRODUCT(B37:C37,B40:C40)-D37-E37*$E$40</f>
        <v>0.1262135863472478</v>
      </c>
      <c r="G37" s="60"/>
    </row>
    <row r="38" spans="1:9" x14ac:dyDescent="0.25">
      <c r="A38" s="443" t="s">
        <v>46</v>
      </c>
      <c r="B38" s="266">
        <v>0.14030999999999999</v>
      </c>
      <c r="C38" s="267">
        <v>0.11651</v>
      </c>
      <c r="D38" s="274">
        <f>+D37</f>
        <v>8.6999999999999994E-3</v>
      </c>
      <c r="E38" s="275">
        <f>+E37</f>
        <v>0.02</v>
      </c>
      <c r="F38" s="28">
        <f>SUMPRODUCT(B38:C38,B40:C40)-D38-E38*$E$40</f>
        <v>0.10241358634724779</v>
      </c>
      <c r="G38" s="60"/>
    </row>
    <row r="39" spans="1:9" x14ac:dyDescent="0.25">
      <c r="A39" s="26"/>
      <c r="B39" s="17"/>
    </row>
    <row r="40" spans="1:9" x14ac:dyDescent="0.25">
      <c r="B40" s="279">
        <f t="array" ref="B40:C40">TRANSPOSE('Step Adjustments'!C12:C13)</f>
        <v>0</v>
      </c>
      <c r="C40" s="280">
        <v>1</v>
      </c>
      <c r="E40" s="253">
        <f>'2. TD Res Lighting install 2023'!E40</f>
        <v>0.26982068263761072</v>
      </c>
    </row>
  </sheetData>
  <mergeCells count="4">
    <mergeCell ref="C1:N1"/>
    <mergeCell ref="B35:G35"/>
    <mergeCell ref="O1:Z1"/>
    <mergeCell ref="AA1:AL1"/>
  </mergeCells>
  <pageMargins left="0.7" right="0.7" top="0.75" bottom="0.75" header="0.3" footer="0.3"/>
  <pageSetup orientation="portrait" r:id="rId1"/>
  <ignoredErrors>
    <ignoredError sqref="AM2:AN2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EDAFF-7450-4D1E-812F-DFCC6846E89E}">
  <sheetPr codeName="Sheet12"/>
  <dimension ref="A1:AO40"/>
  <sheetViews>
    <sheetView zoomScaleNormal="100" workbookViewId="0">
      <pane xSplit="2" ySplit="5" topLeftCell="C6" activePane="bottomRight" state="frozen"/>
      <selection activeCell="AA1" sqref="AA1:AB1048576"/>
      <selection pane="topRight" activeCell="AA1" sqref="AA1:AB1048576"/>
      <selection pane="bottomLeft" activeCell="AA1" sqref="AA1:AB1048576"/>
      <selection pane="bottomRight"/>
    </sheetView>
  </sheetViews>
  <sheetFormatPr defaultColWidth="12.7109375" defaultRowHeight="13.1" x14ac:dyDescent="0.25"/>
  <cols>
    <col min="1" max="1" width="30.7109375" style="22" customWidth="1"/>
    <col min="2" max="2" width="12.7109375" style="22"/>
    <col min="3" max="16384" width="12.7109375" style="17"/>
  </cols>
  <sheetData>
    <row r="1" spans="1:41" x14ac:dyDescent="0.25">
      <c r="A1" s="168" t="str">
        <f>Company_Filing</f>
        <v>2025 MEEIA Filing</v>
      </c>
      <c r="B1" s="272"/>
      <c r="C1" s="760" t="s">
        <v>227</v>
      </c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760" t="s">
        <v>244</v>
      </c>
      <c r="P1" s="760"/>
      <c r="Q1" s="760"/>
      <c r="R1" s="760"/>
      <c r="S1" s="760"/>
      <c r="T1" s="760"/>
      <c r="U1" s="760"/>
      <c r="V1" s="760"/>
      <c r="W1" s="760"/>
      <c r="X1" s="760"/>
      <c r="Y1" s="760"/>
      <c r="Z1" s="760"/>
      <c r="AA1" s="760" t="s">
        <v>245</v>
      </c>
      <c r="AB1" s="760"/>
      <c r="AC1" s="760"/>
      <c r="AD1" s="760"/>
      <c r="AE1" s="760"/>
      <c r="AF1" s="760"/>
      <c r="AG1" s="760"/>
      <c r="AH1" s="760"/>
      <c r="AI1" s="760"/>
      <c r="AJ1" s="760"/>
      <c r="AK1" s="760"/>
      <c r="AL1" s="760"/>
      <c r="AM1" s="313" t="s">
        <v>221</v>
      </c>
      <c r="AN1" s="313" t="s">
        <v>221</v>
      </c>
      <c r="AO1" s="389" t="s">
        <v>222</v>
      </c>
    </row>
    <row r="2" spans="1:41" x14ac:dyDescent="0.25">
      <c r="A2" s="87" t="s">
        <v>193</v>
      </c>
      <c r="B2" s="273"/>
      <c r="C2" s="215">
        <v>44927</v>
      </c>
      <c r="D2" s="215">
        <v>44958</v>
      </c>
      <c r="E2" s="215">
        <v>44986</v>
      </c>
      <c r="F2" s="215">
        <v>45017</v>
      </c>
      <c r="G2" s="215">
        <v>45047</v>
      </c>
      <c r="H2" s="215">
        <v>45078</v>
      </c>
      <c r="I2" s="215">
        <v>45108</v>
      </c>
      <c r="J2" s="215">
        <v>45139</v>
      </c>
      <c r="K2" s="215">
        <v>45170</v>
      </c>
      <c r="L2" s="215">
        <v>45200</v>
      </c>
      <c r="M2" s="215">
        <v>45231</v>
      </c>
      <c r="N2" s="215">
        <v>45261</v>
      </c>
      <c r="O2" s="215">
        <v>45292</v>
      </c>
      <c r="P2" s="215">
        <v>45323</v>
      </c>
      <c r="Q2" s="215">
        <v>45352</v>
      </c>
      <c r="R2" s="215">
        <v>45383</v>
      </c>
      <c r="S2" s="215">
        <v>45413</v>
      </c>
      <c r="T2" s="215">
        <v>45444</v>
      </c>
      <c r="U2" s="215">
        <v>45474</v>
      </c>
      <c r="V2" s="215">
        <v>45505</v>
      </c>
      <c r="W2" s="215">
        <v>45536</v>
      </c>
      <c r="X2" s="215">
        <v>45566</v>
      </c>
      <c r="Y2" s="215">
        <v>45597</v>
      </c>
      <c r="Z2" s="215">
        <v>45627</v>
      </c>
      <c r="AA2" s="215">
        <v>45658</v>
      </c>
      <c r="AB2" s="215">
        <v>45689</v>
      </c>
      <c r="AC2" s="215">
        <v>45717</v>
      </c>
      <c r="AD2" s="215">
        <v>45748</v>
      </c>
      <c r="AE2" s="215">
        <v>45778</v>
      </c>
      <c r="AF2" s="215">
        <v>45809</v>
      </c>
      <c r="AG2" s="215">
        <v>45839</v>
      </c>
      <c r="AH2" s="215">
        <v>45870</v>
      </c>
      <c r="AI2" s="215">
        <v>45901</v>
      </c>
      <c r="AJ2" s="215">
        <v>45931</v>
      </c>
      <c r="AK2" s="215">
        <v>45962</v>
      </c>
      <c r="AL2" s="215">
        <v>45992</v>
      </c>
      <c r="AM2" s="402" t="s">
        <v>180</v>
      </c>
      <c r="AN2" s="402" t="s">
        <v>181</v>
      </c>
      <c r="AO2" s="402" t="s">
        <v>246</v>
      </c>
    </row>
    <row r="3" spans="1:41" x14ac:dyDescent="0.25">
      <c r="A3" s="88"/>
    </row>
    <row r="4" spans="1:41" x14ac:dyDescent="0.25">
      <c r="A4" s="353" t="s">
        <v>229</v>
      </c>
      <c r="B4" s="271" t="s">
        <v>69</v>
      </c>
    </row>
    <row r="6" spans="1:41" x14ac:dyDescent="0.25">
      <c r="A6" s="18">
        <v>44927</v>
      </c>
      <c r="B6" s="96">
        <f>'6. 2023 Installed kWh Savings'!H6</f>
        <v>0</v>
      </c>
      <c r="C6" s="376">
        <f>$B6*(SUMPRODUCT(C$30:C$32,$C$26:$C$28))/2</f>
        <v>0</v>
      </c>
      <c r="D6" s="376">
        <f t="shared" ref="D6:N6" si="0">$B6*(SUMPRODUCT(D$30:D$32,$C$26:$C$28))</f>
        <v>0</v>
      </c>
      <c r="E6" s="376">
        <f t="shared" si="0"/>
        <v>0</v>
      </c>
      <c r="F6" s="376">
        <f t="shared" si="0"/>
        <v>0</v>
      </c>
      <c r="G6" s="376">
        <f t="shared" si="0"/>
        <v>0</v>
      </c>
      <c r="H6" s="376">
        <f t="shared" si="0"/>
        <v>0</v>
      </c>
      <c r="I6" s="376">
        <f t="shared" si="0"/>
        <v>0</v>
      </c>
      <c r="J6" s="376">
        <f t="shared" si="0"/>
        <v>0</v>
      </c>
      <c r="K6" s="376">
        <f t="shared" si="0"/>
        <v>0</v>
      </c>
      <c r="L6" s="376">
        <f t="shared" si="0"/>
        <v>0</v>
      </c>
      <c r="M6" s="376">
        <f t="shared" si="0"/>
        <v>0</v>
      </c>
      <c r="N6" s="377">
        <f t="shared" si="0"/>
        <v>0</v>
      </c>
      <c r="O6" s="531">
        <f>$B6*(SUMPRODUCT(O$30:O$32,$C$26:$C$28))</f>
        <v>0</v>
      </c>
      <c r="P6" s="361">
        <f t="shared" ref="P6:AE17" si="1">$B6*(SUMPRODUCT(P$30:P$32,$C$26:$C$28))</f>
        <v>0</v>
      </c>
      <c r="Q6" s="361">
        <f t="shared" si="1"/>
        <v>0</v>
      </c>
      <c r="R6" s="361">
        <f t="shared" si="1"/>
        <v>0</v>
      </c>
      <c r="S6" s="361">
        <f t="shared" si="1"/>
        <v>0</v>
      </c>
      <c r="T6" s="361">
        <f t="shared" si="1"/>
        <v>0</v>
      </c>
      <c r="U6" s="361">
        <f t="shared" si="1"/>
        <v>0</v>
      </c>
      <c r="V6" s="361">
        <f t="shared" si="1"/>
        <v>0</v>
      </c>
      <c r="W6" s="361">
        <f t="shared" si="1"/>
        <v>0</v>
      </c>
      <c r="X6" s="361">
        <f t="shared" si="1"/>
        <v>0</v>
      </c>
      <c r="Y6" s="361">
        <f t="shared" si="1"/>
        <v>0</v>
      </c>
      <c r="Z6" s="362">
        <f t="shared" si="1"/>
        <v>0</v>
      </c>
      <c r="AA6" s="375">
        <f>$B6*(SUMPRODUCT(AA$30:AA$32,$C$26:$C$28))</f>
        <v>0</v>
      </c>
      <c r="AB6" s="376">
        <f t="shared" si="1"/>
        <v>0</v>
      </c>
      <c r="AC6" s="376">
        <f t="shared" si="1"/>
        <v>0</v>
      </c>
      <c r="AD6" s="376">
        <f t="shared" si="1"/>
        <v>0</v>
      </c>
      <c r="AE6" s="376">
        <f t="shared" si="1"/>
        <v>0</v>
      </c>
      <c r="AF6" s="376">
        <f t="shared" ref="AA6:AL17" si="2">$B6*(SUMPRODUCT(AF$30:AF$32,$C$26:$C$28))</f>
        <v>0</v>
      </c>
      <c r="AG6" s="376">
        <f t="shared" si="2"/>
        <v>0</v>
      </c>
      <c r="AH6" s="376">
        <f t="shared" si="2"/>
        <v>0</v>
      </c>
      <c r="AI6" s="376">
        <f t="shared" si="2"/>
        <v>0</v>
      </c>
      <c r="AJ6" s="376">
        <f t="shared" si="2"/>
        <v>0</v>
      </c>
      <c r="AK6" s="376">
        <f t="shared" si="2"/>
        <v>0</v>
      </c>
      <c r="AL6" s="377">
        <f t="shared" si="2"/>
        <v>0</v>
      </c>
      <c r="AM6" s="391">
        <f>SUM(C6:N6)</f>
        <v>0</v>
      </c>
      <c r="AN6" s="410">
        <f>SUM(O6:Z6)</f>
        <v>0</v>
      </c>
      <c r="AO6" s="532">
        <f>SUM(AA6:AL6)</f>
        <v>0</v>
      </c>
    </row>
    <row r="7" spans="1:41" x14ac:dyDescent="0.25">
      <c r="A7" s="18">
        <v>44958</v>
      </c>
      <c r="B7" s="97">
        <f>'6. 2023 Installed kWh Savings'!H7</f>
        <v>27445.86</v>
      </c>
      <c r="C7" s="379"/>
      <c r="D7" s="379">
        <f>$B7*(SUMPRODUCT(D$30:D$32,$C$26:$C$28))/2</f>
        <v>1257.2605392749999</v>
      </c>
      <c r="E7" s="379">
        <f t="shared" ref="E7:T17" si="3">$B7*(SUMPRODUCT(E$30:E$32,$C$26:$C$28))</f>
        <v>1893.25659159</v>
      </c>
      <c r="F7" s="379">
        <f t="shared" si="3"/>
        <v>1009.0882116900001</v>
      </c>
      <c r="G7" s="379">
        <f t="shared" si="3"/>
        <v>1132.8827632199998</v>
      </c>
      <c r="H7" s="379">
        <f t="shared" si="3"/>
        <v>2900.1079656900001</v>
      </c>
      <c r="I7" s="379">
        <f t="shared" si="3"/>
        <v>3908.1120659100002</v>
      </c>
      <c r="J7" s="379">
        <f t="shared" si="3"/>
        <v>3715.82637075</v>
      </c>
      <c r="K7" s="379">
        <f t="shared" si="3"/>
        <v>1858.2768430200001</v>
      </c>
      <c r="L7" s="379">
        <f t="shared" si="3"/>
        <v>1007.7296416200001</v>
      </c>
      <c r="M7" s="379">
        <f t="shared" si="3"/>
        <v>1610.2897749900001</v>
      </c>
      <c r="N7" s="380">
        <f t="shared" si="3"/>
        <v>2888.9923923900001</v>
      </c>
      <c r="O7" s="363">
        <f t="shared" si="3"/>
        <v>3006.7763005800002</v>
      </c>
      <c r="P7" s="364">
        <f t="shared" si="3"/>
        <v>2514.5210785499999</v>
      </c>
      <c r="Q7" s="364">
        <f t="shared" si="3"/>
        <v>1893.25659159</v>
      </c>
      <c r="R7" s="364">
        <f t="shared" si="3"/>
        <v>1009.0882116900001</v>
      </c>
      <c r="S7" s="364">
        <f t="shared" si="3"/>
        <v>1132.8827632199998</v>
      </c>
      <c r="T7" s="364">
        <f t="shared" si="3"/>
        <v>2900.1079656900001</v>
      </c>
      <c r="U7" s="364">
        <f t="shared" si="1"/>
        <v>3908.1120659100002</v>
      </c>
      <c r="V7" s="364">
        <f t="shared" si="1"/>
        <v>3715.82637075</v>
      </c>
      <c r="W7" s="364">
        <f t="shared" si="1"/>
        <v>1858.2768430200001</v>
      </c>
      <c r="X7" s="364">
        <f t="shared" si="1"/>
        <v>1007.7296416200001</v>
      </c>
      <c r="Y7" s="364">
        <f t="shared" si="1"/>
        <v>1610.2897749900001</v>
      </c>
      <c r="Z7" s="365">
        <f t="shared" si="1"/>
        <v>2888.9923923900001</v>
      </c>
      <c r="AA7" s="378">
        <f t="shared" si="1"/>
        <v>3006.7763005800002</v>
      </c>
      <c r="AB7" s="379">
        <f t="shared" si="1"/>
        <v>2514.5210785499999</v>
      </c>
      <c r="AC7" s="379">
        <f t="shared" si="1"/>
        <v>1893.25659159</v>
      </c>
      <c r="AD7" s="379">
        <f t="shared" si="1"/>
        <v>1009.0882116900001</v>
      </c>
      <c r="AE7" s="379">
        <f t="shared" si="1"/>
        <v>1132.8827632199998</v>
      </c>
      <c r="AF7" s="379">
        <f t="shared" si="2"/>
        <v>2900.1079656900001</v>
      </c>
      <c r="AG7" s="379">
        <f t="shared" si="2"/>
        <v>3908.1120659100002</v>
      </c>
      <c r="AH7" s="379">
        <f t="shared" si="2"/>
        <v>3715.82637075</v>
      </c>
      <c r="AI7" s="379">
        <f t="shared" si="2"/>
        <v>1858.2768430200001</v>
      </c>
      <c r="AJ7" s="379">
        <f t="shared" si="2"/>
        <v>1007.7296416200001</v>
      </c>
      <c r="AK7" s="379">
        <f t="shared" si="2"/>
        <v>1610.2897749900001</v>
      </c>
      <c r="AL7" s="380">
        <f t="shared" si="2"/>
        <v>2888.9923923900001</v>
      </c>
      <c r="AM7" s="392">
        <f t="shared" ref="AM7:AM17" si="4">SUM(C7:N7)</f>
        <v>23181.823160144999</v>
      </c>
      <c r="AN7" s="399">
        <f t="shared" ref="AN7:AN17" si="5">SUM(O7:Z7)</f>
        <v>27445.86</v>
      </c>
      <c r="AO7" s="533">
        <f t="shared" ref="AO7:AO17" si="6">SUM(AA7:AL7)</f>
        <v>27445.86</v>
      </c>
    </row>
    <row r="8" spans="1:41" x14ac:dyDescent="0.25">
      <c r="A8" s="18">
        <v>44986</v>
      </c>
      <c r="B8" s="97">
        <f>'6. 2023 Installed kWh Savings'!H8</f>
        <v>35979</v>
      </c>
      <c r="C8" s="379"/>
      <c r="D8" s="379"/>
      <c r="E8" s="379">
        <f>$B8*(SUMPRODUCT(E$30:E$32,$C$26:$C$28))/2</f>
        <v>1240.9426942499999</v>
      </c>
      <c r="F8" s="379">
        <f t="shared" ref="F8:N8" si="7">$B8*(SUMPRODUCT(F$30:F$32,$C$26:$C$28))</f>
        <v>1322.8219035</v>
      </c>
      <c r="G8" s="379">
        <f t="shared" si="7"/>
        <v>1485.1051829999999</v>
      </c>
      <c r="H8" s="379">
        <f t="shared" si="7"/>
        <v>3801.7750035000004</v>
      </c>
      <c r="I8" s="379">
        <f t="shared" si="7"/>
        <v>5123.1757365000003</v>
      </c>
      <c r="J8" s="379">
        <f t="shared" si="7"/>
        <v>4871.1068624999998</v>
      </c>
      <c r="K8" s="379">
        <f t="shared" si="7"/>
        <v>2436.0301530000002</v>
      </c>
      <c r="L8" s="379">
        <f t="shared" si="7"/>
        <v>1321.040943</v>
      </c>
      <c r="M8" s="379">
        <f t="shared" si="7"/>
        <v>2110.9418985000002</v>
      </c>
      <c r="N8" s="380">
        <f t="shared" si="7"/>
        <v>3787.2035084999998</v>
      </c>
      <c r="O8" s="363">
        <f t="shared" si="3"/>
        <v>3941.607387</v>
      </c>
      <c r="P8" s="364">
        <f t="shared" si="1"/>
        <v>3296.3060324999997</v>
      </c>
      <c r="Q8" s="364">
        <f t="shared" si="1"/>
        <v>2481.8853884999999</v>
      </c>
      <c r="R8" s="364">
        <f t="shared" si="1"/>
        <v>1322.8219035</v>
      </c>
      <c r="S8" s="364">
        <f t="shared" si="1"/>
        <v>1485.1051829999999</v>
      </c>
      <c r="T8" s="364">
        <f t="shared" si="1"/>
        <v>3801.7750035000004</v>
      </c>
      <c r="U8" s="364">
        <f t="shared" si="1"/>
        <v>5123.1757365000003</v>
      </c>
      <c r="V8" s="364">
        <f t="shared" si="1"/>
        <v>4871.1068624999998</v>
      </c>
      <c r="W8" s="364">
        <f t="shared" si="1"/>
        <v>2436.0301530000002</v>
      </c>
      <c r="X8" s="364">
        <f t="shared" si="1"/>
        <v>1321.040943</v>
      </c>
      <c r="Y8" s="364">
        <f t="shared" si="1"/>
        <v>2110.9418985000002</v>
      </c>
      <c r="Z8" s="365">
        <f t="shared" si="1"/>
        <v>3787.2035084999998</v>
      </c>
      <c r="AA8" s="378">
        <f t="shared" si="2"/>
        <v>3941.607387</v>
      </c>
      <c r="AB8" s="379">
        <f t="shared" si="2"/>
        <v>3296.3060324999997</v>
      </c>
      <c r="AC8" s="379">
        <f t="shared" si="2"/>
        <v>2481.8853884999999</v>
      </c>
      <c r="AD8" s="379">
        <f t="shared" si="2"/>
        <v>1322.8219035</v>
      </c>
      <c r="AE8" s="379">
        <f t="shared" si="2"/>
        <v>1485.1051829999999</v>
      </c>
      <c r="AF8" s="379">
        <f t="shared" si="2"/>
        <v>3801.7750035000004</v>
      </c>
      <c r="AG8" s="379">
        <f t="shared" si="2"/>
        <v>5123.1757365000003</v>
      </c>
      <c r="AH8" s="379">
        <f t="shared" si="2"/>
        <v>4871.1068624999998</v>
      </c>
      <c r="AI8" s="379">
        <f t="shared" si="2"/>
        <v>2436.0301530000002</v>
      </c>
      <c r="AJ8" s="379">
        <f t="shared" si="2"/>
        <v>1321.040943</v>
      </c>
      <c r="AK8" s="379">
        <f t="shared" si="2"/>
        <v>2110.9418985000002</v>
      </c>
      <c r="AL8" s="380">
        <f t="shared" si="2"/>
        <v>3787.2035084999998</v>
      </c>
      <c r="AM8" s="392">
        <f t="shared" si="4"/>
        <v>27500.14388625</v>
      </c>
      <c r="AN8" s="399">
        <f t="shared" si="5"/>
        <v>35979</v>
      </c>
      <c r="AO8" s="533">
        <f t="shared" si="6"/>
        <v>35979</v>
      </c>
    </row>
    <row r="9" spans="1:41" x14ac:dyDescent="0.25">
      <c r="A9" s="18">
        <v>45017</v>
      </c>
      <c r="B9" s="97">
        <f>'6. 2023 Installed kWh Savings'!H9</f>
        <v>105000</v>
      </c>
      <c r="C9" s="379"/>
      <c r="D9" s="379"/>
      <c r="E9" s="379"/>
      <c r="F9" s="379">
        <f>$B9*(SUMPRODUCT(F$30:F$32,$C$26:$C$28))/2</f>
        <v>1930.24125</v>
      </c>
      <c r="G9" s="379">
        <f t="shared" ref="G9:N9" si="8">$B9*(SUMPRODUCT(G$30:G$32,$C$26:$C$28))</f>
        <v>4334.0849999999991</v>
      </c>
      <c r="H9" s="379">
        <f t="shared" si="8"/>
        <v>11094.982500000002</v>
      </c>
      <c r="I9" s="379">
        <f t="shared" si="8"/>
        <v>14951.317500000001</v>
      </c>
      <c r="J9" s="379">
        <f t="shared" si="8"/>
        <v>14215.6875</v>
      </c>
      <c r="K9" s="379">
        <f t="shared" si="8"/>
        <v>7109.2350000000006</v>
      </c>
      <c r="L9" s="379">
        <f t="shared" si="8"/>
        <v>3855.2849999999999</v>
      </c>
      <c r="M9" s="379">
        <f t="shared" si="8"/>
        <v>6160.5074999999997</v>
      </c>
      <c r="N9" s="380">
        <f t="shared" si="8"/>
        <v>11052.457499999999</v>
      </c>
      <c r="O9" s="363">
        <f t="shared" si="3"/>
        <v>11503.065000000001</v>
      </c>
      <c r="P9" s="364">
        <f t="shared" si="1"/>
        <v>9619.8374999999996</v>
      </c>
      <c r="Q9" s="364">
        <f t="shared" si="1"/>
        <v>7243.0574999999999</v>
      </c>
      <c r="R9" s="364">
        <f t="shared" si="1"/>
        <v>3860.4825000000001</v>
      </c>
      <c r="S9" s="364">
        <f t="shared" si="1"/>
        <v>4334.0849999999991</v>
      </c>
      <c r="T9" s="364">
        <f t="shared" si="1"/>
        <v>11094.982500000002</v>
      </c>
      <c r="U9" s="364">
        <f t="shared" si="1"/>
        <v>14951.317500000001</v>
      </c>
      <c r="V9" s="364">
        <f t="shared" si="1"/>
        <v>14215.6875</v>
      </c>
      <c r="W9" s="364">
        <f t="shared" si="1"/>
        <v>7109.2350000000006</v>
      </c>
      <c r="X9" s="364">
        <f t="shared" si="1"/>
        <v>3855.2849999999999</v>
      </c>
      <c r="Y9" s="364">
        <f t="shared" si="1"/>
        <v>6160.5074999999997</v>
      </c>
      <c r="Z9" s="365">
        <f t="shared" si="1"/>
        <v>11052.457499999999</v>
      </c>
      <c r="AA9" s="378">
        <f t="shared" si="2"/>
        <v>11503.065000000001</v>
      </c>
      <c r="AB9" s="379">
        <f t="shared" si="2"/>
        <v>9619.8374999999996</v>
      </c>
      <c r="AC9" s="379">
        <f t="shared" si="2"/>
        <v>7243.0574999999999</v>
      </c>
      <c r="AD9" s="379">
        <f t="shared" si="2"/>
        <v>3860.4825000000001</v>
      </c>
      <c r="AE9" s="379">
        <f t="shared" si="2"/>
        <v>4334.0849999999991</v>
      </c>
      <c r="AF9" s="379">
        <f t="shared" si="2"/>
        <v>11094.982500000002</v>
      </c>
      <c r="AG9" s="379">
        <f t="shared" si="2"/>
        <v>14951.317500000001</v>
      </c>
      <c r="AH9" s="379">
        <f t="shared" si="2"/>
        <v>14215.6875</v>
      </c>
      <c r="AI9" s="379">
        <f t="shared" si="2"/>
        <v>7109.2350000000006</v>
      </c>
      <c r="AJ9" s="379">
        <f t="shared" si="2"/>
        <v>3855.2849999999999</v>
      </c>
      <c r="AK9" s="379">
        <f t="shared" si="2"/>
        <v>6160.5074999999997</v>
      </c>
      <c r="AL9" s="380">
        <f t="shared" si="2"/>
        <v>11052.457499999999</v>
      </c>
      <c r="AM9" s="392">
        <f t="shared" si="4"/>
        <v>74703.798750000002</v>
      </c>
      <c r="AN9" s="399">
        <f t="shared" si="5"/>
        <v>105000.00000000001</v>
      </c>
      <c r="AO9" s="533">
        <f t="shared" si="6"/>
        <v>105000.00000000001</v>
      </c>
    </row>
    <row r="10" spans="1:41" x14ac:dyDescent="0.25">
      <c r="A10" s="18">
        <v>45047</v>
      </c>
      <c r="B10" s="97">
        <f>'6. 2023 Installed kWh Savings'!H10</f>
        <v>126008.38160000001</v>
      </c>
      <c r="C10" s="379"/>
      <c r="D10" s="379"/>
      <c r="E10" s="379"/>
      <c r="F10" s="379"/>
      <c r="G10" s="379">
        <f>$B10*(SUMPRODUCT(G$30:G$32,$C$26:$C$28))/2</f>
        <v>2600.6239836515997</v>
      </c>
      <c r="H10" s="379">
        <f t="shared" ref="H10:N10" si="9">$B10*(SUMPRODUCT(H$30:H$32,$C$26:$C$28))</f>
        <v>13314.864654336403</v>
      </c>
      <c r="I10" s="379">
        <f t="shared" si="9"/>
        <v>17942.774485359601</v>
      </c>
      <c r="J10" s="379">
        <f t="shared" si="9"/>
        <v>17059.95976387</v>
      </c>
      <c r="K10" s="379">
        <f t="shared" si="9"/>
        <v>8531.6494929912005</v>
      </c>
      <c r="L10" s="379">
        <f t="shared" si="9"/>
        <v>4626.6497472072006</v>
      </c>
      <c r="M10" s="379">
        <f t="shared" si="9"/>
        <v>7393.1007610444003</v>
      </c>
      <c r="N10" s="380">
        <f t="shared" si="9"/>
        <v>13263.8312597884</v>
      </c>
      <c r="O10" s="363">
        <f t="shared" si="3"/>
        <v>13804.5962294248</v>
      </c>
      <c r="P10" s="364">
        <f t="shared" si="1"/>
        <v>11544.572901238</v>
      </c>
      <c r="Q10" s="364">
        <f t="shared" si="1"/>
        <v>8692.2471753404006</v>
      </c>
      <c r="R10" s="364">
        <f t="shared" si="1"/>
        <v>4632.8871620964001</v>
      </c>
      <c r="S10" s="364">
        <f t="shared" si="1"/>
        <v>5201.2479673031994</v>
      </c>
      <c r="T10" s="364">
        <f t="shared" si="1"/>
        <v>13314.864654336403</v>
      </c>
      <c r="U10" s="364">
        <f t="shared" si="1"/>
        <v>17942.774485359601</v>
      </c>
      <c r="V10" s="364">
        <f t="shared" si="1"/>
        <v>17059.95976387</v>
      </c>
      <c r="W10" s="364">
        <f t="shared" si="1"/>
        <v>8531.6494929912005</v>
      </c>
      <c r="X10" s="364">
        <f t="shared" si="1"/>
        <v>4626.6497472072006</v>
      </c>
      <c r="Y10" s="364">
        <f t="shared" si="1"/>
        <v>7393.1007610444003</v>
      </c>
      <c r="Z10" s="365">
        <f t="shared" si="1"/>
        <v>13263.8312597884</v>
      </c>
      <c r="AA10" s="378">
        <f t="shared" si="2"/>
        <v>13804.5962294248</v>
      </c>
      <c r="AB10" s="379">
        <f t="shared" si="2"/>
        <v>11544.572901238</v>
      </c>
      <c r="AC10" s="379">
        <f t="shared" si="2"/>
        <v>8692.2471753404006</v>
      </c>
      <c r="AD10" s="379">
        <f t="shared" si="2"/>
        <v>4632.8871620964001</v>
      </c>
      <c r="AE10" s="379">
        <f t="shared" si="2"/>
        <v>5201.2479673031994</v>
      </c>
      <c r="AF10" s="379">
        <f t="shared" si="2"/>
        <v>13314.864654336403</v>
      </c>
      <c r="AG10" s="379">
        <f t="shared" si="2"/>
        <v>17942.774485359601</v>
      </c>
      <c r="AH10" s="379">
        <f t="shared" si="2"/>
        <v>17059.95976387</v>
      </c>
      <c r="AI10" s="379">
        <f t="shared" si="2"/>
        <v>8531.6494929912005</v>
      </c>
      <c r="AJ10" s="379">
        <f t="shared" si="2"/>
        <v>4626.6497472072006</v>
      </c>
      <c r="AK10" s="379">
        <f t="shared" si="2"/>
        <v>7393.1007610444003</v>
      </c>
      <c r="AL10" s="380">
        <f t="shared" si="2"/>
        <v>13263.8312597884</v>
      </c>
      <c r="AM10" s="392">
        <f t="shared" si="4"/>
        <v>84733.454148248798</v>
      </c>
      <c r="AN10" s="399">
        <f t="shared" si="5"/>
        <v>126008.38159999999</v>
      </c>
      <c r="AO10" s="533">
        <f t="shared" si="6"/>
        <v>126008.38159999999</v>
      </c>
    </row>
    <row r="11" spans="1:41" x14ac:dyDescent="0.25">
      <c r="A11" s="18">
        <v>45078</v>
      </c>
      <c r="B11" s="97">
        <f>'6. 2023 Installed kWh Savings'!H11</f>
        <v>0</v>
      </c>
      <c r="C11" s="379"/>
      <c r="D11" s="379"/>
      <c r="E11" s="379"/>
      <c r="F11" s="379"/>
      <c r="G11" s="379"/>
      <c r="H11" s="379">
        <f>$B11*(SUMPRODUCT(H$30:H$32,$C$26:$C$28))/2</f>
        <v>0</v>
      </c>
      <c r="I11" s="379">
        <f t="shared" ref="I11:N11" si="10">$B11*(SUMPRODUCT(I$30:I$32,$C$26:$C$28))</f>
        <v>0</v>
      </c>
      <c r="J11" s="379">
        <f t="shared" si="10"/>
        <v>0</v>
      </c>
      <c r="K11" s="379">
        <f t="shared" si="10"/>
        <v>0</v>
      </c>
      <c r="L11" s="379">
        <f t="shared" si="10"/>
        <v>0</v>
      </c>
      <c r="M11" s="379">
        <f t="shared" si="10"/>
        <v>0</v>
      </c>
      <c r="N11" s="380">
        <f t="shared" si="10"/>
        <v>0</v>
      </c>
      <c r="O11" s="363">
        <f t="shared" si="3"/>
        <v>0</v>
      </c>
      <c r="P11" s="364">
        <f t="shared" si="1"/>
        <v>0</v>
      </c>
      <c r="Q11" s="364">
        <f t="shared" si="1"/>
        <v>0</v>
      </c>
      <c r="R11" s="364">
        <f t="shared" si="1"/>
        <v>0</v>
      </c>
      <c r="S11" s="364">
        <f t="shared" si="1"/>
        <v>0</v>
      </c>
      <c r="T11" s="364">
        <f t="shared" si="1"/>
        <v>0</v>
      </c>
      <c r="U11" s="364">
        <f t="shared" si="1"/>
        <v>0</v>
      </c>
      <c r="V11" s="364">
        <f t="shared" si="1"/>
        <v>0</v>
      </c>
      <c r="W11" s="364">
        <f t="shared" si="1"/>
        <v>0</v>
      </c>
      <c r="X11" s="364">
        <f t="shared" si="1"/>
        <v>0</v>
      </c>
      <c r="Y11" s="364">
        <f t="shared" si="1"/>
        <v>0</v>
      </c>
      <c r="Z11" s="365">
        <f t="shared" si="1"/>
        <v>0</v>
      </c>
      <c r="AA11" s="378">
        <f t="shared" si="2"/>
        <v>0</v>
      </c>
      <c r="AB11" s="379">
        <f t="shared" si="2"/>
        <v>0</v>
      </c>
      <c r="AC11" s="379">
        <f t="shared" si="2"/>
        <v>0</v>
      </c>
      <c r="AD11" s="379">
        <f t="shared" si="2"/>
        <v>0</v>
      </c>
      <c r="AE11" s="379">
        <f t="shared" si="2"/>
        <v>0</v>
      </c>
      <c r="AF11" s="379">
        <f t="shared" si="2"/>
        <v>0</v>
      </c>
      <c r="AG11" s="379">
        <f t="shared" si="2"/>
        <v>0</v>
      </c>
      <c r="AH11" s="379">
        <f t="shared" si="2"/>
        <v>0</v>
      </c>
      <c r="AI11" s="379">
        <f t="shared" si="2"/>
        <v>0</v>
      </c>
      <c r="AJ11" s="379">
        <f t="shared" si="2"/>
        <v>0</v>
      </c>
      <c r="AK11" s="379">
        <f t="shared" si="2"/>
        <v>0</v>
      </c>
      <c r="AL11" s="380">
        <f t="shared" si="2"/>
        <v>0</v>
      </c>
      <c r="AM11" s="392">
        <f t="shared" si="4"/>
        <v>0</v>
      </c>
      <c r="AN11" s="399">
        <f t="shared" si="5"/>
        <v>0</v>
      </c>
      <c r="AO11" s="533">
        <f t="shared" si="6"/>
        <v>0</v>
      </c>
    </row>
    <row r="12" spans="1:41" x14ac:dyDescent="0.25">
      <c r="A12" s="18">
        <v>45108</v>
      </c>
      <c r="B12" s="97">
        <f>'6. 2023 Installed kWh Savings'!H12</f>
        <v>0</v>
      </c>
      <c r="C12" s="379"/>
      <c r="D12" s="379"/>
      <c r="E12" s="379"/>
      <c r="F12" s="379"/>
      <c r="G12" s="379"/>
      <c r="H12" s="379"/>
      <c r="I12" s="379">
        <f>$B12*(SUMPRODUCT(I$30:I$32,$C$26:$C$28))/2</f>
        <v>0</v>
      </c>
      <c r="J12" s="379">
        <f>$B12*(SUMPRODUCT(J$30:J$32,$C$26:$C$28))</f>
        <v>0</v>
      </c>
      <c r="K12" s="379">
        <f>$B12*(SUMPRODUCT(K$30:K$32,$C$26:$C$28))</f>
        <v>0</v>
      </c>
      <c r="L12" s="379">
        <f>$B12*(SUMPRODUCT(L$30:L$32,$C$26:$C$28))</f>
        <v>0</v>
      </c>
      <c r="M12" s="379">
        <f>$B12*(SUMPRODUCT(M$30:M$32,$C$26:$C$28))</f>
        <v>0</v>
      </c>
      <c r="N12" s="380">
        <f>$B12*(SUMPRODUCT(N$30:N$32,$C$26:$C$28))</f>
        <v>0</v>
      </c>
      <c r="O12" s="363">
        <f t="shared" si="3"/>
        <v>0</v>
      </c>
      <c r="P12" s="364">
        <f t="shared" si="1"/>
        <v>0</v>
      </c>
      <c r="Q12" s="364">
        <f t="shared" si="1"/>
        <v>0</v>
      </c>
      <c r="R12" s="364">
        <f t="shared" si="1"/>
        <v>0</v>
      </c>
      <c r="S12" s="364">
        <f t="shared" si="1"/>
        <v>0</v>
      </c>
      <c r="T12" s="364">
        <f t="shared" si="1"/>
        <v>0</v>
      </c>
      <c r="U12" s="364">
        <f t="shared" si="1"/>
        <v>0</v>
      </c>
      <c r="V12" s="364">
        <f t="shared" si="1"/>
        <v>0</v>
      </c>
      <c r="W12" s="364">
        <f t="shared" si="1"/>
        <v>0</v>
      </c>
      <c r="X12" s="364">
        <f t="shared" si="1"/>
        <v>0</v>
      </c>
      <c r="Y12" s="364">
        <f t="shared" si="1"/>
        <v>0</v>
      </c>
      <c r="Z12" s="365">
        <f t="shared" si="1"/>
        <v>0</v>
      </c>
      <c r="AA12" s="378">
        <f t="shared" si="2"/>
        <v>0</v>
      </c>
      <c r="AB12" s="379">
        <f t="shared" si="2"/>
        <v>0</v>
      </c>
      <c r="AC12" s="379">
        <f t="shared" si="2"/>
        <v>0</v>
      </c>
      <c r="AD12" s="379">
        <f t="shared" si="2"/>
        <v>0</v>
      </c>
      <c r="AE12" s="379">
        <f t="shared" si="2"/>
        <v>0</v>
      </c>
      <c r="AF12" s="379">
        <f t="shared" si="2"/>
        <v>0</v>
      </c>
      <c r="AG12" s="379">
        <f t="shared" si="2"/>
        <v>0</v>
      </c>
      <c r="AH12" s="379">
        <f t="shared" si="2"/>
        <v>0</v>
      </c>
      <c r="AI12" s="379">
        <f t="shared" si="2"/>
        <v>0</v>
      </c>
      <c r="AJ12" s="379">
        <f t="shared" si="2"/>
        <v>0</v>
      </c>
      <c r="AK12" s="379">
        <f t="shared" si="2"/>
        <v>0</v>
      </c>
      <c r="AL12" s="380">
        <f t="shared" si="2"/>
        <v>0</v>
      </c>
      <c r="AM12" s="392">
        <f t="shared" si="4"/>
        <v>0</v>
      </c>
      <c r="AN12" s="399">
        <f t="shared" si="5"/>
        <v>0</v>
      </c>
      <c r="AO12" s="533">
        <f t="shared" si="6"/>
        <v>0</v>
      </c>
    </row>
    <row r="13" spans="1:41" x14ac:dyDescent="0.25">
      <c r="A13" s="18">
        <v>45139</v>
      </c>
      <c r="B13" s="97">
        <f>'6. 2023 Installed kWh Savings'!H13</f>
        <v>0</v>
      </c>
      <c r="C13" s="379"/>
      <c r="D13" s="379"/>
      <c r="E13" s="379"/>
      <c r="F13" s="379"/>
      <c r="G13" s="379"/>
      <c r="H13" s="379"/>
      <c r="I13" s="379"/>
      <c r="J13" s="379">
        <f>$B13*(SUMPRODUCT(J$30:J$32,$C$26:$C$28))/2</f>
        <v>0</v>
      </c>
      <c r="K13" s="379">
        <f>$B13*(SUMPRODUCT(K$30:K$32,$C$26:$C$28))</f>
        <v>0</v>
      </c>
      <c r="L13" s="379">
        <f>$B13*(SUMPRODUCT(L$30:L$32,$C$26:$C$28))</f>
        <v>0</v>
      </c>
      <c r="M13" s="379">
        <f>$B13*(SUMPRODUCT(M$30:M$32,$C$26:$C$28))</f>
        <v>0</v>
      </c>
      <c r="N13" s="380">
        <f>$B13*(SUMPRODUCT(N$30:N$32,$C$26:$C$28))</f>
        <v>0</v>
      </c>
      <c r="O13" s="363">
        <f t="shared" si="3"/>
        <v>0</v>
      </c>
      <c r="P13" s="364">
        <f t="shared" si="1"/>
        <v>0</v>
      </c>
      <c r="Q13" s="364">
        <f t="shared" si="1"/>
        <v>0</v>
      </c>
      <c r="R13" s="364">
        <f t="shared" si="1"/>
        <v>0</v>
      </c>
      <c r="S13" s="364">
        <f t="shared" si="1"/>
        <v>0</v>
      </c>
      <c r="T13" s="364">
        <f t="shared" si="1"/>
        <v>0</v>
      </c>
      <c r="U13" s="364">
        <f t="shared" si="1"/>
        <v>0</v>
      </c>
      <c r="V13" s="364">
        <f t="shared" si="1"/>
        <v>0</v>
      </c>
      <c r="W13" s="364">
        <f t="shared" si="1"/>
        <v>0</v>
      </c>
      <c r="X13" s="364">
        <f t="shared" si="1"/>
        <v>0</v>
      </c>
      <c r="Y13" s="364">
        <f t="shared" si="1"/>
        <v>0</v>
      </c>
      <c r="Z13" s="365">
        <f t="shared" si="1"/>
        <v>0</v>
      </c>
      <c r="AA13" s="378">
        <f t="shared" si="2"/>
        <v>0</v>
      </c>
      <c r="AB13" s="379">
        <f t="shared" si="2"/>
        <v>0</v>
      </c>
      <c r="AC13" s="379">
        <f t="shared" si="2"/>
        <v>0</v>
      </c>
      <c r="AD13" s="379">
        <f t="shared" si="2"/>
        <v>0</v>
      </c>
      <c r="AE13" s="379">
        <f t="shared" si="2"/>
        <v>0</v>
      </c>
      <c r="AF13" s="379">
        <f t="shared" si="2"/>
        <v>0</v>
      </c>
      <c r="AG13" s="379">
        <f t="shared" si="2"/>
        <v>0</v>
      </c>
      <c r="AH13" s="379">
        <f t="shared" si="2"/>
        <v>0</v>
      </c>
      <c r="AI13" s="379">
        <f t="shared" si="2"/>
        <v>0</v>
      </c>
      <c r="AJ13" s="379">
        <f t="shared" si="2"/>
        <v>0</v>
      </c>
      <c r="AK13" s="379">
        <f t="shared" si="2"/>
        <v>0</v>
      </c>
      <c r="AL13" s="380">
        <f t="shared" si="2"/>
        <v>0</v>
      </c>
      <c r="AM13" s="392">
        <f t="shared" si="4"/>
        <v>0</v>
      </c>
      <c r="AN13" s="399">
        <f t="shared" si="5"/>
        <v>0</v>
      </c>
      <c r="AO13" s="533">
        <f t="shared" si="6"/>
        <v>0</v>
      </c>
    </row>
    <row r="14" spans="1:41" x14ac:dyDescent="0.25">
      <c r="A14" s="18">
        <v>45170</v>
      </c>
      <c r="B14" s="97">
        <f>'6. 2023 Installed kWh Savings'!H14</f>
        <v>56081.119399999996</v>
      </c>
      <c r="C14" s="379"/>
      <c r="D14" s="379"/>
      <c r="E14" s="379"/>
      <c r="F14" s="379"/>
      <c r="G14" s="379"/>
      <c r="H14" s="379"/>
      <c r="I14" s="379"/>
      <c r="J14" s="379"/>
      <c r="K14" s="379">
        <f>$B14*(SUMPRODUCT(K$30:K$32,$C$26:$C$28))/2</f>
        <v>1898.5421756078999</v>
      </c>
      <c r="L14" s="379">
        <f>$B14*(SUMPRODUCT(L$30:L$32,$C$26:$C$28))</f>
        <v>2059.1304610098</v>
      </c>
      <c r="M14" s="379">
        <f>$B14*(SUMPRODUCT(M$30:M$32,$C$26:$C$28))</f>
        <v>3290.3633968771001</v>
      </c>
      <c r="N14" s="380">
        <f>$B14*(SUMPRODUCT(N$30:N$32,$C$26:$C$28))</f>
        <v>5903.1827497230988</v>
      </c>
      <c r="O14" s="363">
        <f t="shared" si="3"/>
        <v>6143.8548736281991</v>
      </c>
      <c r="P14" s="364">
        <f t="shared" si="1"/>
        <v>5138.0119566294989</v>
      </c>
      <c r="Q14" s="364">
        <f t="shared" si="1"/>
        <v>3868.5597378910998</v>
      </c>
      <c r="R14" s="364">
        <f t="shared" si="1"/>
        <v>2061.9064764200998</v>
      </c>
      <c r="S14" s="364">
        <f t="shared" si="1"/>
        <v>2314.8603654737994</v>
      </c>
      <c r="T14" s="364">
        <f t="shared" si="1"/>
        <v>5925.8956030801</v>
      </c>
      <c r="U14" s="364">
        <f t="shared" si="1"/>
        <v>7985.5868752838996</v>
      </c>
      <c r="V14" s="364">
        <f t="shared" si="1"/>
        <v>7592.6825527674991</v>
      </c>
      <c r="W14" s="364">
        <f t="shared" si="1"/>
        <v>3797.0843512157999</v>
      </c>
      <c r="X14" s="364">
        <f t="shared" si="1"/>
        <v>2059.1304610098</v>
      </c>
      <c r="Y14" s="364">
        <f t="shared" si="1"/>
        <v>3290.3633968771001</v>
      </c>
      <c r="Z14" s="365">
        <f t="shared" si="1"/>
        <v>5903.1827497230988</v>
      </c>
      <c r="AA14" s="378">
        <f t="shared" si="2"/>
        <v>6143.8548736281991</v>
      </c>
      <c r="AB14" s="379">
        <f t="shared" si="2"/>
        <v>5138.0119566294989</v>
      </c>
      <c r="AC14" s="379">
        <f t="shared" si="2"/>
        <v>3868.5597378910998</v>
      </c>
      <c r="AD14" s="379">
        <f t="shared" si="2"/>
        <v>2061.9064764200998</v>
      </c>
      <c r="AE14" s="379">
        <f t="shared" si="2"/>
        <v>2314.8603654737994</v>
      </c>
      <c r="AF14" s="379">
        <f t="shared" si="2"/>
        <v>5925.8956030801</v>
      </c>
      <c r="AG14" s="379">
        <f t="shared" si="2"/>
        <v>7985.5868752838996</v>
      </c>
      <c r="AH14" s="379">
        <f t="shared" si="2"/>
        <v>7592.6825527674991</v>
      </c>
      <c r="AI14" s="379">
        <f t="shared" si="2"/>
        <v>3797.0843512157999</v>
      </c>
      <c r="AJ14" s="379">
        <f t="shared" si="2"/>
        <v>2059.1304610098</v>
      </c>
      <c r="AK14" s="379">
        <f t="shared" si="2"/>
        <v>3290.3633968771001</v>
      </c>
      <c r="AL14" s="380">
        <f t="shared" si="2"/>
        <v>5903.1827497230988</v>
      </c>
      <c r="AM14" s="392">
        <f t="shared" si="4"/>
        <v>13151.218783217899</v>
      </c>
      <c r="AN14" s="399">
        <f t="shared" si="5"/>
        <v>56081.119400000011</v>
      </c>
      <c r="AO14" s="533">
        <f t="shared" si="6"/>
        <v>56081.119400000011</v>
      </c>
    </row>
    <row r="15" spans="1:41" x14ac:dyDescent="0.25">
      <c r="A15" s="18">
        <v>45200</v>
      </c>
      <c r="B15" s="97">
        <f>'6. 2023 Installed kWh Savings'!H15</f>
        <v>146886.478</v>
      </c>
      <c r="C15" s="379"/>
      <c r="D15" s="379"/>
      <c r="E15" s="379"/>
      <c r="F15" s="379"/>
      <c r="G15" s="379"/>
      <c r="H15" s="379"/>
      <c r="I15" s="379"/>
      <c r="J15" s="379"/>
      <c r="K15" s="379"/>
      <c r="L15" s="379">
        <f>$B15*(SUMPRODUCT(L$30:L$32,$C$26:$C$28))/2</f>
        <v>2696.6154063630001</v>
      </c>
      <c r="M15" s="379">
        <f>$B15*(SUMPRODUCT(M$30:M$32,$C$26:$C$28))</f>
        <v>8618.0499939769998</v>
      </c>
      <c r="N15" s="380">
        <f>$B15*(SUMPRODUCT(N$30:N$32,$C$26:$C$28))</f>
        <v>15461.491003997</v>
      </c>
      <c r="O15" s="363">
        <f t="shared" si="3"/>
        <v>16091.854324333999</v>
      </c>
      <c r="P15" s="364">
        <f t="shared" si="1"/>
        <v>13457.371898164998</v>
      </c>
      <c r="Q15" s="364">
        <f t="shared" si="1"/>
        <v>10132.449582157</v>
      </c>
      <c r="R15" s="364">
        <f t="shared" si="1"/>
        <v>5400.5016933870002</v>
      </c>
      <c r="S15" s="364">
        <f t="shared" si="1"/>
        <v>6063.0331524059993</v>
      </c>
      <c r="T15" s="364">
        <f t="shared" si="1"/>
        <v>15520.980027587002</v>
      </c>
      <c r="U15" s="364">
        <f t="shared" si="1"/>
        <v>20915.679705093</v>
      </c>
      <c r="V15" s="364">
        <f t="shared" si="1"/>
        <v>19886.593040224998</v>
      </c>
      <c r="W15" s="364">
        <f t="shared" si="1"/>
        <v>9945.2427659460009</v>
      </c>
      <c r="X15" s="364">
        <f t="shared" si="1"/>
        <v>5393.2308127260003</v>
      </c>
      <c r="Y15" s="364">
        <f t="shared" si="1"/>
        <v>8618.0499939769998</v>
      </c>
      <c r="Z15" s="365">
        <f t="shared" si="1"/>
        <v>15461.491003997</v>
      </c>
      <c r="AA15" s="378">
        <f t="shared" si="2"/>
        <v>16091.854324333999</v>
      </c>
      <c r="AB15" s="379">
        <f t="shared" si="2"/>
        <v>13457.371898164998</v>
      </c>
      <c r="AC15" s="379">
        <f t="shared" si="2"/>
        <v>10132.449582157</v>
      </c>
      <c r="AD15" s="379">
        <f t="shared" si="2"/>
        <v>5400.5016933870002</v>
      </c>
      <c r="AE15" s="379">
        <f t="shared" si="2"/>
        <v>6063.0331524059993</v>
      </c>
      <c r="AF15" s="379">
        <f t="shared" si="2"/>
        <v>15520.980027587002</v>
      </c>
      <c r="AG15" s="379">
        <f t="shared" si="2"/>
        <v>20915.679705093</v>
      </c>
      <c r="AH15" s="379">
        <f t="shared" si="2"/>
        <v>19886.593040224998</v>
      </c>
      <c r="AI15" s="379">
        <f t="shared" si="2"/>
        <v>9945.2427659460009</v>
      </c>
      <c r="AJ15" s="379">
        <f t="shared" si="2"/>
        <v>5393.2308127260003</v>
      </c>
      <c r="AK15" s="379">
        <f t="shared" si="2"/>
        <v>8618.0499939769998</v>
      </c>
      <c r="AL15" s="380">
        <f t="shared" si="2"/>
        <v>15461.491003997</v>
      </c>
      <c r="AM15" s="392">
        <f t="shared" si="4"/>
        <v>26776.156404337002</v>
      </c>
      <c r="AN15" s="399">
        <f t="shared" si="5"/>
        <v>146886.478</v>
      </c>
      <c r="AO15" s="533">
        <f t="shared" si="6"/>
        <v>146886.478</v>
      </c>
    </row>
    <row r="16" spans="1:41" x14ac:dyDescent="0.25">
      <c r="A16" s="18">
        <v>45231</v>
      </c>
      <c r="B16" s="97">
        <f>'6. 2023 Installed kWh Savings'!H16</f>
        <v>54172.656399999993</v>
      </c>
      <c r="C16" s="379"/>
      <c r="D16" s="379"/>
      <c r="E16" s="379"/>
      <c r="F16" s="379"/>
      <c r="G16" s="379"/>
      <c r="H16" s="379"/>
      <c r="I16" s="379"/>
      <c r="J16" s="379"/>
      <c r="K16" s="379"/>
      <c r="L16" s="379"/>
      <c r="M16" s="379">
        <f>$B16*(SUMPRODUCT(M$30:M$32,$C$26:$C$28))/2</f>
        <v>1589.1955049862997</v>
      </c>
      <c r="N16" s="380">
        <f>$B16*(SUMPRODUCT(N$30:N$32,$C$26:$C$28))</f>
        <v>5702.2950716485993</v>
      </c>
      <c r="O16" s="363">
        <f t="shared" si="3"/>
        <v>5934.7770265891986</v>
      </c>
      <c r="P16" s="364">
        <f t="shared" si="1"/>
        <v>4963.1633477269988</v>
      </c>
      <c r="Q16" s="364">
        <f t="shared" si="1"/>
        <v>3736.9110974565997</v>
      </c>
      <c r="R16" s="364">
        <f t="shared" si="1"/>
        <v>1991.7389715305997</v>
      </c>
      <c r="S16" s="364">
        <f t="shared" si="1"/>
        <v>2236.0847382227994</v>
      </c>
      <c r="T16" s="364">
        <f t="shared" si="1"/>
        <v>5724.2349974906001</v>
      </c>
      <c r="U16" s="364">
        <f t="shared" si="1"/>
        <v>7713.834149093399</v>
      </c>
      <c r="V16" s="364">
        <f t="shared" si="1"/>
        <v>7334.3005183549985</v>
      </c>
      <c r="W16" s="364">
        <f t="shared" si="1"/>
        <v>3667.8680468747998</v>
      </c>
      <c r="X16" s="364">
        <f t="shared" si="1"/>
        <v>1989.0574250387997</v>
      </c>
      <c r="Y16" s="364">
        <f t="shared" si="1"/>
        <v>3178.3910099725995</v>
      </c>
      <c r="Z16" s="365">
        <f t="shared" si="1"/>
        <v>5702.2950716485993</v>
      </c>
      <c r="AA16" s="378">
        <f t="shared" si="2"/>
        <v>5934.7770265891986</v>
      </c>
      <c r="AB16" s="379">
        <f t="shared" si="2"/>
        <v>4963.1633477269988</v>
      </c>
      <c r="AC16" s="379">
        <f t="shared" si="2"/>
        <v>3736.9110974565997</v>
      </c>
      <c r="AD16" s="379">
        <f t="shared" si="2"/>
        <v>1991.7389715305997</v>
      </c>
      <c r="AE16" s="379">
        <f t="shared" si="2"/>
        <v>2236.0847382227994</v>
      </c>
      <c r="AF16" s="379">
        <f t="shared" si="2"/>
        <v>5724.2349974906001</v>
      </c>
      <c r="AG16" s="379">
        <f t="shared" si="2"/>
        <v>7713.834149093399</v>
      </c>
      <c r="AH16" s="379">
        <f t="shared" si="2"/>
        <v>7334.3005183549985</v>
      </c>
      <c r="AI16" s="379">
        <f t="shared" si="2"/>
        <v>3667.8680468747998</v>
      </c>
      <c r="AJ16" s="379">
        <f t="shared" si="2"/>
        <v>1989.0574250387997</v>
      </c>
      <c r="AK16" s="379">
        <f t="shared" si="2"/>
        <v>3178.3910099725995</v>
      </c>
      <c r="AL16" s="380">
        <f t="shared" si="2"/>
        <v>5702.2950716485993</v>
      </c>
      <c r="AM16" s="392">
        <f t="shared" si="4"/>
        <v>7291.4905766348993</v>
      </c>
      <c r="AN16" s="399">
        <f t="shared" si="5"/>
        <v>54172.656399999993</v>
      </c>
      <c r="AO16" s="533">
        <f t="shared" si="6"/>
        <v>54172.656399999993</v>
      </c>
    </row>
    <row r="17" spans="1:41" x14ac:dyDescent="0.25">
      <c r="A17" s="18">
        <v>45261</v>
      </c>
      <c r="B17" s="98">
        <f>'6. 2023 Installed kWh Savings'!H17</f>
        <v>463825.88814000011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80">
        <f>$B17*(SUMPRODUCT(N$30:N$32,$C$26:$C$28))/2</f>
        <v>24411.50436222431</v>
      </c>
      <c r="O17" s="363">
        <f t="shared" si="3"/>
        <v>50813.517523401431</v>
      </c>
      <c r="P17" s="364">
        <f t="shared" si="1"/>
        <v>42494.568306666457</v>
      </c>
      <c r="Q17" s="364">
        <f t="shared" si="1"/>
        <v>31995.40550272942</v>
      </c>
      <c r="R17" s="364">
        <f t="shared" si="1"/>
        <v>17053.254516299316</v>
      </c>
      <c r="S17" s="364">
        <f t="shared" si="1"/>
        <v>19145.341184754783</v>
      </c>
      <c r="T17" s="364">
        <f t="shared" si="1"/>
        <v>49010.858209145328</v>
      </c>
      <c r="U17" s="364">
        <f t="shared" si="1"/>
        <v>66045.791602863115</v>
      </c>
      <c r="V17" s="364">
        <f t="shared" si="1"/>
        <v>62796.22743055426</v>
      </c>
      <c r="W17" s="364">
        <f t="shared" si="1"/>
        <v>31404.259408294991</v>
      </c>
      <c r="X17" s="364">
        <f t="shared" si="1"/>
        <v>17030.295134836382</v>
      </c>
      <c r="Y17" s="364">
        <f t="shared" si="1"/>
        <v>27213.360596006016</v>
      </c>
      <c r="Z17" s="365">
        <f t="shared" si="1"/>
        <v>48823.00872444862</v>
      </c>
      <c r="AA17" s="378">
        <f t="shared" si="2"/>
        <v>50813.517523401431</v>
      </c>
      <c r="AB17" s="379">
        <f t="shared" si="2"/>
        <v>42494.568306666457</v>
      </c>
      <c r="AC17" s="379">
        <f t="shared" si="2"/>
        <v>31995.40550272942</v>
      </c>
      <c r="AD17" s="379">
        <f t="shared" si="2"/>
        <v>17053.254516299316</v>
      </c>
      <c r="AE17" s="379">
        <f t="shared" si="2"/>
        <v>19145.341184754783</v>
      </c>
      <c r="AF17" s="379">
        <f t="shared" si="2"/>
        <v>49010.858209145328</v>
      </c>
      <c r="AG17" s="379">
        <f t="shared" si="2"/>
        <v>66045.791602863115</v>
      </c>
      <c r="AH17" s="379">
        <f t="shared" si="2"/>
        <v>62796.22743055426</v>
      </c>
      <c r="AI17" s="379">
        <f t="shared" si="2"/>
        <v>31404.259408294991</v>
      </c>
      <c r="AJ17" s="379">
        <f t="shared" si="2"/>
        <v>17030.295134836382</v>
      </c>
      <c r="AK17" s="379">
        <f t="shared" si="2"/>
        <v>27213.360596006016</v>
      </c>
      <c r="AL17" s="380">
        <f t="shared" si="2"/>
        <v>48823.00872444862</v>
      </c>
      <c r="AM17" s="392">
        <f t="shared" si="4"/>
        <v>24411.50436222431</v>
      </c>
      <c r="AN17" s="399">
        <f t="shared" si="5"/>
        <v>463825.88814000017</v>
      </c>
      <c r="AO17" s="533">
        <f t="shared" si="6"/>
        <v>463825.88814000017</v>
      </c>
    </row>
    <row r="18" spans="1:41" x14ac:dyDescent="0.25">
      <c r="A18" s="18"/>
      <c r="B18" s="20"/>
      <c r="C18" s="378"/>
      <c r="D18" s="379"/>
      <c r="E18" s="379"/>
      <c r="F18" s="379"/>
      <c r="G18" s="379"/>
      <c r="H18" s="379"/>
      <c r="I18" s="379"/>
      <c r="J18" s="379"/>
      <c r="K18" s="379"/>
      <c r="L18" s="379"/>
      <c r="M18" s="379"/>
      <c r="N18" s="380"/>
      <c r="O18" s="363"/>
      <c r="P18" s="364"/>
      <c r="Q18" s="364"/>
      <c r="R18" s="364"/>
      <c r="S18" s="364"/>
      <c r="T18" s="364"/>
      <c r="U18" s="364"/>
      <c r="V18" s="364"/>
      <c r="W18" s="364"/>
      <c r="X18" s="364"/>
      <c r="Y18" s="364"/>
      <c r="Z18" s="365"/>
      <c r="AA18" s="378"/>
      <c r="AB18" s="379"/>
      <c r="AC18" s="379"/>
      <c r="AD18" s="379"/>
      <c r="AE18" s="379"/>
      <c r="AF18" s="379"/>
      <c r="AG18" s="379"/>
      <c r="AH18" s="379"/>
      <c r="AI18" s="379"/>
      <c r="AJ18" s="379"/>
      <c r="AK18" s="379"/>
      <c r="AL18" s="380"/>
      <c r="AM18" s="392"/>
      <c r="AN18" s="399"/>
      <c r="AO18" s="534"/>
    </row>
    <row r="19" spans="1:41" x14ac:dyDescent="0.25">
      <c r="A19" s="88" t="s">
        <v>34</v>
      </c>
      <c r="B19" s="20">
        <f>SUM(B6:B17)</f>
        <v>1015399.3835400001</v>
      </c>
      <c r="C19" s="425">
        <f t="shared" ref="C19:N19" si="11">SUM(C6:C17)</f>
        <v>0</v>
      </c>
      <c r="D19" s="426">
        <f t="shared" si="11"/>
        <v>1257.2605392749999</v>
      </c>
      <c r="E19" s="426">
        <f t="shared" si="11"/>
        <v>3134.1992858399999</v>
      </c>
      <c r="F19" s="426">
        <f t="shared" si="11"/>
        <v>4262.1513651900004</v>
      </c>
      <c r="G19" s="426">
        <f t="shared" si="11"/>
        <v>9552.6969298715994</v>
      </c>
      <c r="H19" s="426">
        <f t="shared" si="11"/>
        <v>31111.730123526402</v>
      </c>
      <c r="I19" s="426">
        <f t="shared" si="11"/>
        <v>41925.379787769605</v>
      </c>
      <c r="J19" s="426">
        <f t="shared" si="11"/>
        <v>39862.580497119998</v>
      </c>
      <c r="K19" s="426">
        <f t="shared" si="11"/>
        <v>21833.733664619103</v>
      </c>
      <c r="L19" s="426">
        <f t="shared" si="11"/>
        <v>15566.451199200001</v>
      </c>
      <c r="M19" s="426">
        <f t="shared" si="11"/>
        <v>30772.448830374797</v>
      </c>
      <c r="N19" s="427">
        <f t="shared" si="11"/>
        <v>82470.957848271413</v>
      </c>
      <c r="O19" s="447">
        <f t="shared" ref="O19:AN19" si="12">SUM(O6:O17)</f>
        <v>111240.04866495763</v>
      </c>
      <c r="P19" s="448">
        <f t="shared" si="12"/>
        <v>93028.353021475952</v>
      </c>
      <c r="Q19" s="448">
        <f t="shared" si="12"/>
        <v>70043.772575664523</v>
      </c>
      <c r="R19" s="448">
        <f t="shared" si="12"/>
        <v>37332.681434923412</v>
      </c>
      <c r="S19" s="448">
        <f t="shared" si="12"/>
        <v>41912.640354380579</v>
      </c>
      <c r="T19" s="448">
        <f t="shared" si="12"/>
        <v>107293.69896082944</v>
      </c>
      <c r="U19" s="448">
        <f t="shared" si="12"/>
        <v>144586.27212010301</v>
      </c>
      <c r="V19" s="448">
        <f t="shared" si="12"/>
        <v>137472.38403902174</v>
      </c>
      <c r="W19" s="448">
        <f t="shared" si="12"/>
        <v>68749.646061342792</v>
      </c>
      <c r="X19" s="448">
        <f t="shared" si="12"/>
        <v>37282.419165438179</v>
      </c>
      <c r="Y19" s="448">
        <f t="shared" si="12"/>
        <v>59575.004931367112</v>
      </c>
      <c r="Z19" s="449">
        <f t="shared" si="12"/>
        <v>106882.46221049572</v>
      </c>
      <c r="AA19" s="425">
        <f t="shared" ref="AA19:AL19" si="13">SUM(AA6:AA17)</f>
        <v>111240.04866495763</v>
      </c>
      <c r="AB19" s="426">
        <f t="shared" si="13"/>
        <v>93028.353021475952</v>
      </c>
      <c r="AC19" s="426">
        <f t="shared" si="13"/>
        <v>70043.772575664523</v>
      </c>
      <c r="AD19" s="426">
        <f t="shared" si="13"/>
        <v>37332.681434923412</v>
      </c>
      <c r="AE19" s="426">
        <f t="shared" si="13"/>
        <v>41912.640354380579</v>
      </c>
      <c r="AF19" s="426">
        <f t="shared" si="13"/>
        <v>107293.69896082944</v>
      </c>
      <c r="AG19" s="426">
        <f t="shared" si="13"/>
        <v>144586.27212010301</v>
      </c>
      <c r="AH19" s="426">
        <f t="shared" si="13"/>
        <v>137472.38403902174</v>
      </c>
      <c r="AI19" s="426">
        <f t="shared" si="13"/>
        <v>68749.646061342792</v>
      </c>
      <c r="AJ19" s="426">
        <f t="shared" si="13"/>
        <v>37282.419165438179</v>
      </c>
      <c r="AK19" s="426">
        <f t="shared" si="13"/>
        <v>59575.004931367112</v>
      </c>
      <c r="AL19" s="427">
        <f t="shared" si="13"/>
        <v>106882.46221049572</v>
      </c>
      <c r="AM19" s="397">
        <f t="shared" si="12"/>
        <v>281749.5900710579</v>
      </c>
      <c r="AN19" s="398">
        <f t="shared" si="12"/>
        <v>1015399.3835400002</v>
      </c>
      <c r="AO19" s="535">
        <f t="shared" ref="AO19" si="14">SUM(AO6:AO17)</f>
        <v>1015399.3835400002</v>
      </c>
    </row>
    <row r="20" spans="1:41" x14ac:dyDescent="0.25">
      <c r="A20" s="88" t="s">
        <v>38</v>
      </c>
      <c r="B20" s="733">
        <f>'Step Adjustments'!$F$7</f>
        <v>0.7</v>
      </c>
      <c r="C20" s="378"/>
      <c r="D20" s="379"/>
      <c r="E20" s="379"/>
      <c r="F20" s="379"/>
      <c r="G20" s="379"/>
      <c r="H20" s="379"/>
      <c r="I20" s="379"/>
      <c r="J20" s="379"/>
      <c r="K20" s="379"/>
      <c r="L20" s="379"/>
      <c r="M20" s="379"/>
      <c r="N20" s="380"/>
      <c r="O20" s="363"/>
      <c r="P20" s="364"/>
      <c r="Q20" s="364"/>
      <c r="R20" s="364"/>
      <c r="S20" s="364"/>
      <c r="T20" s="364"/>
      <c r="U20" s="364"/>
      <c r="V20" s="364"/>
      <c r="W20" s="364"/>
      <c r="X20" s="364"/>
      <c r="Y20" s="364"/>
      <c r="Z20" s="365"/>
      <c r="AA20" s="378"/>
      <c r="AB20" s="379"/>
      <c r="AC20" s="379"/>
      <c r="AD20" s="379"/>
      <c r="AE20" s="379"/>
      <c r="AF20" s="379"/>
      <c r="AG20" s="379"/>
      <c r="AH20" s="379"/>
      <c r="AI20" s="379"/>
      <c r="AJ20" s="379"/>
      <c r="AK20" s="379"/>
      <c r="AL20" s="380"/>
      <c r="AM20" s="393"/>
      <c r="AN20" s="394"/>
      <c r="AO20" s="394"/>
    </row>
    <row r="21" spans="1:41" x14ac:dyDescent="0.25">
      <c r="A21" s="88" t="s">
        <v>36</v>
      </c>
      <c r="B21" s="20"/>
      <c r="C21" s="384">
        <f>$F$38</f>
        <v>0.11245222420482009</v>
      </c>
      <c r="D21" s="374">
        <f t="shared" ref="D21:G21" si="15">$F$38</f>
        <v>0.11245222420482009</v>
      </c>
      <c r="E21" s="374">
        <f t="shared" si="15"/>
        <v>0.11245222420482009</v>
      </c>
      <c r="F21" s="374">
        <f t="shared" si="15"/>
        <v>0.11245222420482009</v>
      </c>
      <c r="G21" s="374">
        <f t="shared" si="15"/>
        <v>0.11245222420482009</v>
      </c>
      <c r="H21" s="374">
        <f>$F$37*0.5+$F$38*0.5</f>
        <v>0.11879222420482011</v>
      </c>
      <c r="I21" s="374">
        <f>$F$37</f>
        <v>0.12513222420482012</v>
      </c>
      <c r="J21" s="374">
        <f t="shared" ref="J21:K21" si="16">$F$37</f>
        <v>0.12513222420482012</v>
      </c>
      <c r="K21" s="374">
        <f t="shared" si="16"/>
        <v>0.12513222420482012</v>
      </c>
      <c r="L21" s="374">
        <f>$F$37*0.5+$F$38*0.5</f>
        <v>0.11879222420482011</v>
      </c>
      <c r="M21" s="374">
        <f>$F$38</f>
        <v>0.11245222420482009</v>
      </c>
      <c r="N21" s="385">
        <f t="shared" ref="N21" si="17">$F$38</f>
        <v>0.11245222420482009</v>
      </c>
      <c r="O21" s="369">
        <f>$F$38</f>
        <v>0.11245222420482009</v>
      </c>
      <c r="P21" s="360">
        <f t="shared" ref="P21:S21" si="18">$F$38</f>
        <v>0.11245222420482009</v>
      </c>
      <c r="Q21" s="360">
        <f t="shared" si="18"/>
        <v>0.11245222420482009</v>
      </c>
      <c r="R21" s="360">
        <f t="shared" si="18"/>
        <v>0.11245222420482009</v>
      </c>
      <c r="S21" s="360">
        <f t="shared" si="18"/>
        <v>0.11245222420482009</v>
      </c>
      <c r="T21" s="360">
        <f>$F$37*0.5+$F$38*0.5</f>
        <v>0.11879222420482011</v>
      </c>
      <c r="U21" s="360">
        <f>$F$37</f>
        <v>0.12513222420482012</v>
      </c>
      <c r="V21" s="360">
        <f t="shared" ref="V21:W21" si="19">$F$37</f>
        <v>0.12513222420482012</v>
      </c>
      <c r="W21" s="360">
        <f t="shared" si="19"/>
        <v>0.12513222420482012</v>
      </c>
      <c r="X21" s="360">
        <f>$F$37*0.5+$F$38*0.5</f>
        <v>0.11879222420482011</v>
      </c>
      <c r="Y21" s="360">
        <f>$F$38</f>
        <v>0.11245222420482009</v>
      </c>
      <c r="Z21" s="370">
        <f t="shared" ref="Z21" si="20">$F$38</f>
        <v>0.11245222420482009</v>
      </c>
      <c r="AA21" s="384">
        <f>$F$38</f>
        <v>0.11245222420482009</v>
      </c>
      <c r="AB21" s="374">
        <f t="shared" ref="AB21:AE21" si="21">$F$38</f>
        <v>0.11245222420482009</v>
      </c>
      <c r="AC21" s="374">
        <f t="shared" si="21"/>
        <v>0.11245222420482009</v>
      </c>
      <c r="AD21" s="374">
        <f t="shared" si="21"/>
        <v>0.11245222420482009</v>
      </c>
      <c r="AE21" s="374">
        <f t="shared" si="21"/>
        <v>0.11245222420482009</v>
      </c>
      <c r="AF21" s="374">
        <f>$F$37*0.5+$F$38*0.5</f>
        <v>0.11879222420482011</v>
      </c>
      <c r="AG21" s="374">
        <f>$F$37</f>
        <v>0.12513222420482012</v>
      </c>
      <c r="AH21" s="374">
        <f t="shared" ref="AH21:AI21" si="22">$F$37</f>
        <v>0.12513222420482012</v>
      </c>
      <c r="AI21" s="374">
        <f t="shared" si="22"/>
        <v>0.12513222420482012</v>
      </c>
      <c r="AJ21" s="374">
        <f>$F$37*0.5+$F$38*0.5</f>
        <v>0.11879222420482011</v>
      </c>
      <c r="AK21" s="374">
        <f>$F$38</f>
        <v>0.11245222420482009</v>
      </c>
      <c r="AL21" s="385">
        <f t="shared" ref="AL21" si="23">$F$38</f>
        <v>0.11245222420482009</v>
      </c>
      <c r="AM21" s="395"/>
      <c r="AN21" s="396"/>
      <c r="AO21" s="396"/>
    </row>
    <row r="22" spans="1:41" x14ac:dyDescent="0.25">
      <c r="A22" s="354" t="s">
        <v>37</v>
      </c>
      <c r="B22" s="21"/>
      <c r="C22" s="386">
        <f>C19*$B$20*C21</f>
        <v>0</v>
      </c>
      <c r="D22" s="387">
        <f t="shared" ref="D22:N22" si="24">D19*$B$20*D21</f>
        <v>98.967220832497702</v>
      </c>
      <c r="E22" s="387">
        <f t="shared" si="24"/>
        <v>246.71337655570667</v>
      </c>
      <c r="F22" s="387">
        <f t="shared" si="24"/>
        <v>335.50188063925816</v>
      </c>
      <c r="G22" s="387">
        <f t="shared" si="24"/>
        <v>751.95541184303238</v>
      </c>
      <c r="H22" s="387">
        <f t="shared" si="24"/>
        <v>2587.0821341636624</v>
      </c>
      <c r="I22" s="387">
        <f t="shared" si="24"/>
        <v>3672.351216432794</v>
      </c>
      <c r="J22" s="387">
        <f t="shared" si="24"/>
        <v>3491.6653521038165</v>
      </c>
      <c r="K22" s="387">
        <f t="shared" si="24"/>
        <v>1912.4725593046123</v>
      </c>
      <c r="L22" s="387">
        <f t="shared" si="24"/>
        <v>1294.4213526501301</v>
      </c>
      <c r="M22" s="387">
        <f t="shared" si="24"/>
        <v>2422.3012206432622</v>
      </c>
      <c r="N22" s="388">
        <f t="shared" si="24"/>
        <v>6491.8298496380585</v>
      </c>
      <c r="O22" s="371">
        <f>O19*$B$20*O21</f>
        <v>8756.4336251188379</v>
      </c>
      <c r="P22" s="372">
        <f t="shared" ref="P22:Z22" si="25">P19*$B$20*P21</f>
        <v>7322.8716479633158</v>
      </c>
      <c r="Q22" s="372">
        <f t="shared" si="25"/>
        <v>5513.6046124810391</v>
      </c>
      <c r="R22" s="372">
        <f t="shared" si="25"/>
        <v>2938.7001440209924</v>
      </c>
      <c r="S22" s="372">
        <f t="shared" si="25"/>
        <v>3299.2187411027562</v>
      </c>
      <c r="T22" s="372">
        <f t="shared" si="25"/>
        <v>8921.9599999035272</v>
      </c>
      <c r="U22" s="372">
        <f t="shared" si="25"/>
        <v>12664.681273910302</v>
      </c>
      <c r="V22" s="372">
        <f t="shared" si="25"/>
        <v>12041.557627079401</v>
      </c>
      <c r="W22" s="372">
        <f t="shared" si="25"/>
        <v>6021.9572874649821</v>
      </c>
      <c r="X22" s="372">
        <f t="shared" si="25"/>
        <v>3100.20304747917</v>
      </c>
      <c r="Y22" s="372">
        <f t="shared" si="25"/>
        <v>4689.5392680817495</v>
      </c>
      <c r="Z22" s="373">
        <f t="shared" si="25"/>
        <v>8413.419422840514</v>
      </c>
      <c r="AA22" s="386">
        <f>AA19*$B$20*AA21</f>
        <v>8756.4336251188379</v>
      </c>
      <c r="AB22" s="387">
        <f t="shared" ref="AB22:AL22" si="26">AB19*$B$20*AB21</f>
        <v>7322.8716479633158</v>
      </c>
      <c r="AC22" s="387">
        <f t="shared" si="26"/>
        <v>5513.6046124810391</v>
      </c>
      <c r="AD22" s="387">
        <f t="shared" si="26"/>
        <v>2938.7001440209924</v>
      </c>
      <c r="AE22" s="387">
        <f t="shared" si="26"/>
        <v>3299.2187411027562</v>
      </c>
      <c r="AF22" s="387">
        <f t="shared" si="26"/>
        <v>8921.9599999035272</v>
      </c>
      <c r="AG22" s="387">
        <f t="shared" si="26"/>
        <v>12664.681273910302</v>
      </c>
      <c r="AH22" s="387">
        <f t="shared" si="26"/>
        <v>12041.557627079401</v>
      </c>
      <c r="AI22" s="387">
        <f t="shared" si="26"/>
        <v>6021.9572874649821</v>
      </c>
      <c r="AJ22" s="387">
        <f t="shared" si="26"/>
        <v>3100.20304747917</v>
      </c>
      <c r="AK22" s="387">
        <f t="shared" si="26"/>
        <v>4689.5392680817495</v>
      </c>
      <c r="AL22" s="388">
        <f t="shared" si="26"/>
        <v>8413.419422840514</v>
      </c>
      <c r="AM22" s="429">
        <f t="shared" ref="AM22" si="27">SUM(C22:N22)</f>
        <v>23305.261574806831</v>
      </c>
      <c r="AN22" s="430">
        <f t="shared" ref="AN22" si="28">SUM(O22:Z22)</f>
        <v>83684.146697446587</v>
      </c>
      <c r="AO22" s="430">
        <f>SUM(AA22:AL22)</f>
        <v>83684.146697446587</v>
      </c>
    </row>
    <row r="23" spans="1:41" x14ac:dyDescent="0.25">
      <c r="A23" s="88"/>
    </row>
    <row r="24" spans="1:41" x14ac:dyDescent="0.25">
      <c r="A24" s="88"/>
      <c r="AM24" s="428">
        <f>+AM22/(AM19*$B$20)</f>
        <v>0.11816603109433446</v>
      </c>
      <c r="AN24" s="428">
        <f>+AN22/(AN19*$B$20)</f>
        <v>0.11773572343482008</v>
      </c>
      <c r="AO24" s="428">
        <f>+AO22/(AO19*$B$20)</f>
        <v>0.11773572343482008</v>
      </c>
    </row>
    <row r="25" spans="1:41" x14ac:dyDescent="0.25">
      <c r="A25" s="353" t="s">
        <v>39</v>
      </c>
      <c r="B25" s="269"/>
      <c r="C25" s="270"/>
      <c r="I25" s="23"/>
    </row>
    <row r="26" spans="1:41" x14ac:dyDescent="0.25">
      <c r="A26" s="356" t="s">
        <v>298</v>
      </c>
      <c r="B26" s="262"/>
      <c r="C26" s="263">
        <v>0</v>
      </c>
      <c r="I26" s="23"/>
    </row>
    <row r="27" spans="1:41" x14ac:dyDescent="0.25">
      <c r="A27" s="357" t="s">
        <v>299</v>
      </c>
      <c r="B27" s="261"/>
      <c r="C27" s="256">
        <v>0.5</v>
      </c>
      <c r="I27" s="23"/>
    </row>
    <row r="28" spans="1:41" x14ac:dyDescent="0.25">
      <c r="A28" s="358" t="s">
        <v>300</v>
      </c>
      <c r="B28" s="257"/>
      <c r="C28" s="258">
        <v>0.5</v>
      </c>
    </row>
    <row r="29" spans="1:41" x14ac:dyDescent="0.25">
      <c r="A29" s="88"/>
      <c r="C29" s="27"/>
    </row>
    <row r="30" spans="1:41" x14ac:dyDescent="0.25">
      <c r="A30" s="88" t="s">
        <v>33</v>
      </c>
      <c r="C30" s="72">
        <f t="array" ref="C30:N32">TRANSPOSE('8. Load Shapes'!$B$4:$D$15)</f>
        <v>0.10118199999999999</v>
      </c>
      <c r="D30" s="73">
        <v>8.8441000000000006E-2</v>
      </c>
      <c r="E30" s="73">
        <v>9.2879000000000003E-2</v>
      </c>
      <c r="F30" s="73">
        <v>8.4644999999999998E-2</v>
      </c>
      <c r="G30" s="73">
        <v>7.9393000000000005E-2</v>
      </c>
      <c r="H30" s="73">
        <v>6.8507999999999999E-2</v>
      </c>
      <c r="I30" s="74">
        <v>6.7863999999999994E-2</v>
      </c>
      <c r="J30" s="74">
        <v>7.0565000000000003E-2</v>
      </c>
      <c r="K30" s="74">
        <v>7.3791999999999996E-2</v>
      </c>
      <c r="L30" s="74">
        <v>8.4539000000000003E-2</v>
      </c>
      <c r="M30" s="74">
        <v>8.9880000000000002E-2</v>
      </c>
      <c r="N30" s="75">
        <v>9.8311999999999997E-2</v>
      </c>
      <c r="O30" s="72">
        <f t="array" ref="O30:Z32">TRANSPOSE('8. Load Shapes'!$B$4:$D$15)</f>
        <v>0.10118199999999999</v>
      </c>
      <c r="P30" s="73">
        <v>8.8441000000000006E-2</v>
      </c>
      <c r="Q30" s="73">
        <v>9.2879000000000003E-2</v>
      </c>
      <c r="R30" s="73">
        <v>8.4644999999999998E-2</v>
      </c>
      <c r="S30" s="73">
        <v>7.9393000000000005E-2</v>
      </c>
      <c r="T30" s="73">
        <v>6.8507999999999999E-2</v>
      </c>
      <c r="U30" s="74">
        <v>6.7863999999999994E-2</v>
      </c>
      <c r="V30" s="74">
        <v>7.0565000000000003E-2</v>
      </c>
      <c r="W30" s="74">
        <v>7.3791999999999996E-2</v>
      </c>
      <c r="X30" s="74">
        <v>8.4539000000000003E-2</v>
      </c>
      <c r="Y30" s="74">
        <v>8.9880000000000002E-2</v>
      </c>
      <c r="Z30" s="75">
        <v>9.8311999999999997E-2</v>
      </c>
      <c r="AA30" s="72">
        <f t="array" ref="AA30:AL32">TRANSPOSE('8. Load Shapes'!$B$4:$D$15)</f>
        <v>0.10118199999999999</v>
      </c>
      <c r="AB30" s="73">
        <v>8.8441000000000006E-2</v>
      </c>
      <c r="AC30" s="73">
        <v>9.2879000000000003E-2</v>
      </c>
      <c r="AD30" s="73">
        <v>8.4644999999999998E-2</v>
      </c>
      <c r="AE30" s="73">
        <v>7.9393000000000005E-2</v>
      </c>
      <c r="AF30" s="73">
        <v>6.8507999999999999E-2</v>
      </c>
      <c r="AG30" s="74">
        <v>6.7863999999999994E-2</v>
      </c>
      <c r="AH30" s="74">
        <v>7.0565000000000003E-2</v>
      </c>
      <c r="AI30" s="74">
        <v>7.3791999999999996E-2</v>
      </c>
      <c r="AJ30" s="74">
        <v>8.4539000000000003E-2</v>
      </c>
      <c r="AK30" s="74">
        <v>8.9880000000000002E-2</v>
      </c>
      <c r="AL30" s="75">
        <v>9.8311999999999997E-2</v>
      </c>
      <c r="AM30" s="412"/>
    </row>
    <row r="31" spans="1:41" x14ac:dyDescent="0.25">
      <c r="A31" s="88" t="s">
        <v>40</v>
      </c>
      <c r="C31" s="76">
        <v>0.21790599999999999</v>
      </c>
      <c r="D31" s="77">
        <v>0.18213499999999999</v>
      </c>
      <c r="E31" s="77">
        <v>0.13483300000000001</v>
      </c>
      <c r="F31" s="77">
        <v>5.8486000000000003E-2</v>
      </c>
      <c r="G31" s="77">
        <v>1.7144E-2</v>
      </c>
      <c r="H31" s="77">
        <v>5.1000000000000004E-4</v>
      </c>
      <c r="I31" s="78">
        <v>6.0000000000000002E-6</v>
      </c>
      <c r="J31" s="78">
        <v>9.0000000000000002E-6</v>
      </c>
      <c r="K31" s="78">
        <v>8.8090000000000009E-3</v>
      </c>
      <c r="L31" s="78">
        <v>5.4961999999999997E-2</v>
      </c>
      <c r="M31" s="78">
        <v>0.115899</v>
      </c>
      <c r="N31" s="79">
        <v>0.20930099999999999</v>
      </c>
      <c r="O31" s="76">
        <v>0.21790599999999999</v>
      </c>
      <c r="P31" s="77">
        <v>0.18213499999999999</v>
      </c>
      <c r="Q31" s="77">
        <v>0.13483300000000001</v>
      </c>
      <c r="R31" s="77">
        <v>5.8486000000000003E-2</v>
      </c>
      <c r="S31" s="77">
        <v>1.7144E-2</v>
      </c>
      <c r="T31" s="77">
        <v>5.1000000000000004E-4</v>
      </c>
      <c r="U31" s="78">
        <v>6.0000000000000002E-6</v>
      </c>
      <c r="V31" s="78">
        <v>9.0000000000000002E-6</v>
      </c>
      <c r="W31" s="78">
        <v>8.8090000000000009E-3</v>
      </c>
      <c r="X31" s="78">
        <v>5.4961999999999997E-2</v>
      </c>
      <c r="Y31" s="78">
        <v>0.115899</v>
      </c>
      <c r="Z31" s="79">
        <v>0.20930099999999999</v>
      </c>
      <c r="AA31" s="76">
        <v>0.21790599999999999</v>
      </c>
      <c r="AB31" s="77">
        <v>0.18213499999999999</v>
      </c>
      <c r="AC31" s="77">
        <v>0.13483300000000001</v>
      </c>
      <c r="AD31" s="77">
        <v>5.8486000000000003E-2</v>
      </c>
      <c r="AE31" s="77">
        <v>1.7144E-2</v>
      </c>
      <c r="AF31" s="77">
        <v>5.1000000000000004E-4</v>
      </c>
      <c r="AG31" s="78">
        <v>6.0000000000000002E-6</v>
      </c>
      <c r="AH31" s="78">
        <v>9.0000000000000002E-6</v>
      </c>
      <c r="AI31" s="78">
        <v>8.8090000000000009E-3</v>
      </c>
      <c r="AJ31" s="78">
        <v>5.4961999999999997E-2</v>
      </c>
      <c r="AK31" s="78">
        <v>0.115899</v>
      </c>
      <c r="AL31" s="79">
        <v>0.20930099999999999</v>
      </c>
      <c r="AM31" s="412"/>
    </row>
    <row r="32" spans="1:41" x14ac:dyDescent="0.25">
      <c r="A32" s="88" t="s">
        <v>41</v>
      </c>
      <c r="C32" s="80">
        <v>1.1999999999999999E-3</v>
      </c>
      <c r="D32" s="81">
        <v>1.1000000000000001E-3</v>
      </c>
      <c r="E32" s="81">
        <v>3.13E-3</v>
      </c>
      <c r="F32" s="81">
        <v>1.5047E-2</v>
      </c>
      <c r="G32" s="81">
        <v>6.5409999999999996E-2</v>
      </c>
      <c r="H32" s="81">
        <v>0.21082300000000001</v>
      </c>
      <c r="I32" s="82">
        <v>0.28478100000000001</v>
      </c>
      <c r="J32" s="82">
        <v>0.27076600000000001</v>
      </c>
      <c r="K32" s="82">
        <v>0.126605</v>
      </c>
      <c r="L32" s="82">
        <v>1.8471999999999999E-2</v>
      </c>
      <c r="M32" s="82">
        <v>1.444E-3</v>
      </c>
      <c r="N32" s="83">
        <v>1.222E-3</v>
      </c>
      <c r="O32" s="80">
        <v>1.1999999999999999E-3</v>
      </c>
      <c r="P32" s="81">
        <v>1.1000000000000001E-3</v>
      </c>
      <c r="Q32" s="81">
        <v>3.13E-3</v>
      </c>
      <c r="R32" s="81">
        <v>1.5047E-2</v>
      </c>
      <c r="S32" s="81">
        <v>6.5409999999999996E-2</v>
      </c>
      <c r="T32" s="81">
        <v>0.21082300000000001</v>
      </c>
      <c r="U32" s="82">
        <v>0.28478100000000001</v>
      </c>
      <c r="V32" s="82">
        <v>0.27076600000000001</v>
      </c>
      <c r="W32" s="82">
        <v>0.126605</v>
      </c>
      <c r="X32" s="82">
        <v>1.8471999999999999E-2</v>
      </c>
      <c r="Y32" s="82">
        <v>1.444E-3</v>
      </c>
      <c r="Z32" s="83">
        <v>1.222E-3</v>
      </c>
      <c r="AA32" s="80">
        <v>1.1999999999999999E-3</v>
      </c>
      <c r="AB32" s="81">
        <v>1.1000000000000001E-3</v>
      </c>
      <c r="AC32" s="81">
        <v>3.13E-3</v>
      </c>
      <c r="AD32" s="81">
        <v>1.5047E-2</v>
      </c>
      <c r="AE32" s="81">
        <v>6.5409999999999996E-2</v>
      </c>
      <c r="AF32" s="81">
        <v>0.21082300000000001</v>
      </c>
      <c r="AG32" s="82">
        <v>0.28478100000000001</v>
      </c>
      <c r="AH32" s="82">
        <v>0.27076600000000001</v>
      </c>
      <c r="AI32" s="82">
        <v>0.126605</v>
      </c>
      <c r="AJ32" s="82">
        <v>1.8471999999999999E-2</v>
      </c>
      <c r="AK32" s="82">
        <v>1.444E-3</v>
      </c>
      <c r="AL32" s="83">
        <v>1.222E-3</v>
      </c>
      <c r="AM32" s="412"/>
    </row>
    <row r="33" spans="1:9" x14ac:dyDescent="0.25">
      <c r="A33" s="88"/>
      <c r="C33" s="24"/>
      <c r="D33" s="24"/>
      <c r="E33" s="24"/>
      <c r="F33" s="24"/>
      <c r="G33" s="24"/>
      <c r="H33" s="24"/>
    </row>
    <row r="34" spans="1:9" x14ac:dyDescent="0.25">
      <c r="A34" s="88"/>
      <c r="C34" s="24"/>
      <c r="D34" s="24"/>
      <c r="E34" s="24"/>
      <c r="F34" s="24"/>
      <c r="G34" s="24"/>
      <c r="H34" s="24"/>
    </row>
    <row r="35" spans="1:9" x14ac:dyDescent="0.25">
      <c r="A35" s="355" t="s">
        <v>91</v>
      </c>
      <c r="B35" s="764" t="s">
        <v>249</v>
      </c>
      <c r="C35" s="764"/>
      <c r="D35" s="764"/>
      <c r="E35" s="764"/>
      <c r="F35" s="764"/>
      <c r="G35" s="765"/>
      <c r="I35" s="23"/>
    </row>
    <row r="36" spans="1:9" x14ac:dyDescent="0.25">
      <c r="A36" s="87"/>
      <c r="B36" s="157" t="s">
        <v>147</v>
      </c>
      <c r="C36" s="157" t="s">
        <v>42</v>
      </c>
      <c r="D36" s="157" t="s">
        <v>43</v>
      </c>
      <c r="E36" s="157" t="s">
        <v>132</v>
      </c>
      <c r="F36" s="157" t="s">
        <v>44</v>
      </c>
      <c r="G36" s="158"/>
    </row>
    <row r="37" spans="1:9" x14ac:dyDescent="0.25">
      <c r="A37" s="359" t="s">
        <v>45</v>
      </c>
      <c r="B37" s="265">
        <f>'2. TD Sm C&amp;I HVAC install 2022'!L37</f>
        <v>0.13891999999999999</v>
      </c>
      <c r="C37" s="254">
        <f>'2. TD Sm C&amp;I HVAC install 2022'!M37</f>
        <v>0.13891999999999999</v>
      </c>
      <c r="D37" s="254">
        <f>'2. TD Sm C&amp;I HVAC install 2022'!N37</f>
        <v>8.6999999999999994E-3</v>
      </c>
      <c r="E37" s="255">
        <f>'2. TD Sm C&amp;I HVAC install 2022'!O37</f>
        <v>0.02</v>
      </c>
      <c r="F37" s="28">
        <f>SUMPRODUCT(B37:C37,B40:C40)-D37-E37*$E$40</f>
        <v>0.12513222420482012</v>
      </c>
      <c r="G37" s="60"/>
    </row>
    <row r="38" spans="1:9" x14ac:dyDescent="0.25">
      <c r="A38" s="26" t="s">
        <v>46</v>
      </c>
      <c r="B38" s="266">
        <f>'2. TD Sm C&amp;I HVAC install 2022'!L38</f>
        <v>0.13891999999999999</v>
      </c>
      <c r="C38" s="267">
        <f>'2. TD Sm C&amp;I HVAC install 2022'!M38</f>
        <v>0.12623999999999999</v>
      </c>
      <c r="D38" s="267">
        <f>'2. TD Sm C&amp;I HVAC install 2022'!N38</f>
        <v>8.6999999999999994E-3</v>
      </c>
      <c r="E38" s="268">
        <f>'2. TD Sm C&amp;I HVAC install 2022'!O38</f>
        <v>0.02</v>
      </c>
      <c r="F38" s="28">
        <f>SUMPRODUCT(B38:C38,B40:C40)-D38-E38*$E$40</f>
        <v>0.11245222420482009</v>
      </c>
      <c r="G38" s="60"/>
    </row>
    <row r="39" spans="1:9" x14ac:dyDescent="0.25">
      <c r="A39" s="26"/>
      <c r="B39" s="17"/>
    </row>
    <row r="40" spans="1:9" x14ac:dyDescent="0.25">
      <c r="B40" s="279">
        <f t="array" ref="B40:C40">TRANSPOSE('Step Adjustments'!C24:C25)</f>
        <v>0</v>
      </c>
      <c r="C40" s="280">
        <v>1</v>
      </c>
      <c r="E40" s="253">
        <v>0.25438878975899448</v>
      </c>
    </row>
  </sheetData>
  <mergeCells count="4">
    <mergeCell ref="C1:N1"/>
    <mergeCell ref="B35:G35"/>
    <mergeCell ref="O1:Z1"/>
    <mergeCell ref="AA1:AL1"/>
  </mergeCells>
  <pageMargins left="0.7" right="0.7" top="0.75" bottom="0.75" header="0.3" footer="0.3"/>
  <pageSetup orientation="portrait" r:id="rId1"/>
  <ignoredErrors>
    <ignoredError sqref="AM2:AN2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7A4FA-C1DE-4E8F-9F61-F7E1692B10FE}">
  <sheetPr codeName="Sheet13"/>
  <dimension ref="A1:AO41"/>
  <sheetViews>
    <sheetView zoomScaleNormal="100" workbookViewId="0">
      <pane xSplit="2" ySplit="5" topLeftCell="C6" activePane="bottomRight" state="frozen"/>
      <selection activeCell="AA1" sqref="AA1:AB1048576"/>
      <selection pane="topRight" activeCell="AA1" sqref="AA1:AB1048576"/>
      <selection pane="bottomLeft" activeCell="AA1" sqref="AA1:AB1048576"/>
      <selection pane="bottomRight"/>
    </sheetView>
  </sheetViews>
  <sheetFormatPr defaultColWidth="12.7109375" defaultRowHeight="13.1" x14ac:dyDescent="0.25"/>
  <cols>
    <col min="1" max="1" width="30.7109375" style="22" customWidth="1"/>
    <col min="2" max="2" width="12.7109375" style="22"/>
    <col min="3" max="16384" width="12.7109375" style="17"/>
  </cols>
  <sheetData>
    <row r="1" spans="1:41" x14ac:dyDescent="0.25">
      <c r="A1" s="168" t="str">
        <f>Company_Filing</f>
        <v>2025 MEEIA Filing</v>
      </c>
      <c r="B1" s="249"/>
      <c r="C1" s="760" t="s">
        <v>227</v>
      </c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760" t="s">
        <v>244</v>
      </c>
      <c r="P1" s="760"/>
      <c r="Q1" s="760"/>
      <c r="R1" s="760"/>
      <c r="S1" s="760"/>
      <c r="T1" s="760"/>
      <c r="U1" s="760"/>
      <c r="V1" s="760"/>
      <c r="W1" s="760"/>
      <c r="X1" s="760"/>
      <c r="Y1" s="760"/>
      <c r="Z1" s="760"/>
      <c r="AA1" s="760" t="s">
        <v>245</v>
      </c>
      <c r="AB1" s="760"/>
      <c r="AC1" s="760"/>
      <c r="AD1" s="760"/>
      <c r="AE1" s="760"/>
      <c r="AF1" s="760"/>
      <c r="AG1" s="760"/>
      <c r="AH1" s="760"/>
      <c r="AI1" s="760"/>
      <c r="AJ1" s="760"/>
      <c r="AK1" s="760"/>
      <c r="AL1" s="760"/>
      <c r="AM1" s="313" t="s">
        <v>221</v>
      </c>
      <c r="AN1" s="313" t="s">
        <v>221</v>
      </c>
      <c r="AO1" s="389" t="s">
        <v>222</v>
      </c>
    </row>
    <row r="2" spans="1:41" x14ac:dyDescent="0.25">
      <c r="A2" s="444" t="s">
        <v>194</v>
      </c>
      <c r="B2" s="250"/>
      <c r="C2" s="251">
        <v>44927</v>
      </c>
      <c r="D2" s="251">
        <v>44958</v>
      </c>
      <c r="E2" s="251">
        <v>44986</v>
      </c>
      <c r="F2" s="251">
        <v>45017</v>
      </c>
      <c r="G2" s="251">
        <v>45047</v>
      </c>
      <c r="H2" s="251">
        <v>45078</v>
      </c>
      <c r="I2" s="251">
        <v>45108</v>
      </c>
      <c r="J2" s="251">
        <v>45139</v>
      </c>
      <c r="K2" s="251">
        <v>45170</v>
      </c>
      <c r="L2" s="251">
        <v>45200</v>
      </c>
      <c r="M2" s="251">
        <v>45231</v>
      </c>
      <c r="N2" s="251">
        <v>45261</v>
      </c>
      <c r="O2" s="251">
        <v>45292</v>
      </c>
      <c r="P2" s="251">
        <v>45323</v>
      </c>
      <c r="Q2" s="251">
        <v>45352</v>
      </c>
      <c r="R2" s="251">
        <v>45383</v>
      </c>
      <c r="S2" s="251">
        <v>45413</v>
      </c>
      <c r="T2" s="251">
        <v>45444</v>
      </c>
      <c r="U2" s="251">
        <v>45474</v>
      </c>
      <c r="V2" s="251">
        <v>45505</v>
      </c>
      <c r="W2" s="251">
        <v>45536</v>
      </c>
      <c r="X2" s="251">
        <v>45566</v>
      </c>
      <c r="Y2" s="251">
        <v>45597</v>
      </c>
      <c r="Z2" s="251">
        <v>45627</v>
      </c>
      <c r="AA2" s="251">
        <v>45658</v>
      </c>
      <c r="AB2" s="251">
        <v>45689</v>
      </c>
      <c r="AC2" s="251">
        <v>45717</v>
      </c>
      <c r="AD2" s="251">
        <v>45748</v>
      </c>
      <c r="AE2" s="251">
        <v>45778</v>
      </c>
      <c r="AF2" s="251">
        <v>45809</v>
      </c>
      <c r="AG2" s="251">
        <v>45839</v>
      </c>
      <c r="AH2" s="251">
        <v>45870</v>
      </c>
      <c r="AI2" s="251">
        <v>45901</v>
      </c>
      <c r="AJ2" s="251">
        <v>45931</v>
      </c>
      <c r="AK2" s="251">
        <v>45962</v>
      </c>
      <c r="AL2" s="251">
        <v>45992</v>
      </c>
      <c r="AM2" s="402" t="s">
        <v>180</v>
      </c>
      <c r="AN2" s="402" t="s">
        <v>181</v>
      </c>
      <c r="AO2" s="402" t="s">
        <v>246</v>
      </c>
    </row>
    <row r="3" spans="1:41" x14ac:dyDescent="0.25">
      <c r="A3" s="88"/>
    </row>
    <row r="4" spans="1:41" x14ac:dyDescent="0.25">
      <c r="A4" s="353" t="s">
        <v>229</v>
      </c>
      <c r="B4" s="247" t="s">
        <v>69</v>
      </c>
    </row>
    <row r="6" spans="1:41" x14ac:dyDescent="0.25">
      <c r="A6" s="18">
        <v>44927</v>
      </c>
      <c r="B6" s="413">
        <f>'6. 2023 Installed kWh Savings'!B6+'6. 2023 Installed kWh Savings'!C6</f>
        <v>352.15940000000001</v>
      </c>
      <c r="C6" s="375">
        <f>$B6*(SUMPRODUCT(C$30:C$32,$C$26:$C$28))/2</f>
        <v>17.816096205400001</v>
      </c>
      <c r="D6" s="376">
        <f t="shared" ref="D6:N6" si="0">$B6*(SUMPRODUCT(D$30:D$32,$C$26:$C$28))</f>
        <v>31.145329495400002</v>
      </c>
      <c r="E6" s="376">
        <f t="shared" si="0"/>
        <v>32.708212912600004</v>
      </c>
      <c r="F6" s="376">
        <f t="shared" si="0"/>
        <v>29.808532412999998</v>
      </c>
      <c r="G6" s="376">
        <f t="shared" si="0"/>
        <v>27.958991244200003</v>
      </c>
      <c r="H6" s="376">
        <f t="shared" si="0"/>
        <v>24.1257361752</v>
      </c>
      <c r="I6" s="376">
        <f t="shared" si="0"/>
        <v>23.898945521599998</v>
      </c>
      <c r="J6" s="376">
        <f t="shared" si="0"/>
        <v>24.850128061000003</v>
      </c>
      <c r="K6" s="376">
        <f t="shared" si="0"/>
        <v>25.986546444799998</v>
      </c>
      <c r="L6" s="376">
        <f t="shared" si="0"/>
        <v>29.7712035166</v>
      </c>
      <c r="M6" s="376">
        <f t="shared" si="0"/>
        <v>31.652086872000002</v>
      </c>
      <c r="N6" s="377">
        <f t="shared" si="0"/>
        <v>34.621494932799997</v>
      </c>
      <c r="O6" s="531">
        <f>$B6*(SUMPRODUCT(O$30:O$32,$C$26:$C$28))</f>
        <v>35.632192410800002</v>
      </c>
      <c r="P6" s="361">
        <f t="shared" ref="P6:AE17" si="1">$B6*(SUMPRODUCT(P$30:P$32,$C$26:$C$28))</f>
        <v>31.145329495400002</v>
      </c>
      <c r="Q6" s="361">
        <f t="shared" si="1"/>
        <v>32.708212912600004</v>
      </c>
      <c r="R6" s="361">
        <f t="shared" si="1"/>
        <v>29.808532412999998</v>
      </c>
      <c r="S6" s="361">
        <f t="shared" si="1"/>
        <v>27.958991244200003</v>
      </c>
      <c r="T6" s="361">
        <f t="shared" si="1"/>
        <v>24.1257361752</v>
      </c>
      <c r="U6" s="361">
        <f t="shared" si="1"/>
        <v>23.898945521599998</v>
      </c>
      <c r="V6" s="361">
        <f t="shared" si="1"/>
        <v>24.850128061000003</v>
      </c>
      <c r="W6" s="361">
        <f t="shared" si="1"/>
        <v>25.986546444799998</v>
      </c>
      <c r="X6" s="361">
        <f t="shared" si="1"/>
        <v>29.7712035166</v>
      </c>
      <c r="Y6" s="361">
        <f t="shared" si="1"/>
        <v>31.652086872000002</v>
      </c>
      <c r="Z6" s="362">
        <f t="shared" si="1"/>
        <v>34.621494932799997</v>
      </c>
      <c r="AA6" s="375">
        <f>$B6*(SUMPRODUCT(AA$30:AA$32,$C$26:$C$28))</f>
        <v>35.632192410800002</v>
      </c>
      <c r="AB6" s="376">
        <f t="shared" si="1"/>
        <v>31.145329495400002</v>
      </c>
      <c r="AC6" s="376">
        <f t="shared" si="1"/>
        <v>32.708212912600004</v>
      </c>
      <c r="AD6" s="376">
        <f t="shared" si="1"/>
        <v>29.808532412999998</v>
      </c>
      <c r="AE6" s="376">
        <f t="shared" si="1"/>
        <v>27.958991244200003</v>
      </c>
      <c r="AF6" s="376">
        <f t="shared" ref="AA6:AL17" si="2">$B6*(SUMPRODUCT(AF$30:AF$32,$C$26:$C$28))</f>
        <v>24.1257361752</v>
      </c>
      <c r="AG6" s="376">
        <f t="shared" si="2"/>
        <v>23.898945521599998</v>
      </c>
      <c r="AH6" s="376">
        <f t="shared" si="2"/>
        <v>24.850128061000003</v>
      </c>
      <c r="AI6" s="376">
        <f t="shared" si="2"/>
        <v>25.986546444799998</v>
      </c>
      <c r="AJ6" s="376">
        <f t="shared" si="2"/>
        <v>29.7712035166</v>
      </c>
      <c r="AK6" s="376">
        <f t="shared" si="2"/>
        <v>31.652086872000002</v>
      </c>
      <c r="AL6" s="377">
        <f t="shared" si="2"/>
        <v>34.621494932799997</v>
      </c>
      <c r="AM6" s="391">
        <f>SUM(C6:N6)</f>
        <v>334.34330379459993</v>
      </c>
      <c r="AN6" s="410">
        <f>SUM(O6:Z6)</f>
        <v>352.15939999999995</v>
      </c>
      <c r="AO6" s="532">
        <f>SUM(AA6:AL6)</f>
        <v>352.15939999999995</v>
      </c>
    </row>
    <row r="7" spans="1:41" x14ac:dyDescent="0.25">
      <c r="A7" s="18">
        <v>44958</v>
      </c>
      <c r="B7" s="414">
        <f>'6. 2023 Installed kWh Savings'!B7+'6. 2023 Installed kWh Savings'!C7</f>
        <v>5541.7640000000001</v>
      </c>
      <c r="C7" s="378"/>
      <c r="D7" s="379">
        <f>$B7*(SUMPRODUCT(D$30:D$32,$C$26:$C$28))/2</f>
        <v>245.05957496200003</v>
      </c>
      <c r="E7" s="379">
        <f t="shared" ref="E7:T17" si="3">$B7*(SUMPRODUCT(E$30:E$32,$C$26:$C$28))</f>
        <v>514.71349855599999</v>
      </c>
      <c r="F7" s="379">
        <f t="shared" si="3"/>
        <v>469.08261377999997</v>
      </c>
      <c r="G7" s="379">
        <f t="shared" si="3"/>
        <v>439.97726925200004</v>
      </c>
      <c r="H7" s="379">
        <f t="shared" si="3"/>
        <v>379.65516811200001</v>
      </c>
      <c r="I7" s="379">
        <f t="shared" si="3"/>
        <v>376.08627209599996</v>
      </c>
      <c r="J7" s="379">
        <f t="shared" si="3"/>
        <v>391.05457666000001</v>
      </c>
      <c r="K7" s="379">
        <f t="shared" si="3"/>
        <v>408.93784908800001</v>
      </c>
      <c r="L7" s="379">
        <f t="shared" si="3"/>
        <v>468.49518679600004</v>
      </c>
      <c r="M7" s="379">
        <f t="shared" si="3"/>
        <v>498.09374832000003</v>
      </c>
      <c r="N7" s="380">
        <f t="shared" si="3"/>
        <v>544.821902368</v>
      </c>
      <c r="O7" s="363">
        <f t="shared" si="3"/>
        <v>560.72676504799995</v>
      </c>
      <c r="P7" s="364">
        <f t="shared" si="3"/>
        <v>490.11914992400006</v>
      </c>
      <c r="Q7" s="364">
        <f t="shared" si="3"/>
        <v>514.71349855599999</v>
      </c>
      <c r="R7" s="364">
        <f t="shared" si="3"/>
        <v>469.08261377999997</v>
      </c>
      <c r="S7" s="364">
        <f t="shared" si="3"/>
        <v>439.97726925200004</v>
      </c>
      <c r="T7" s="364">
        <f t="shared" si="3"/>
        <v>379.65516811200001</v>
      </c>
      <c r="U7" s="364">
        <f t="shared" si="1"/>
        <v>376.08627209599996</v>
      </c>
      <c r="V7" s="364">
        <f t="shared" si="1"/>
        <v>391.05457666000001</v>
      </c>
      <c r="W7" s="364">
        <f t="shared" si="1"/>
        <v>408.93784908800001</v>
      </c>
      <c r="X7" s="364">
        <f t="shared" si="1"/>
        <v>468.49518679600004</v>
      </c>
      <c r="Y7" s="364">
        <f t="shared" si="1"/>
        <v>498.09374832000003</v>
      </c>
      <c r="Z7" s="365">
        <f t="shared" si="1"/>
        <v>544.821902368</v>
      </c>
      <c r="AA7" s="378">
        <f t="shared" si="1"/>
        <v>560.72676504799995</v>
      </c>
      <c r="AB7" s="379">
        <f t="shared" si="1"/>
        <v>490.11914992400006</v>
      </c>
      <c r="AC7" s="379">
        <f t="shared" si="1"/>
        <v>514.71349855599999</v>
      </c>
      <c r="AD7" s="379">
        <f t="shared" si="1"/>
        <v>469.08261377999997</v>
      </c>
      <c r="AE7" s="379">
        <f t="shared" si="1"/>
        <v>439.97726925200004</v>
      </c>
      <c r="AF7" s="379">
        <f t="shared" si="2"/>
        <v>379.65516811200001</v>
      </c>
      <c r="AG7" s="379">
        <f t="shared" si="2"/>
        <v>376.08627209599996</v>
      </c>
      <c r="AH7" s="379">
        <f t="shared" si="2"/>
        <v>391.05457666000001</v>
      </c>
      <c r="AI7" s="379">
        <f t="shared" si="2"/>
        <v>408.93784908800001</v>
      </c>
      <c r="AJ7" s="379">
        <f t="shared" si="2"/>
        <v>468.49518679600004</v>
      </c>
      <c r="AK7" s="379">
        <f t="shared" si="2"/>
        <v>498.09374832000003</v>
      </c>
      <c r="AL7" s="380">
        <f t="shared" si="2"/>
        <v>544.821902368</v>
      </c>
      <c r="AM7" s="392">
        <f t="shared" ref="AM7:AM17" si="4">SUM(C7:N7)</f>
        <v>4735.9776599900006</v>
      </c>
      <c r="AN7" s="399">
        <f t="shared" ref="AN7:AN17" si="5">SUM(O7:Z7)</f>
        <v>5541.7640000000001</v>
      </c>
      <c r="AO7" s="533">
        <f t="shared" ref="AO7:AO17" si="6">SUM(AA7:AL7)</f>
        <v>5541.7640000000001</v>
      </c>
    </row>
    <row r="8" spans="1:41" x14ac:dyDescent="0.25">
      <c r="A8" s="18">
        <v>44986</v>
      </c>
      <c r="B8" s="414">
        <f>'6. 2023 Installed kWh Savings'!B8+'6. 2023 Installed kWh Savings'!C8</f>
        <v>436571.10200000007</v>
      </c>
      <c r="C8" s="378"/>
      <c r="D8" s="379"/>
      <c r="E8" s="379">
        <f>$B8*(SUMPRODUCT(E$30:E$32,$C$26:$C$28))/2</f>
        <v>20274.143691329005</v>
      </c>
      <c r="F8" s="379">
        <f t="shared" ref="F8:N8" si="7">$B8*(SUMPRODUCT(F$30:F$32,$C$26:$C$28))</f>
        <v>36953.560928790008</v>
      </c>
      <c r="G8" s="379">
        <f t="shared" si="7"/>
        <v>34660.68950108601</v>
      </c>
      <c r="H8" s="379">
        <f t="shared" si="7"/>
        <v>29908.613055816004</v>
      </c>
      <c r="I8" s="379">
        <f t="shared" si="7"/>
        <v>29627.461266128001</v>
      </c>
      <c r="J8" s="379">
        <f t="shared" si="7"/>
        <v>30806.639812630005</v>
      </c>
      <c r="K8" s="379">
        <f t="shared" si="7"/>
        <v>32215.454758784002</v>
      </c>
      <c r="L8" s="379">
        <f t="shared" si="7"/>
        <v>36907.284391978006</v>
      </c>
      <c r="M8" s="379">
        <f t="shared" si="7"/>
        <v>39239.010647760006</v>
      </c>
      <c r="N8" s="380">
        <f t="shared" si="7"/>
        <v>42920.178179824004</v>
      </c>
      <c r="O8" s="363">
        <f t="shared" si="3"/>
        <v>44173.137242564007</v>
      </c>
      <c r="P8" s="364">
        <f t="shared" si="1"/>
        <v>38610.784831982011</v>
      </c>
      <c r="Q8" s="364">
        <f t="shared" si="1"/>
        <v>40548.287382658011</v>
      </c>
      <c r="R8" s="364">
        <f t="shared" si="1"/>
        <v>36953.560928790008</v>
      </c>
      <c r="S8" s="364">
        <f t="shared" si="1"/>
        <v>34660.68950108601</v>
      </c>
      <c r="T8" s="364">
        <f t="shared" si="1"/>
        <v>29908.613055816004</v>
      </c>
      <c r="U8" s="364">
        <f t="shared" si="1"/>
        <v>29627.461266128001</v>
      </c>
      <c r="V8" s="364">
        <f t="shared" si="1"/>
        <v>30806.639812630005</v>
      </c>
      <c r="W8" s="364">
        <f t="shared" si="1"/>
        <v>32215.454758784002</v>
      </c>
      <c r="X8" s="364">
        <f t="shared" si="1"/>
        <v>36907.284391978006</v>
      </c>
      <c r="Y8" s="364">
        <f t="shared" si="1"/>
        <v>39239.010647760006</v>
      </c>
      <c r="Z8" s="365">
        <f t="shared" si="1"/>
        <v>42920.178179824004</v>
      </c>
      <c r="AA8" s="378">
        <f t="shared" si="2"/>
        <v>44173.137242564007</v>
      </c>
      <c r="AB8" s="379">
        <f t="shared" si="2"/>
        <v>38610.784831982011</v>
      </c>
      <c r="AC8" s="379">
        <f t="shared" si="2"/>
        <v>40548.287382658011</v>
      </c>
      <c r="AD8" s="379">
        <f t="shared" si="2"/>
        <v>36953.560928790008</v>
      </c>
      <c r="AE8" s="379">
        <f t="shared" si="2"/>
        <v>34660.68950108601</v>
      </c>
      <c r="AF8" s="379">
        <f t="shared" si="2"/>
        <v>29908.613055816004</v>
      </c>
      <c r="AG8" s="379">
        <f t="shared" si="2"/>
        <v>29627.461266128001</v>
      </c>
      <c r="AH8" s="379">
        <f t="shared" si="2"/>
        <v>30806.639812630005</v>
      </c>
      <c r="AI8" s="379">
        <f t="shared" si="2"/>
        <v>32215.454758784002</v>
      </c>
      <c r="AJ8" s="379">
        <f t="shared" si="2"/>
        <v>36907.284391978006</v>
      </c>
      <c r="AK8" s="379">
        <f t="shared" si="2"/>
        <v>39239.010647760006</v>
      </c>
      <c r="AL8" s="380">
        <f t="shared" si="2"/>
        <v>42920.178179824004</v>
      </c>
      <c r="AM8" s="392">
        <f t="shared" si="4"/>
        <v>333513.03623412503</v>
      </c>
      <c r="AN8" s="399">
        <f t="shared" si="5"/>
        <v>436571.10200000007</v>
      </c>
      <c r="AO8" s="533">
        <f t="shared" si="6"/>
        <v>436571.10200000007</v>
      </c>
    </row>
    <row r="9" spans="1:41" x14ac:dyDescent="0.25">
      <c r="A9" s="18">
        <v>45017</v>
      </c>
      <c r="B9" s="414">
        <f>'6. 2023 Installed kWh Savings'!B9+'6. 2023 Installed kWh Savings'!C9</f>
        <v>56785</v>
      </c>
      <c r="C9" s="378"/>
      <c r="D9" s="379"/>
      <c r="E9" s="379"/>
      <c r="F9" s="379">
        <f>$B9*(SUMPRODUCT(F$30:F$32,$C$26:$C$28))/2</f>
        <v>2403.2831624999999</v>
      </c>
      <c r="G9" s="379">
        <f t="shared" ref="G9:N9" si="8">$B9*(SUMPRODUCT(G$30:G$32,$C$26:$C$28))</f>
        <v>4508.3315050000001</v>
      </c>
      <c r="H9" s="379">
        <f t="shared" si="8"/>
        <v>3890.22678</v>
      </c>
      <c r="I9" s="379">
        <f t="shared" si="8"/>
        <v>3853.6572399999995</v>
      </c>
      <c r="J9" s="379">
        <f t="shared" si="8"/>
        <v>4007.0335250000003</v>
      </c>
      <c r="K9" s="379">
        <f t="shared" si="8"/>
        <v>4190.2787200000002</v>
      </c>
      <c r="L9" s="379">
        <f t="shared" si="8"/>
        <v>4800.5471150000003</v>
      </c>
      <c r="M9" s="379">
        <f t="shared" si="8"/>
        <v>5103.8357999999998</v>
      </c>
      <c r="N9" s="380">
        <f t="shared" si="8"/>
        <v>5582.6469200000001</v>
      </c>
      <c r="O9" s="363">
        <f t="shared" si="3"/>
        <v>5745.6198699999995</v>
      </c>
      <c r="P9" s="364">
        <f t="shared" si="1"/>
        <v>5022.1221850000002</v>
      </c>
      <c r="Q9" s="364">
        <f t="shared" si="1"/>
        <v>5274.1340150000005</v>
      </c>
      <c r="R9" s="364">
        <f t="shared" si="1"/>
        <v>4806.5663249999998</v>
      </c>
      <c r="S9" s="364">
        <f t="shared" si="1"/>
        <v>4508.3315050000001</v>
      </c>
      <c r="T9" s="364">
        <f t="shared" si="1"/>
        <v>3890.22678</v>
      </c>
      <c r="U9" s="364">
        <f t="shared" si="1"/>
        <v>3853.6572399999995</v>
      </c>
      <c r="V9" s="364">
        <f t="shared" si="1"/>
        <v>4007.0335250000003</v>
      </c>
      <c r="W9" s="364">
        <f t="shared" si="1"/>
        <v>4190.2787200000002</v>
      </c>
      <c r="X9" s="364">
        <f t="shared" si="1"/>
        <v>4800.5471150000003</v>
      </c>
      <c r="Y9" s="364">
        <f t="shared" si="1"/>
        <v>5103.8357999999998</v>
      </c>
      <c r="Z9" s="365">
        <f t="shared" si="1"/>
        <v>5582.6469200000001</v>
      </c>
      <c r="AA9" s="378">
        <f t="shared" si="2"/>
        <v>5745.6198699999995</v>
      </c>
      <c r="AB9" s="379">
        <f t="shared" si="2"/>
        <v>5022.1221850000002</v>
      </c>
      <c r="AC9" s="379">
        <f t="shared" si="2"/>
        <v>5274.1340150000005</v>
      </c>
      <c r="AD9" s="379">
        <f t="shared" si="2"/>
        <v>4806.5663249999998</v>
      </c>
      <c r="AE9" s="379">
        <f t="shared" si="2"/>
        <v>4508.3315050000001</v>
      </c>
      <c r="AF9" s="379">
        <f t="shared" si="2"/>
        <v>3890.22678</v>
      </c>
      <c r="AG9" s="379">
        <f t="shared" si="2"/>
        <v>3853.6572399999995</v>
      </c>
      <c r="AH9" s="379">
        <f t="shared" si="2"/>
        <v>4007.0335250000003</v>
      </c>
      <c r="AI9" s="379">
        <f t="shared" si="2"/>
        <v>4190.2787200000002</v>
      </c>
      <c r="AJ9" s="379">
        <f t="shared" si="2"/>
        <v>4800.5471150000003</v>
      </c>
      <c r="AK9" s="379">
        <f t="shared" si="2"/>
        <v>5103.8357999999998</v>
      </c>
      <c r="AL9" s="380">
        <f t="shared" si="2"/>
        <v>5582.6469200000001</v>
      </c>
      <c r="AM9" s="392">
        <f t="shared" si="4"/>
        <v>38339.840767499998</v>
      </c>
      <c r="AN9" s="399">
        <f t="shared" si="5"/>
        <v>56785</v>
      </c>
      <c r="AO9" s="533">
        <f t="shared" si="6"/>
        <v>56785</v>
      </c>
    </row>
    <row r="10" spans="1:41" x14ac:dyDescent="0.25">
      <c r="A10" s="18">
        <v>45047</v>
      </c>
      <c r="B10" s="414">
        <f>'6. 2023 Installed kWh Savings'!B10+'6. 2023 Installed kWh Savings'!C10</f>
        <v>473844.51500000001</v>
      </c>
      <c r="C10" s="378"/>
      <c r="D10" s="379"/>
      <c r="E10" s="379"/>
      <c r="F10" s="379"/>
      <c r="G10" s="379">
        <f>$B10*(SUMPRODUCT(G$30:G$32,$C$26:$C$28))/2</f>
        <v>18809.968789697501</v>
      </c>
      <c r="H10" s="379">
        <f t="shared" ref="H10:N10" si="9">$B10*(SUMPRODUCT(H$30:H$32,$C$26:$C$28))</f>
        <v>32462.140033620002</v>
      </c>
      <c r="I10" s="379">
        <f t="shared" si="9"/>
        <v>32156.984165959999</v>
      </c>
      <c r="J10" s="379">
        <f t="shared" si="9"/>
        <v>33436.838200975006</v>
      </c>
      <c r="K10" s="379">
        <f t="shared" si="9"/>
        <v>34965.934450879999</v>
      </c>
      <c r="L10" s="379">
        <f t="shared" si="9"/>
        <v>40058.341453585002</v>
      </c>
      <c r="M10" s="379">
        <f t="shared" si="9"/>
        <v>42589.145008200001</v>
      </c>
      <c r="N10" s="380">
        <f t="shared" si="9"/>
        <v>46584.601958680003</v>
      </c>
      <c r="O10" s="363">
        <f t="shared" si="3"/>
        <v>47944.535716729995</v>
      </c>
      <c r="P10" s="364">
        <f t="shared" si="1"/>
        <v>41907.282751115003</v>
      </c>
      <c r="Q10" s="364">
        <f t="shared" si="1"/>
        <v>44010.204708685</v>
      </c>
      <c r="R10" s="364">
        <f t="shared" si="1"/>
        <v>40108.568972175002</v>
      </c>
      <c r="S10" s="364">
        <f t="shared" si="1"/>
        <v>37619.937579395002</v>
      </c>
      <c r="T10" s="364">
        <f t="shared" si="1"/>
        <v>32462.140033620002</v>
      </c>
      <c r="U10" s="364">
        <f t="shared" si="1"/>
        <v>32156.984165959999</v>
      </c>
      <c r="V10" s="364">
        <f t="shared" si="1"/>
        <v>33436.838200975006</v>
      </c>
      <c r="W10" s="364">
        <f t="shared" si="1"/>
        <v>34965.934450879999</v>
      </c>
      <c r="X10" s="364">
        <f t="shared" si="1"/>
        <v>40058.341453585002</v>
      </c>
      <c r="Y10" s="364">
        <f t="shared" si="1"/>
        <v>42589.145008200001</v>
      </c>
      <c r="Z10" s="365">
        <f t="shared" si="1"/>
        <v>46584.601958680003</v>
      </c>
      <c r="AA10" s="378">
        <f t="shared" si="2"/>
        <v>47944.535716729995</v>
      </c>
      <c r="AB10" s="379">
        <f t="shared" si="2"/>
        <v>41907.282751115003</v>
      </c>
      <c r="AC10" s="379">
        <f t="shared" si="2"/>
        <v>44010.204708685</v>
      </c>
      <c r="AD10" s="379">
        <f t="shared" si="2"/>
        <v>40108.568972175002</v>
      </c>
      <c r="AE10" s="379">
        <f t="shared" si="2"/>
        <v>37619.937579395002</v>
      </c>
      <c r="AF10" s="379">
        <f t="shared" si="2"/>
        <v>32462.140033620002</v>
      </c>
      <c r="AG10" s="379">
        <f t="shared" si="2"/>
        <v>32156.984165959999</v>
      </c>
      <c r="AH10" s="379">
        <f t="shared" si="2"/>
        <v>33436.838200975006</v>
      </c>
      <c r="AI10" s="379">
        <f t="shared" si="2"/>
        <v>34965.934450879999</v>
      </c>
      <c r="AJ10" s="379">
        <f t="shared" si="2"/>
        <v>40058.341453585002</v>
      </c>
      <c r="AK10" s="379">
        <f t="shared" si="2"/>
        <v>42589.145008200001</v>
      </c>
      <c r="AL10" s="380">
        <f t="shared" si="2"/>
        <v>46584.601958680003</v>
      </c>
      <c r="AM10" s="392">
        <f t="shared" si="4"/>
        <v>281063.95406159753</v>
      </c>
      <c r="AN10" s="399">
        <f t="shared" si="5"/>
        <v>473844.51500000001</v>
      </c>
      <c r="AO10" s="533">
        <f t="shared" si="6"/>
        <v>473844.51500000001</v>
      </c>
    </row>
    <row r="11" spans="1:41" x14ac:dyDescent="0.25">
      <c r="A11" s="18">
        <v>45078</v>
      </c>
      <c r="B11" s="414">
        <f>'6. 2023 Installed kWh Savings'!B11+'6. 2023 Installed kWh Savings'!C11</f>
        <v>99463.562000000005</v>
      </c>
      <c r="C11" s="378"/>
      <c r="D11" s="379"/>
      <c r="E11" s="379"/>
      <c r="F11" s="379"/>
      <c r="G11" s="379"/>
      <c r="H11" s="379">
        <f>$B11*(SUMPRODUCT(H$30:H$32,$C$26:$C$28))/2</f>
        <v>3407.0248527480003</v>
      </c>
      <c r="I11" s="379">
        <f t="shared" ref="I11:N11" si="10">$B11*(SUMPRODUCT(I$30:I$32,$C$26:$C$28))</f>
        <v>6749.9951715679999</v>
      </c>
      <c r="J11" s="379">
        <f t="shared" si="10"/>
        <v>7018.6462525300003</v>
      </c>
      <c r="K11" s="379">
        <f t="shared" si="10"/>
        <v>7339.6151671039997</v>
      </c>
      <c r="L11" s="379">
        <f t="shared" si="10"/>
        <v>8408.5500679180004</v>
      </c>
      <c r="M11" s="379">
        <f t="shared" si="10"/>
        <v>8939.7849525600013</v>
      </c>
      <c r="N11" s="380">
        <f t="shared" si="10"/>
        <v>9778.4617073440004</v>
      </c>
      <c r="O11" s="363">
        <f t="shared" si="3"/>
        <v>10063.922130284</v>
      </c>
      <c r="P11" s="364">
        <f t="shared" si="1"/>
        <v>8796.6568868420018</v>
      </c>
      <c r="Q11" s="364">
        <f t="shared" si="1"/>
        <v>9238.0761749980011</v>
      </c>
      <c r="R11" s="364">
        <f t="shared" si="1"/>
        <v>8419.0932054900004</v>
      </c>
      <c r="S11" s="364">
        <f t="shared" si="1"/>
        <v>7896.7105778660007</v>
      </c>
      <c r="T11" s="364">
        <f t="shared" si="1"/>
        <v>6814.0497054960006</v>
      </c>
      <c r="U11" s="364">
        <f t="shared" si="1"/>
        <v>6749.9951715679999</v>
      </c>
      <c r="V11" s="364">
        <f t="shared" si="1"/>
        <v>7018.6462525300003</v>
      </c>
      <c r="W11" s="364">
        <f t="shared" si="1"/>
        <v>7339.6151671039997</v>
      </c>
      <c r="X11" s="364">
        <f t="shared" si="1"/>
        <v>8408.5500679180004</v>
      </c>
      <c r="Y11" s="364">
        <f t="shared" si="1"/>
        <v>8939.7849525600013</v>
      </c>
      <c r="Z11" s="365">
        <f t="shared" si="1"/>
        <v>9778.4617073440004</v>
      </c>
      <c r="AA11" s="378">
        <f t="shared" si="2"/>
        <v>10063.922130284</v>
      </c>
      <c r="AB11" s="379">
        <f t="shared" si="2"/>
        <v>8796.6568868420018</v>
      </c>
      <c r="AC11" s="379">
        <f t="shared" si="2"/>
        <v>9238.0761749980011</v>
      </c>
      <c r="AD11" s="379">
        <f t="shared" si="2"/>
        <v>8419.0932054900004</v>
      </c>
      <c r="AE11" s="379">
        <f t="shared" si="2"/>
        <v>7896.7105778660007</v>
      </c>
      <c r="AF11" s="379">
        <f t="shared" si="2"/>
        <v>6814.0497054960006</v>
      </c>
      <c r="AG11" s="379">
        <f t="shared" si="2"/>
        <v>6749.9951715679999</v>
      </c>
      <c r="AH11" s="379">
        <f t="shared" si="2"/>
        <v>7018.6462525300003</v>
      </c>
      <c r="AI11" s="379">
        <f t="shared" si="2"/>
        <v>7339.6151671039997</v>
      </c>
      <c r="AJ11" s="379">
        <f t="shared" si="2"/>
        <v>8408.5500679180004</v>
      </c>
      <c r="AK11" s="379">
        <f t="shared" si="2"/>
        <v>8939.7849525600013</v>
      </c>
      <c r="AL11" s="380">
        <f t="shared" si="2"/>
        <v>9778.4617073440004</v>
      </c>
      <c r="AM11" s="392">
        <f t="shared" si="4"/>
        <v>51642.078171772009</v>
      </c>
      <c r="AN11" s="399">
        <f t="shared" si="5"/>
        <v>99463.56200000002</v>
      </c>
      <c r="AO11" s="533">
        <f t="shared" si="6"/>
        <v>99463.56200000002</v>
      </c>
    </row>
    <row r="12" spans="1:41" x14ac:dyDescent="0.25">
      <c r="A12" s="18">
        <v>45108</v>
      </c>
      <c r="B12" s="414">
        <f>'6. 2023 Installed kWh Savings'!B12+'6. 2023 Installed kWh Savings'!C12</f>
        <v>522157.23400000005</v>
      </c>
      <c r="C12" s="378"/>
      <c r="D12" s="379"/>
      <c r="E12" s="379"/>
      <c r="F12" s="379"/>
      <c r="G12" s="379"/>
      <c r="H12" s="379"/>
      <c r="I12" s="379">
        <f>$B12*(SUMPRODUCT(I$30:I$32,$C$26:$C$28))/2</f>
        <v>17717.839264088001</v>
      </c>
      <c r="J12" s="379">
        <f>$B12*(SUMPRODUCT(J$30:J$32,$C$26:$C$28))</f>
        <v>36846.025217210008</v>
      </c>
      <c r="K12" s="379">
        <f>$B12*(SUMPRODUCT(K$30:K$32,$C$26:$C$28))</f>
        <v>38531.026611328001</v>
      </c>
      <c r="L12" s="379">
        <f>$B12*(SUMPRODUCT(L$30:L$32,$C$26:$C$28))</f>
        <v>44142.650405126005</v>
      </c>
      <c r="M12" s="379">
        <f>$B12*(SUMPRODUCT(M$30:M$32,$C$26:$C$28))</f>
        <v>46931.492191920006</v>
      </c>
      <c r="N12" s="380">
        <f>$B12*(SUMPRODUCT(N$30:N$32,$C$26:$C$28))</f>
        <v>51334.321989008007</v>
      </c>
      <c r="O12" s="363">
        <f t="shared" si="3"/>
        <v>52832.913250588004</v>
      </c>
      <c r="P12" s="364">
        <f t="shared" si="1"/>
        <v>46180.107932194005</v>
      </c>
      <c r="Q12" s="364">
        <f t="shared" si="1"/>
        <v>48497.441736686007</v>
      </c>
      <c r="R12" s="364">
        <f t="shared" si="1"/>
        <v>44197.999071930004</v>
      </c>
      <c r="S12" s="364">
        <f t="shared" si="1"/>
        <v>41455.629278962006</v>
      </c>
      <c r="T12" s="364">
        <f t="shared" si="1"/>
        <v>35771.947786872006</v>
      </c>
      <c r="U12" s="364">
        <f t="shared" si="1"/>
        <v>35435.678528176002</v>
      </c>
      <c r="V12" s="364">
        <f t="shared" si="1"/>
        <v>36846.025217210008</v>
      </c>
      <c r="W12" s="364">
        <f t="shared" si="1"/>
        <v>38531.026611328001</v>
      </c>
      <c r="X12" s="364">
        <f t="shared" si="1"/>
        <v>44142.650405126005</v>
      </c>
      <c r="Y12" s="364">
        <f t="shared" si="1"/>
        <v>46931.492191920006</v>
      </c>
      <c r="Z12" s="365">
        <f t="shared" si="1"/>
        <v>51334.321989008007</v>
      </c>
      <c r="AA12" s="378">
        <f t="shared" si="2"/>
        <v>52832.913250588004</v>
      </c>
      <c r="AB12" s="379">
        <f t="shared" si="2"/>
        <v>46180.107932194005</v>
      </c>
      <c r="AC12" s="379">
        <f t="shared" si="2"/>
        <v>48497.441736686007</v>
      </c>
      <c r="AD12" s="379">
        <f t="shared" si="2"/>
        <v>44197.999071930004</v>
      </c>
      <c r="AE12" s="379">
        <f t="shared" si="2"/>
        <v>41455.629278962006</v>
      </c>
      <c r="AF12" s="379">
        <f t="shared" si="2"/>
        <v>35771.947786872006</v>
      </c>
      <c r="AG12" s="379">
        <f t="shared" si="2"/>
        <v>35435.678528176002</v>
      </c>
      <c r="AH12" s="379">
        <f t="shared" si="2"/>
        <v>36846.025217210008</v>
      </c>
      <c r="AI12" s="379">
        <f t="shared" si="2"/>
        <v>38531.026611328001</v>
      </c>
      <c r="AJ12" s="379">
        <f t="shared" si="2"/>
        <v>44142.650405126005</v>
      </c>
      <c r="AK12" s="379">
        <f t="shared" si="2"/>
        <v>46931.492191920006</v>
      </c>
      <c r="AL12" s="380">
        <f t="shared" si="2"/>
        <v>51334.321989008007</v>
      </c>
      <c r="AM12" s="392">
        <f t="shared" si="4"/>
        <v>235503.35567868</v>
      </c>
      <c r="AN12" s="399">
        <f t="shared" si="5"/>
        <v>522157.234</v>
      </c>
      <c r="AO12" s="533">
        <f t="shared" si="6"/>
        <v>522157.234</v>
      </c>
    </row>
    <row r="13" spans="1:41" x14ac:dyDescent="0.25">
      <c r="A13" s="18">
        <v>45139</v>
      </c>
      <c r="B13" s="414">
        <f>'6. 2023 Installed kWh Savings'!B13+'6. 2023 Installed kWh Savings'!C13</f>
        <v>286302.62200000003</v>
      </c>
      <c r="C13" s="378"/>
      <c r="D13" s="379"/>
      <c r="E13" s="379"/>
      <c r="F13" s="379"/>
      <c r="G13" s="379"/>
      <c r="H13" s="379"/>
      <c r="I13" s="379"/>
      <c r="J13" s="379">
        <f>$B13*(SUMPRODUCT(J$30:J$32,$C$26:$C$28))/2</f>
        <v>10101.472260715002</v>
      </c>
      <c r="K13" s="379">
        <f>$B13*(SUMPRODUCT(K$30:K$32,$C$26:$C$28))</f>
        <v>21126.843082624</v>
      </c>
      <c r="L13" s="379">
        <f>$B13*(SUMPRODUCT(L$30:L$32,$C$26:$C$28))</f>
        <v>24203.737361258005</v>
      </c>
      <c r="M13" s="379">
        <f>$B13*(SUMPRODUCT(M$30:M$32,$C$26:$C$28))</f>
        <v>25732.879665360004</v>
      </c>
      <c r="N13" s="380">
        <f>$B13*(SUMPRODUCT(N$30:N$32,$C$26:$C$28))</f>
        <v>28146.983374064002</v>
      </c>
      <c r="O13" s="363">
        <f t="shared" si="3"/>
        <v>28968.671899204001</v>
      </c>
      <c r="P13" s="364">
        <f t="shared" si="1"/>
        <v>25320.890192302006</v>
      </c>
      <c r="Q13" s="364">
        <f t="shared" si="1"/>
        <v>26591.501228738005</v>
      </c>
      <c r="R13" s="364">
        <f t="shared" si="1"/>
        <v>24234.085439190003</v>
      </c>
      <c r="S13" s="364">
        <f t="shared" si="1"/>
        <v>22730.424068446006</v>
      </c>
      <c r="T13" s="364">
        <f t="shared" si="1"/>
        <v>19614.020027976003</v>
      </c>
      <c r="U13" s="364">
        <f t="shared" si="1"/>
        <v>19429.641139407999</v>
      </c>
      <c r="V13" s="364">
        <f t="shared" si="1"/>
        <v>20202.944521430003</v>
      </c>
      <c r="W13" s="364">
        <f t="shared" si="1"/>
        <v>21126.843082624</v>
      </c>
      <c r="X13" s="364">
        <f t="shared" si="1"/>
        <v>24203.737361258005</v>
      </c>
      <c r="Y13" s="364">
        <f t="shared" si="1"/>
        <v>25732.879665360004</v>
      </c>
      <c r="Z13" s="365">
        <f t="shared" si="1"/>
        <v>28146.983374064002</v>
      </c>
      <c r="AA13" s="378">
        <f t="shared" si="2"/>
        <v>28968.671899204001</v>
      </c>
      <c r="AB13" s="379">
        <f t="shared" si="2"/>
        <v>25320.890192302006</v>
      </c>
      <c r="AC13" s="379">
        <f t="shared" si="2"/>
        <v>26591.501228738005</v>
      </c>
      <c r="AD13" s="379">
        <f t="shared" si="2"/>
        <v>24234.085439190003</v>
      </c>
      <c r="AE13" s="379">
        <f t="shared" si="2"/>
        <v>22730.424068446006</v>
      </c>
      <c r="AF13" s="379">
        <f t="shared" si="2"/>
        <v>19614.020027976003</v>
      </c>
      <c r="AG13" s="379">
        <f t="shared" si="2"/>
        <v>19429.641139407999</v>
      </c>
      <c r="AH13" s="379">
        <f t="shared" si="2"/>
        <v>20202.944521430003</v>
      </c>
      <c r="AI13" s="379">
        <f t="shared" si="2"/>
        <v>21126.843082624</v>
      </c>
      <c r="AJ13" s="379">
        <f t="shared" si="2"/>
        <v>24203.737361258005</v>
      </c>
      <c r="AK13" s="379">
        <f t="shared" si="2"/>
        <v>25732.879665360004</v>
      </c>
      <c r="AL13" s="380">
        <f t="shared" si="2"/>
        <v>28146.983374064002</v>
      </c>
      <c r="AM13" s="392">
        <f t="shared" si="4"/>
        <v>109311.91574402101</v>
      </c>
      <c r="AN13" s="399">
        <f t="shared" si="5"/>
        <v>286302.62200000003</v>
      </c>
      <c r="AO13" s="533">
        <f t="shared" si="6"/>
        <v>286302.62200000003</v>
      </c>
    </row>
    <row r="14" spans="1:41" x14ac:dyDescent="0.25">
      <c r="A14" s="18">
        <v>45170</v>
      </c>
      <c r="B14" s="414">
        <f>'6. 2023 Installed kWh Savings'!B14+'6. 2023 Installed kWh Savings'!C14</f>
        <v>803772.50500999996</v>
      </c>
      <c r="C14" s="378"/>
      <c r="D14" s="379"/>
      <c r="E14" s="379"/>
      <c r="F14" s="379"/>
      <c r="G14" s="379"/>
      <c r="H14" s="379"/>
      <c r="I14" s="379"/>
      <c r="J14" s="379"/>
      <c r="K14" s="379">
        <f>$B14*(SUMPRODUCT(K$30:K$32,$C$26:$C$28))/2</f>
        <v>29655.990344848957</v>
      </c>
      <c r="L14" s="379">
        <f>$B14*(SUMPRODUCT(L$30:L$32,$C$26:$C$28))</f>
        <v>67950.12380104039</v>
      </c>
      <c r="M14" s="379">
        <f>$B14*(SUMPRODUCT(M$30:M$32,$C$26:$C$28))</f>
        <v>72243.072750298801</v>
      </c>
      <c r="N14" s="380">
        <f>$B14*(SUMPRODUCT(N$30:N$32,$C$26:$C$28))</f>
        <v>79020.482512543109</v>
      </c>
      <c r="O14" s="363">
        <f t="shared" si="3"/>
        <v>81327.309601921806</v>
      </c>
      <c r="P14" s="364">
        <f t="shared" si="1"/>
        <v>71086.444115589416</v>
      </c>
      <c r="Q14" s="364">
        <f t="shared" si="1"/>
        <v>74653.586492823786</v>
      </c>
      <c r="R14" s="364">
        <f t="shared" si="1"/>
        <v>68035.323686571443</v>
      </c>
      <c r="S14" s="364">
        <f t="shared" si="1"/>
        <v>63813.910490258932</v>
      </c>
      <c r="T14" s="364">
        <f t="shared" si="1"/>
        <v>55064.846773225079</v>
      </c>
      <c r="U14" s="364">
        <f t="shared" si="1"/>
        <v>54547.217279998629</v>
      </c>
      <c r="V14" s="364">
        <f t="shared" si="1"/>
        <v>56718.206816030652</v>
      </c>
      <c r="W14" s="364">
        <f t="shared" si="1"/>
        <v>59311.980689697913</v>
      </c>
      <c r="X14" s="364">
        <f t="shared" si="1"/>
        <v>67950.12380104039</v>
      </c>
      <c r="Y14" s="364">
        <f t="shared" si="1"/>
        <v>72243.072750298801</v>
      </c>
      <c r="Z14" s="365">
        <f t="shared" si="1"/>
        <v>79020.482512543109</v>
      </c>
      <c r="AA14" s="378">
        <f t="shared" si="2"/>
        <v>81327.309601921806</v>
      </c>
      <c r="AB14" s="379">
        <f t="shared" si="2"/>
        <v>71086.444115589416</v>
      </c>
      <c r="AC14" s="379">
        <f t="shared" si="2"/>
        <v>74653.586492823786</v>
      </c>
      <c r="AD14" s="379">
        <f t="shared" si="2"/>
        <v>68035.323686571443</v>
      </c>
      <c r="AE14" s="379">
        <f t="shared" si="2"/>
        <v>63813.910490258932</v>
      </c>
      <c r="AF14" s="379">
        <f t="shared" si="2"/>
        <v>55064.846773225079</v>
      </c>
      <c r="AG14" s="379">
        <f t="shared" si="2"/>
        <v>54547.217279998629</v>
      </c>
      <c r="AH14" s="379">
        <f t="shared" si="2"/>
        <v>56718.206816030652</v>
      </c>
      <c r="AI14" s="379">
        <f t="shared" si="2"/>
        <v>59311.980689697913</v>
      </c>
      <c r="AJ14" s="379">
        <f t="shared" si="2"/>
        <v>67950.12380104039</v>
      </c>
      <c r="AK14" s="379">
        <f t="shared" si="2"/>
        <v>72243.072750298801</v>
      </c>
      <c r="AL14" s="380">
        <f t="shared" si="2"/>
        <v>79020.482512543109</v>
      </c>
      <c r="AM14" s="392">
        <f t="shared" si="4"/>
        <v>248869.66940873128</v>
      </c>
      <c r="AN14" s="399">
        <f t="shared" si="5"/>
        <v>803772.50500999985</v>
      </c>
      <c r="AO14" s="533">
        <f t="shared" si="6"/>
        <v>803772.50500999985</v>
      </c>
    </row>
    <row r="15" spans="1:41" x14ac:dyDescent="0.25">
      <c r="A15" s="18">
        <v>45200</v>
      </c>
      <c r="B15" s="414">
        <f>'6. 2023 Installed kWh Savings'!B15+'6. 2023 Installed kWh Savings'!C15</f>
        <v>0</v>
      </c>
      <c r="C15" s="378"/>
      <c r="D15" s="379"/>
      <c r="E15" s="379"/>
      <c r="F15" s="379"/>
      <c r="G15" s="379"/>
      <c r="H15" s="379"/>
      <c r="I15" s="379"/>
      <c r="J15" s="379"/>
      <c r="K15" s="379"/>
      <c r="L15" s="379">
        <f>$B15*(SUMPRODUCT(L$30:L$32,$C$26:$C$28))/2</f>
        <v>0</v>
      </c>
      <c r="M15" s="379">
        <f>$B15*(SUMPRODUCT(M$30:M$32,$C$26:$C$28))</f>
        <v>0</v>
      </c>
      <c r="N15" s="380">
        <f>$B15*(SUMPRODUCT(N$30:N$32,$C$26:$C$28))</f>
        <v>0</v>
      </c>
      <c r="O15" s="363">
        <f t="shared" si="3"/>
        <v>0</v>
      </c>
      <c r="P15" s="364">
        <f t="shared" si="1"/>
        <v>0</v>
      </c>
      <c r="Q15" s="364">
        <f t="shared" si="1"/>
        <v>0</v>
      </c>
      <c r="R15" s="364">
        <f t="shared" si="1"/>
        <v>0</v>
      </c>
      <c r="S15" s="364">
        <f t="shared" si="1"/>
        <v>0</v>
      </c>
      <c r="T15" s="364">
        <f t="shared" si="1"/>
        <v>0</v>
      </c>
      <c r="U15" s="364">
        <f t="shared" si="1"/>
        <v>0</v>
      </c>
      <c r="V15" s="364">
        <f t="shared" si="1"/>
        <v>0</v>
      </c>
      <c r="W15" s="364">
        <f t="shared" si="1"/>
        <v>0</v>
      </c>
      <c r="X15" s="364">
        <f t="shared" si="1"/>
        <v>0</v>
      </c>
      <c r="Y15" s="364">
        <f t="shared" si="1"/>
        <v>0</v>
      </c>
      <c r="Z15" s="365">
        <f t="shared" si="1"/>
        <v>0</v>
      </c>
      <c r="AA15" s="378">
        <f t="shared" si="2"/>
        <v>0</v>
      </c>
      <c r="AB15" s="379">
        <f t="shared" si="2"/>
        <v>0</v>
      </c>
      <c r="AC15" s="379">
        <f t="shared" si="2"/>
        <v>0</v>
      </c>
      <c r="AD15" s="379">
        <f t="shared" si="2"/>
        <v>0</v>
      </c>
      <c r="AE15" s="379">
        <f t="shared" si="2"/>
        <v>0</v>
      </c>
      <c r="AF15" s="379">
        <f t="shared" si="2"/>
        <v>0</v>
      </c>
      <c r="AG15" s="379">
        <f t="shared" si="2"/>
        <v>0</v>
      </c>
      <c r="AH15" s="379">
        <f t="shared" si="2"/>
        <v>0</v>
      </c>
      <c r="AI15" s="379">
        <f t="shared" si="2"/>
        <v>0</v>
      </c>
      <c r="AJ15" s="379">
        <f t="shared" si="2"/>
        <v>0</v>
      </c>
      <c r="AK15" s="379">
        <f t="shared" si="2"/>
        <v>0</v>
      </c>
      <c r="AL15" s="380">
        <f t="shared" si="2"/>
        <v>0</v>
      </c>
      <c r="AM15" s="392">
        <f t="shared" si="4"/>
        <v>0</v>
      </c>
      <c r="AN15" s="399">
        <f t="shared" si="5"/>
        <v>0</v>
      </c>
      <c r="AO15" s="533">
        <f t="shared" si="6"/>
        <v>0</v>
      </c>
    </row>
    <row r="16" spans="1:41" x14ac:dyDescent="0.25">
      <c r="A16" s="18">
        <v>45231</v>
      </c>
      <c r="B16" s="414">
        <f>'6. 2023 Installed kWh Savings'!B16+'6. 2023 Installed kWh Savings'!C16</f>
        <v>3740759.9465000001</v>
      </c>
      <c r="C16" s="378"/>
      <c r="D16" s="379"/>
      <c r="E16" s="379"/>
      <c r="F16" s="379"/>
      <c r="G16" s="379"/>
      <c r="H16" s="379"/>
      <c r="I16" s="379"/>
      <c r="J16" s="379"/>
      <c r="K16" s="379"/>
      <c r="L16" s="379"/>
      <c r="M16" s="379">
        <f>$B16*(SUMPRODUCT(M$30:M$32,$C$26:$C$28))/2</f>
        <v>168109.75199571002</v>
      </c>
      <c r="N16" s="380">
        <f>$B16*(SUMPRODUCT(N$30:N$32,$C$26:$C$28))</f>
        <v>367761.59186030802</v>
      </c>
      <c r="O16" s="363">
        <f t="shared" si="3"/>
        <v>378497.572906763</v>
      </c>
      <c r="P16" s="364">
        <f t="shared" si="1"/>
        <v>330836.55042840651</v>
      </c>
      <c r="Q16" s="364">
        <f t="shared" si="1"/>
        <v>347438.04307097354</v>
      </c>
      <c r="R16" s="364">
        <f t="shared" si="1"/>
        <v>316636.62567149248</v>
      </c>
      <c r="S16" s="364">
        <f t="shared" si="1"/>
        <v>296990.15443247452</v>
      </c>
      <c r="T16" s="364">
        <f t="shared" si="1"/>
        <v>256271.98241482201</v>
      </c>
      <c r="U16" s="364">
        <f t="shared" si="1"/>
        <v>253862.93300927599</v>
      </c>
      <c r="V16" s="364">
        <f t="shared" si="1"/>
        <v>263966.72562477249</v>
      </c>
      <c r="W16" s="364">
        <f t="shared" si="1"/>
        <v>276038.15797212801</v>
      </c>
      <c r="X16" s="364">
        <f t="shared" si="1"/>
        <v>316240.1051171635</v>
      </c>
      <c r="Y16" s="364">
        <f t="shared" si="1"/>
        <v>336219.50399142003</v>
      </c>
      <c r="Z16" s="365">
        <f t="shared" si="1"/>
        <v>367761.59186030802</v>
      </c>
      <c r="AA16" s="378">
        <f t="shared" si="2"/>
        <v>378497.572906763</v>
      </c>
      <c r="AB16" s="379">
        <f t="shared" si="2"/>
        <v>330836.55042840651</v>
      </c>
      <c r="AC16" s="379">
        <f t="shared" si="2"/>
        <v>347438.04307097354</v>
      </c>
      <c r="AD16" s="379">
        <f t="shared" si="2"/>
        <v>316636.62567149248</v>
      </c>
      <c r="AE16" s="379">
        <f t="shared" si="2"/>
        <v>296990.15443247452</v>
      </c>
      <c r="AF16" s="379">
        <f t="shared" si="2"/>
        <v>256271.98241482201</v>
      </c>
      <c r="AG16" s="379">
        <f t="shared" si="2"/>
        <v>253862.93300927599</v>
      </c>
      <c r="AH16" s="379">
        <f t="shared" si="2"/>
        <v>263966.72562477249</v>
      </c>
      <c r="AI16" s="379">
        <f t="shared" si="2"/>
        <v>276038.15797212801</v>
      </c>
      <c r="AJ16" s="379">
        <f t="shared" si="2"/>
        <v>316240.1051171635</v>
      </c>
      <c r="AK16" s="379">
        <f t="shared" si="2"/>
        <v>336219.50399142003</v>
      </c>
      <c r="AL16" s="380">
        <f t="shared" si="2"/>
        <v>367761.59186030802</v>
      </c>
      <c r="AM16" s="392">
        <f t="shared" si="4"/>
        <v>535871.34385601804</v>
      </c>
      <c r="AN16" s="399">
        <f t="shared" si="5"/>
        <v>3740759.9465000005</v>
      </c>
      <c r="AO16" s="533">
        <f t="shared" si="6"/>
        <v>3740759.9465000005</v>
      </c>
    </row>
    <row r="17" spans="1:41" x14ac:dyDescent="0.25">
      <c r="A17" s="18">
        <v>45261</v>
      </c>
      <c r="B17" s="415">
        <f>'6. 2023 Installed kWh Savings'!B17+'6. 2023 Installed kWh Savings'!C17</f>
        <v>8150218.1734800069</v>
      </c>
      <c r="C17" s="378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80">
        <f>$B17*(SUMPRODUCT(N$30:N$32,$C$26:$C$28))/2</f>
        <v>400632.12453558319</v>
      </c>
      <c r="O17" s="363">
        <f t="shared" si="3"/>
        <v>824655.37522905401</v>
      </c>
      <c r="P17" s="364">
        <f t="shared" si="1"/>
        <v>720813.44548074529</v>
      </c>
      <c r="Q17" s="364">
        <f t="shared" si="1"/>
        <v>756984.11373464961</v>
      </c>
      <c r="R17" s="364">
        <f t="shared" si="1"/>
        <v>689875.21729421511</v>
      </c>
      <c r="S17" s="364">
        <f t="shared" si="1"/>
        <v>647070.27144709823</v>
      </c>
      <c r="T17" s="364">
        <f t="shared" si="1"/>
        <v>558355.1466287683</v>
      </c>
      <c r="U17" s="364">
        <f t="shared" si="1"/>
        <v>553106.40612504713</v>
      </c>
      <c r="V17" s="364">
        <f t="shared" si="1"/>
        <v>575120.14541161666</v>
      </c>
      <c r="W17" s="364">
        <f t="shared" si="1"/>
        <v>601420.89945743664</v>
      </c>
      <c r="X17" s="364">
        <f t="shared" si="1"/>
        <v>689011.2941678263</v>
      </c>
      <c r="Y17" s="364">
        <f t="shared" si="1"/>
        <v>732541.60943238297</v>
      </c>
      <c r="Z17" s="365">
        <f t="shared" si="1"/>
        <v>801264.24907116638</v>
      </c>
      <c r="AA17" s="378">
        <f t="shared" si="2"/>
        <v>824655.37522905401</v>
      </c>
      <c r="AB17" s="379">
        <f t="shared" si="2"/>
        <v>720813.44548074529</v>
      </c>
      <c r="AC17" s="379">
        <f t="shared" si="2"/>
        <v>756984.11373464961</v>
      </c>
      <c r="AD17" s="379">
        <f t="shared" si="2"/>
        <v>689875.21729421511</v>
      </c>
      <c r="AE17" s="379">
        <f t="shared" si="2"/>
        <v>647070.27144709823</v>
      </c>
      <c r="AF17" s="379">
        <f t="shared" si="2"/>
        <v>558355.1466287683</v>
      </c>
      <c r="AG17" s="379">
        <f t="shared" si="2"/>
        <v>553106.40612504713</v>
      </c>
      <c r="AH17" s="379">
        <f t="shared" si="2"/>
        <v>575120.14541161666</v>
      </c>
      <c r="AI17" s="379">
        <f t="shared" si="2"/>
        <v>601420.89945743664</v>
      </c>
      <c r="AJ17" s="379">
        <f t="shared" si="2"/>
        <v>689011.2941678263</v>
      </c>
      <c r="AK17" s="379">
        <f t="shared" si="2"/>
        <v>732541.60943238297</v>
      </c>
      <c r="AL17" s="380">
        <f t="shared" si="2"/>
        <v>801264.24907116638</v>
      </c>
      <c r="AM17" s="392">
        <f t="shared" si="4"/>
        <v>400632.12453558319</v>
      </c>
      <c r="AN17" s="399">
        <f t="shared" si="5"/>
        <v>8150218.1734800078</v>
      </c>
      <c r="AO17" s="533">
        <f t="shared" si="6"/>
        <v>8150218.1734800078</v>
      </c>
    </row>
    <row r="18" spans="1:41" x14ac:dyDescent="0.25">
      <c r="A18" s="18"/>
      <c r="B18" s="20"/>
      <c r="C18" s="378"/>
      <c r="D18" s="379"/>
      <c r="E18" s="379"/>
      <c r="F18" s="379"/>
      <c r="G18" s="379"/>
      <c r="H18" s="379"/>
      <c r="I18" s="379"/>
      <c r="J18" s="379"/>
      <c r="K18" s="379"/>
      <c r="L18" s="379"/>
      <c r="M18" s="379"/>
      <c r="N18" s="380"/>
      <c r="O18" s="363"/>
      <c r="P18" s="364"/>
      <c r="Q18" s="364"/>
      <c r="R18" s="364"/>
      <c r="S18" s="364"/>
      <c r="T18" s="364"/>
      <c r="U18" s="364"/>
      <c r="V18" s="364"/>
      <c r="W18" s="364"/>
      <c r="X18" s="364"/>
      <c r="Y18" s="364"/>
      <c r="Z18" s="365"/>
      <c r="AA18" s="378"/>
      <c r="AB18" s="379"/>
      <c r="AC18" s="379"/>
      <c r="AD18" s="379"/>
      <c r="AE18" s="379"/>
      <c r="AF18" s="379"/>
      <c r="AG18" s="379"/>
      <c r="AH18" s="379"/>
      <c r="AI18" s="379"/>
      <c r="AJ18" s="379"/>
      <c r="AK18" s="379"/>
      <c r="AL18" s="380"/>
      <c r="AM18" s="392"/>
      <c r="AN18" s="399"/>
      <c r="AO18" s="534"/>
    </row>
    <row r="19" spans="1:41" x14ac:dyDescent="0.25">
      <c r="A19" s="88" t="s">
        <v>35</v>
      </c>
      <c r="B19" s="20">
        <f>SUM(B6:B17)</f>
        <v>14575768.583390007</v>
      </c>
      <c r="C19" s="425">
        <f t="shared" ref="C19:N19" si="11">SUM(C6:C17)</f>
        <v>17.816096205400001</v>
      </c>
      <c r="D19" s="426">
        <f t="shared" si="11"/>
        <v>276.2049044574</v>
      </c>
      <c r="E19" s="426">
        <f t="shared" si="11"/>
        <v>20821.565402797605</v>
      </c>
      <c r="F19" s="426">
        <f t="shared" si="11"/>
        <v>39855.735237483008</v>
      </c>
      <c r="G19" s="426">
        <f t="shared" si="11"/>
        <v>58446.926056279714</v>
      </c>
      <c r="H19" s="426">
        <f t="shared" si="11"/>
        <v>70071.785626471203</v>
      </c>
      <c r="I19" s="426">
        <f t="shared" si="11"/>
        <v>90505.922325361593</v>
      </c>
      <c r="J19" s="426">
        <f t="shared" si="11"/>
        <v>122632.55997378103</v>
      </c>
      <c r="K19" s="426">
        <f t="shared" si="11"/>
        <v>168460.06753110175</v>
      </c>
      <c r="L19" s="426">
        <f t="shared" si="11"/>
        <v>226969.50098621804</v>
      </c>
      <c r="M19" s="426">
        <f t="shared" si="11"/>
        <v>409418.71884700086</v>
      </c>
      <c r="N19" s="427">
        <f t="shared" si="11"/>
        <v>1032340.8364346551</v>
      </c>
      <c r="O19" s="447">
        <f t="shared" ref="O19:AN19" si="12">SUM(O6:O17)</f>
        <v>1474805.4168045674</v>
      </c>
      <c r="P19" s="448">
        <f t="shared" si="12"/>
        <v>1289095.5492835958</v>
      </c>
      <c r="Q19" s="448">
        <f t="shared" si="12"/>
        <v>1353782.8102566805</v>
      </c>
      <c r="R19" s="448">
        <f t="shared" si="12"/>
        <v>1233765.9317410472</v>
      </c>
      <c r="S19" s="448">
        <f t="shared" si="12"/>
        <v>1157213.9951410829</v>
      </c>
      <c r="T19" s="448">
        <f t="shared" si="12"/>
        <v>998556.75411088252</v>
      </c>
      <c r="U19" s="448">
        <f t="shared" si="12"/>
        <v>989169.95914317935</v>
      </c>
      <c r="V19" s="448">
        <f t="shared" si="12"/>
        <v>1028539.1100869158</v>
      </c>
      <c r="W19" s="448">
        <f t="shared" si="12"/>
        <v>1075575.1153055155</v>
      </c>
      <c r="X19" s="448">
        <f t="shared" si="12"/>
        <v>1232220.900271208</v>
      </c>
      <c r="Y19" s="448">
        <f t="shared" si="12"/>
        <v>1310070.0802750937</v>
      </c>
      <c r="Z19" s="449">
        <f t="shared" si="12"/>
        <v>1432972.9609702383</v>
      </c>
      <c r="AA19" s="425">
        <f t="shared" ref="AA19:AL19" si="13">SUM(AA6:AA17)</f>
        <v>1474805.4168045674</v>
      </c>
      <c r="AB19" s="426">
        <f t="shared" si="13"/>
        <v>1289095.5492835958</v>
      </c>
      <c r="AC19" s="426">
        <f t="shared" si="13"/>
        <v>1353782.8102566805</v>
      </c>
      <c r="AD19" s="426">
        <f t="shared" si="13"/>
        <v>1233765.9317410472</v>
      </c>
      <c r="AE19" s="426">
        <f t="shared" si="13"/>
        <v>1157213.9951410829</v>
      </c>
      <c r="AF19" s="426">
        <f t="shared" si="13"/>
        <v>998556.75411088252</v>
      </c>
      <c r="AG19" s="426">
        <f t="shared" si="13"/>
        <v>989169.95914317935</v>
      </c>
      <c r="AH19" s="426">
        <f t="shared" si="13"/>
        <v>1028539.1100869158</v>
      </c>
      <c r="AI19" s="426">
        <f t="shared" si="13"/>
        <v>1075575.1153055155</v>
      </c>
      <c r="AJ19" s="426">
        <f t="shared" si="13"/>
        <v>1232220.900271208</v>
      </c>
      <c r="AK19" s="426">
        <f t="shared" si="13"/>
        <v>1310070.0802750937</v>
      </c>
      <c r="AL19" s="427">
        <f t="shared" si="13"/>
        <v>1432972.9609702383</v>
      </c>
      <c r="AM19" s="397">
        <f t="shared" si="12"/>
        <v>2239817.6394218123</v>
      </c>
      <c r="AN19" s="398">
        <f t="shared" si="12"/>
        <v>14575768.583390009</v>
      </c>
      <c r="AO19" s="535">
        <f t="shared" ref="AO19" si="14">SUM(AO6:AO17)</f>
        <v>14575768.583390009</v>
      </c>
    </row>
    <row r="20" spans="1:41" x14ac:dyDescent="0.25">
      <c r="A20" s="88" t="s">
        <v>38</v>
      </c>
      <c r="B20" s="733">
        <f>'Step Adjustments'!$F$7</f>
        <v>0.7</v>
      </c>
      <c r="C20" s="378"/>
      <c r="D20" s="379"/>
      <c r="E20" s="379"/>
      <c r="F20" s="379"/>
      <c r="G20" s="379"/>
      <c r="H20" s="379"/>
      <c r="I20" s="379"/>
      <c r="J20" s="379"/>
      <c r="K20" s="379"/>
      <c r="L20" s="379"/>
      <c r="M20" s="379"/>
      <c r="N20" s="380"/>
      <c r="O20" s="363"/>
      <c r="P20" s="364"/>
      <c r="Q20" s="364"/>
      <c r="R20" s="364"/>
      <c r="S20" s="364"/>
      <c r="T20" s="364"/>
      <c r="U20" s="364"/>
      <c r="V20" s="364"/>
      <c r="W20" s="364"/>
      <c r="X20" s="364"/>
      <c r="Y20" s="364"/>
      <c r="Z20" s="365"/>
      <c r="AA20" s="378"/>
      <c r="AB20" s="379"/>
      <c r="AC20" s="379"/>
      <c r="AD20" s="379"/>
      <c r="AE20" s="379"/>
      <c r="AF20" s="379"/>
      <c r="AG20" s="379"/>
      <c r="AH20" s="379"/>
      <c r="AI20" s="379"/>
      <c r="AJ20" s="379"/>
      <c r="AK20" s="379"/>
      <c r="AL20" s="380"/>
      <c r="AM20" s="393"/>
      <c r="AN20" s="394"/>
      <c r="AO20" s="394"/>
    </row>
    <row r="21" spans="1:41" x14ac:dyDescent="0.25">
      <c r="A21" s="88" t="s">
        <v>36</v>
      </c>
      <c r="B21" s="20"/>
      <c r="C21" s="384">
        <f>$G$38</f>
        <v>5.3788442674849862E-2</v>
      </c>
      <c r="D21" s="374">
        <f>$G$38</f>
        <v>5.3788442674849862E-2</v>
      </c>
      <c r="E21" s="374">
        <f>$G$38</f>
        <v>5.3788442674849862E-2</v>
      </c>
      <c r="F21" s="374">
        <f>$G$38</f>
        <v>5.3788442674849862E-2</v>
      </c>
      <c r="G21" s="374">
        <f>$G$38</f>
        <v>5.3788442674849862E-2</v>
      </c>
      <c r="H21" s="374">
        <f>$G$37*0.5+$G$38*0.5</f>
        <v>5.3948442674849863E-2</v>
      </c>
      <c r="I21" s="374">
        <f>$G$37</f>
        <v>5.4108442674849863E-2</v>
      </c>
      <c r="J21" s="374">
        <f>$G$37</f>
        <v>5.4108442674849863E-2</v>
      </c>
      <c r="K21" s="374">
        <f>$G$37</f>
        <v>5.4108442674849863E-2</v>
      </c>
      <c r="L21" s="374">
        <f>$G$37*0.5+$G$38*0.5</f>
        <v>5.3948442674849863E-2</v>
      </c>
      <c r="M21" s="374">
        <f t="shared" ref="M21:S21" si="15">$G$38</f>
        <v>5.3788442674849862E-2</v>
      </c>
      <c r="N21" s="385">
        <f t="shared" si="15"/>
        <v>5.3788442674849862E-2</v>
      </c>
      <c r="O21" s="369">
        <f t="shared" si="15"/>
        <v>5.3788442674849862E-2</v>
      </c>
      <c r="P21" s="360">
        <f t="shared" si="15"/>
        <v>5.3788442674849862E-2</v>
      </c>
      <c r="Q21" s="360">
        <f t="shared" si="15"/>
        <v>5.3788442674849862E-2</v>
      </c>
      <c r="R21" s="360">
        <f t="shared" si="15"/>
        <v>5.3788442674849862E-2</v>
      </c>
      <c r="S21" s="360">
        <f t="shared" si="15"/>
        <v>5.3788442674849862E-2</v>
      </c>
      <c r="T21" s="360">
        <f>$G$37*0.5+$G$38*0.5</f>
        <v>5.3948442674849863E-2</v>
      </c>
      <c r="U21" s="360">
        <f>$G$37</f>
        <v>5.4108442674849863E-2</v>
      </c>
      <c r="V21" s="360">
        <f>$G$37</f>
        <v>5.4108442674849863E-2</v>
      </c>
      <c r="W21" s="360">
        <f>$G$37</f>
        <v>5.4108442674849863E-2</v>
      </c>
      <c r="X21" s="360">
        <f>$G$37*0.5+$G$38*0.5</f>
        <v>5.3948442674849863E-2</v>
      </c>
      <c r="Y21" s="360">
        <f>$G$38</f>
        <v>5.3788442674849862E-2</v>
      </c>
      <c r="Z21" s="370">
        <f>$G$38</f>
        <v>5.3788442674849862E-2</v>
      </c>
      <c r="AA21" s="384">
        <f t="shared" ref="AA21:AE21" si="16">$G$38</f>
        <v>5.3788442674849862E-2</v>
      </c>
      <c r="AB21" s="374">
        <f t="shared" si="16"/>
        <v>5.3788442674849862E-2</v>
      </c>
      <c r="AC21" s="374">
        <f t="shared" si="16"/>
        <v>5.3788442674849862E-2</v>
      </c>
      <c r="AD21" s="374">
        <f t="shared" si="16"/>
        <v>5.3788442674849862E-2</v>
      </c>
      <c r="AE21" s="374">
        <f t="shared" si="16"/>
        <v>5.3788442674849862E-2</v>
      </c>
      <c r="AF21" s="374">
        <f>$G$37*0.5+$G$38*0.5</f>
        <v>5.3948442674849863E-2</v>
      </c>
      <c r="AG21" s="374">
        <f>$G$37</f>
        <v>5.4108442674849863E-2</v>
      </c>
      <c r="AH21" s="374">
        <f>$G$37</f>
        <v>5.4108442674849863E-2</v>
      </c>
      <c r="AI21" s="374">
        <f>$G$37</f>
        <v>5.4108442674849863E-2</v>
      </c>
      <c r="AJ21" s="374">
        <f>$G$37*0.5+$G$38*0.5</f>
        <v>5.3948442674849863E-2</v>
      </c>
      <c r="AK21" s="374">
        <f>$G$38</f>
        <v>5.3788442674849862E-2</v>
      </c>
      <c r="AL21" s="385">
        <f>$G$38</f>
        <v>5.3788442674849862E-2</v>
      </c>
      <c r="AM21" s="395"/>
      <c r="AN21" s="396"/>
      <c r="AO21" s="396"/>
    </row>
    <row r="22" spans="1:41" x14ac:dyDescent="0.25">
      <c r="A22" s="354" t="s">
        <v>37</v>
      </c>
      <c r="B22" s="21"/>
      <c r="C22" s="386">
        <f>C19*$B$20*C21</f>
        <v>0.67081004860363758</v>
      </c>
      <c r="D22" s="387">
        <f t="shared" ref="D22:N22" si="17">D19*$B$20*D21</f>
        <v>10.399642168943469</v>
      </c>
      <c r="E22" s="387">
        <f t="shared" si="17"/>
        <v>783.97170394831119</v>
      </c>
      <c r="F22" s="387">
        <f t="shared" si="17"/>
        <v>1500.6445510597439</v>
      </c>
      <c r="G22" s="387">
        <f t="shared" si="17"/>
        <v>2200.6383921895731</v>
      </c>
      <c r="H22" s="387">
        <f t="shared" si="17"/>
        <v>2646.1845969958349</v>
      </c>
      <c r="I22" s="387">
        <f t="shared" si="17"/>
        <v>3427.9941569133694</v>
      </c>
      <c r="J22" s="387">
        <f t="shared" si="17"/>
        <v>4644.819788987993</v>
      </c>
      <c r="K22" s="387">
        <f t="shared" si="17"/>
        <v>6380.5783349055691</v>
      </c>
      <c r="L22" s="387">
        <f t="shared" si="17"/>
        <v>8571.2557790259852</v>
      </c>
      <c r="M22" s="387">
        <f t="shared" si="17"/>
        <v>15415.396702098666</v>
      </c>
      <c r="N22" s="388">
        <f t="shared" si="17"/>
        <v>38869.604131030399</v>
      </c>
      <c r="O22" s="371">
        <f>O19*$B$20*O21</f>
        <v>55529.240632845373</v>
      </c>
      <c r="P22" s="372">
        <f t="shared" ref="P22:Z22" si="18">P19*$B$20*P21</f>
        <v>48536.909438531351</v>
      </c>
      <c r="Q22" s="372">
        <f t="shared" si="18"/>
        <v>50972.508358582025</v>
      </c>
      <c r="R22" s="372">
        <f t="shared" si="18"/>
        <v>46453.643665545227</v>
      </c>
      <c r="S22" s="372">
        <f t="shared" si="18"/>
        <v>43571.317048126082</v>
      </c>
      <c r="T22" s="372">
        <f t="shared" si="18"/>
        <v>37709.407264714566</v>
      </c>
      <c r="U22" s="372">
        <f t="shared" si="18"/>
        <v>37465.712220987611</v>
      </c>
      <c r="V22" s="372">
        <f t="shared" si="18"/>
        <v>38956.854633885276</v>
      </c>
      <c r="W22" s="372">
        <f t="shared" si="18"/>
        <v>40738.38612830246</v>
      </c>
      <c r="X22" s="372">
        <f t="shared" si="18"/>
        <v>46533.479020723207</v>
      </c>
      <c r="Y22" s="372">
        <f t="shared" si="18"/>
        <v>49326.64058903898</v>
      </c>
      <c r="Z22" s="373">
        <f t="shared" si="18"/>
        <v>53954.168776030274</v>
      </c>
      <c r="AA22" s="386">
        <f>AA19*$B$20*AA21</f>
        <v>55529.240632845373</v>
      </c>
      <c r="AB22" s="387">
        <f t="shared" ref="AB22:AL22" si="19">AB19*$B$20*AB21</f>
        <v>48536.909438531351</v>
      </c>
      <c r="AC22" s="387">
        <f t="shared" si="19"/>
        <v>50972.508358582025</v>
      </c>
      <c r="AD22" s="387">
        <f t="shared" si="19"/>
        <v>46453.643665545227</v>
      </c>
      <c r="AE22" s="387">
        <f t="shared" si="19"/>
        <v>43571.317048126082</v>
      </c>
      <c r="AF22" s="387">
        <f t="shared" si="19"/>
        <v>37709.407264714566</v>
      </c>
      <c r="AG22" s="387">
        <f t="shared" si="19"/>
        <v>37465.712220987611</v>
      </c>
      <c r="AH22" s="387">
        <f t="shared" si="19"/>
        <v>38956.854633885276</v>
      </c>
      <c r="AI22" s="387">
        <f t="shared" si="19"/>
        <v>40738.38612830246</v>
      </c>
      <c r="AJ22" s="387">
        <f t="shared" si="19"/>
        <v>46533.479020723207</v>
      </c>
      <c r="AK22" s="387">
        <f t="shared" si="19"/>
        <v>49326.64058903898</v>
      </c>
      <c r="AL22" s="388">
        <f t="shared" si="19"/>
        <v>53954.168776030274</v>
      </c>
      <c r="AM22" s="429">
        <f t="shared" ref="AM22" si="20">SUM(C22:N22)</f>
        <v>84452.158589372993</v>
      </c>
      <c r="AN22" s="430">
        <f t="shared" ref="AN22" si="21">SUM(O22:Z22)</f>
        <v>549748.26777731231</v>
      </c>
      <c r="AO22" s="430">
        <f>SUM(AA22:AL22)</f>
        <v>549748.26777731231</v>
      </c>
    </row>
    <row r="23" spans="1:41" x14ac:dyDescent="0.25">
      <c r="A23" s="88"/>
    </row>
    <row r="24" spans="1:41" x14ac:dyDescent="0.25">
      <c r="A24" s="88"/>
      <c r="K24" s="19"/>
      <c r="AM24" s="428">
        <f>+AM22/(AM19*$B$20)</f>
        <v>5.3864180154016936E-2</v>
      </c>
      <c r="AN24" s="428">
        <f>+AN22/(AN19*$B$20)</f>
        <v>5.3880840914849848E-2</v>
      </c>
      <c r="AO24" s="428">
        <f>+AO22/(AO19*$B$20)</f>
        <v>5.3880840914849848E-2</v>
      </c>
    </row>
    <row r="25" spans="1:41" x14ac:dyDescent="0.25">
      <c r="A25" s="445" t="s">
        <v>39</v>
      </c>
      <c r="B25" s="259"/>
      <c r="C25" s="260"/>
      <c r="I25" s="23"/>
    </row>
    <row r="26" spans="1:41" x14ac:dyDescent="0.25">
      <c r="A26" s="356" t="s">
        <v>298</v>
      </c>
      <c r="B26" s="262"/>
      <c r="C26" s="263">
        <v>1</v>
      </c>
      <c r="I26" s="23"/>
    </row>
    <row r="27" spans="1:41" x14ac:dyDescent="0.25">
      <c r="A27" s="357" t="s">
        <v>299</v>
      </c>
      <c r="B27" s="261"/>
      <c r="C27" s="256">
        <v>0</v>
      </c>
      <c r="I27" s="23"/>
    </row>
    <row r="28" spans="1:41" x14ac:dyDescent="0.25">
      <c r="A28" s="358" t="s">
        <v>300</v>
      </c>
      <c r="B28" s="257"/>
      <c r="C28" s="258">
        <v>0</v>
      </c>
    </row>
    <row r="29" spans="1:41" x14ac:dyDescent="0.25">
      <c r="A29" s="88"/>
      <c r="C29" s="27"/>
    </row>
    <row r="30" spans="1:41" x14ac:dyDescent="0.25">
      <c r="A30" s="88" t="s">
        <v>33</v>
      </c>
      <c r="C30" s="223">
        <f t="array" ref="C30:N32">TRANSPOSE('8. Load Shapes'!$B$4:$D$15)</f>
        <v>0.10118199999999999</v>
      </c>
      <c r="D30" s="224">
        <v>8.8441000000000006E-2</v>
      </c>
      <c r="E30" s="224">
        <v>9.2879000000000003E-2</v>
      </c>
      <c r="F30" s="224">
        <v>8.4644999999999998E-2</v>
      </c>
      <c r="G30" s="224">
        <v>7.9393000000000005E-2</v>
      </c>
      <c r="H30" s="224">
        <v>6.8507999999999999E-2</v>
      </c>
      <c r="I30" s="225">
        <v>6.7863999999999994E-2</v>
      </c>
      <c r="J30" s="225">
        <v>7.0565000000000003E-2</v>
      </c>
      <c r="K30" s="225">
        <v>7.3791999999999996E-2</v>
      </c>
      <c r="L30" s="225">
        <v>8.4539000000000003E-2</v>
      </c>
      <c r="M30" s="225">
        <v>8.9880000000000002E-2</v>
      </c>
      <c r="N30" s="226">
        <v>9.8311999999999997E-2</v>
      </c>
      <c r="O30" s="223">
        <f t="array" ref="O30:Z32">TRANSPOSE('8. Load Shapes'!$B$4:$D$15)</f>
        <v>0.10118199999999999</v>
      </c>
      <c r="P30" s="224">
        <v>8.8441000000000006E-2</v>
      </c>
      <c r="Q30" s="224">
        <v>9.2879000000000003E-2</v>
      </c>
      <c r="R30" s="224">
        <v>8.4644999999999998E-2</v>
      </c>
      <c r="S30" s="224">
        <v>7.9393000000000005E-2</v>
      </c>
      <c r="T30" s="224">
        <v>6.8507999999999999E-2</v>
      </c>
      <c r="U30" s="225">
        <v>6.7863999999999994E-2</v>
      </c>
      <c r="V30" s="225">
        <v>7.0565000000000003E-2</v>
      </c>
      <c r="W30" s="225">
        <v>7.3791999999999996E-2</v>
      </c>
      <c r="X30" s="225">
        <v>8.4539000000000003E-2</v>
      </c>
      <c r="Y30" s="225">
        <v>8.9880000000000002E-2</v>
      </c>
      <c r="Z30" s="226">
        <v>9.8311999999999997E-2</v>
      </c>
      <c r="AA30" s="223">
        <f t="array" ref="AA30:AL32">TRANSPOSE('8. Load Shapes'!$B$4:$D$15)</f>
        <v>0.10118199999999999</v>
      </c>
      <c r="AB30" s="224">
        <v>8.8441000000000006E-2</v>
      </c>
      <c r="AC30" s="224">
        <v>9.2879000000000003E-2</v>
      </c>
      <c r="AD30" s="224">
        <v>8.4644999999999998E-2</v>
      </c>
      <c r="AE30" s="224">
        <v>7.9393000000000005E-2</v>
      </c>
      <c r="AF30" s="224">
        <v>6.8507999999999999E-2</v>
      </c>
      <c r="AG30" s="225">
        <v>6.7863999999999994E-2</v>
      </c>
      <c r="AH30" s="225">
        <v>7.0565000000000003E-2</v>
      </c>
      <c r="AI30" s="225">
        <v>7.3791999999999996E-2</v>
      </c>
      <c r="AJ30" s="225">
        <v>8.4539000000000003E-2</v>
      </c>
      <c r="AK30" s="225">
        <v>8.9880000000000002E-2</v>
      </c>
      <c r="AL30" s="226">
        <v>9.8311999999999997E-2</v>
      </c>
      <c r="AM30" s="412"/>
    </row>
    <row r="31" spans="1:41" x14ac:dyDescent="0.25">
      <c r="A31" s="88" t="s">
        <v>40</v>
      </c>
      <c r="C31" s="227">
        <v>0.21790599999999999</v>
      </c>
      <c r="D31" s="228">
        <v>0.18213499999999999</v>
      </c>
      <c r="E31" s="228">
        <v>0.13483300000000001</v>
      </c>
      <c r="F31" s="228">
        <v>5.8486000000000003E-2</v>
      </c>
      <c r="G31" s="228">
        <v>1.7144E-2</v>
      </c>
      <c r="H31" s="228">
        <v>5.1000000000000004E-4</v>
      </c>
      <c r="I31" s="229">
        <v>6.0000000000000002E-6</v>
      </c>
      <c r="J31" s="229">
        <v>9.0000000000000002E-6</v>
      </c>
      <c r="K31" s="229">
        <v>8.8090000000000009E-3</v>
      </c>
      <c r="L31" s="229">
        <v>5.4961999999999997E-2</v>
      </c>
      <c r="M31" s="229">
        <v>0.115899</v>
      </c>
      <c r="N31" s="230">
        <v>0.20930099999999999</v>
      </c>
      <c r="O31" s="227">
        <v>0.21790599999999999</v>
      </c>
      <c r="P31" s="228">
        <v>0.18213499999999999</v>
      </c>
      <c r="Q31" s="228">
        <v>0.13483300000000001</v>
      </c>
      <c r="R31" s="228">
        <v>5.8486000000000003E-2</v>
      </c>
      <c r="S31" s="228">
        <v>1.7144E-2</v>
      </c>
      <c r="T31" s="228">
        <v>5.1000000000000004E-4</v>
      </c>
      <c r="U31" s="229">
        <v>6.0000000000000002E-6</v>
      </c>
      <c r="V31" s="229">
        <v>9.0000000000000002E-6</v>
      </c>
      <c r="W31" s="229">
        <v>8.8090000000000009E-3</v>
      </c>
      <c r="X31" s="229">
        <v>5.4961999999999997E-2</v>
      </c>
      <c r="Y31" s="229">
        <v>0.115899</v>
      </c>
      <c r="Z31" s="230">
        <v>0.20930099999999999</v>
      </c>
      <c r="AA31" s="227">
        <v>0.21790599999999999</v>
      </c>
      <c r="AB31" s="228">
        <v>0.18213499999999999</v>
      </c>
      <c r="AC31" s="228">
        <v>0.13483300000000001</v>
      </c>
      <c r="AD31" s="228">
        <v>5.8486000000000003E-2</v>
      </c>
      <c r="AE31" s="228">
        <v>1.7144E-2</v>
      </c>
      <c r="AF31" s="228">
        <v>5.1000000000000004E-4</v>
      </c>
      <c r="AG31" s="229">
        <v>6.0000000000000002E-6</v>
      </c>
      <c r="AH31" s="229">
        <v>9.0000000000000002E-6</v>
      </c>
      <c r="AI31" s="229">
        <v>8.8090000000000009E-3</v>
      </c>
      <c r="AJ31" s="229">
        <v>5.4961999999999997E-2</v>
      </c>
      <c r="AK31" s="229">
        <v>0.115899</v>
      </c>
      <c r="AL31" s="230">
        <v>0.20930099999999999</v>
      </c>
      <c r="AM31" s="412"/>
    </row>
    <row r="32" spans="1:41" x14ac:dyDescent="0.25">
      <c r="A32" s="88" t="s">
        <v>41</v>
      </c>
      <c r="C32" s="231">
        <v>1.1999999999999999E-3</v>
      </c>
      <c r="D32" s="232">
        <v>1.1000000000000001E-3</v>
      </c>
      <c r="E32" s="232">
        <v>3.13E-3</v>
      </c>
      <c r="F32" s="232">
        <v>1.5047E-2</v>
      </c>
      <c r="G32" s="232">
        <v>6.5409999999999996E-2</v>
      </c>
      <c r="H32" s="232">
        <v>0.21082300000000001</v>
      </c>
      <c r="I32" s="233">
        <v>0.28478100000000001</v>
      </c>
      <c r="J32" s="233">
        <v>0.27076600000000001</v>
      </c>
      <c r="K32" s="233">
        <v>0.126605</v>
      </c>
      <c r="L32" s="233">
        <v>1.8471999999999999E-2</v>
      </c>
      <c r="M32" s="233">
        <v>1.444E-3</v>
      </c>
      <c r="N32" s="234">
        <v>1.222E-3</v>
      </c>
      <c r="O32" s="231">
        <v>1.1999999999999999E-3</v>
      </c>
      <c r="P32" s="232">
        <v>1.1000000000000001E-3</v>
      </c>
      <c r="Q32" s="232">
        <v>3.13E-3</v>
      </c>
      <c r="R32" s="232">
        <v>1.5047E-2</v>
      </c>
      <c r="S32" s="232">
        <v>6.5409999999999996E-2</v>
      </c>
      <c r="T32" s="232">
        <v>0.21082300000000001</v>
      </c>
      <c r="U32" s="233">
        <v>0.28478100000000001</v>
      </c>
      <c r="V32" s="233">
        <v>0.27076600000000001</v>
      </c>
      <c r="W32" s="233">
        <v>0.126605</v>
      </c>
      <c r="X32" s="233">
        <v>1.8471999999999999E-2</v>
      </c>
      <c r="Y32" s="233">
        <v>1.444E-3</v>
      </c>
      <c r="Z32" s="234">
        <v>1.222E-3</v>
      </c>
      <c r="AA32" s="231">
        <v>1.1999999999999999E-3</v>
      </c>
      <c r="AB32" s="232">
        <v>1.1000000000000001E-3</v>
      </c>
      <c r="AC32" s="232">
        <v>3.13E-3</v>
      </c>
      <c r="AD32" s="232">
        <v>1.5047E-2</v>
      </c>
      <c r="AE32" s="232">
        <v>6.5409999999999996E-2</v>
      </c>
      <c r="AF32" s="232">
        <v>0.21082300000000001</v>
      </c>
      <c r="AG32" s="233">
        <v>0.28478100000000001</v>
      </c>
      <c r="AH32" s="233">
        <v>0.27076600000000001</v>
      </c>
      <c r="AI32" s="233">
        <v>0.126605</v>
      </c>
      <c r="AJ32" s="233">
        <v>1.8471999999999999E-2</v>
      </c>
      <c r="AK32" s="233">
        <v>1.444E-3</v>
      </c>
      <c r="AL32" s="234">
        <v>1.222E-3</v>
      </c>
      <c r="AM32" s="412"/>
    </row>
    <row r="33" spans="1:9" x14ac:dyDescent="0.25">
      <c r="A33" s="88"/>
      <c r="C33" s="24"/>
      <c r="D33" s="24"/>
      <c r="E33" s="24"/>
      <c r="F33" s="24"/>
      <c r="G33" s="24"/>
      <c r="H33" s="24"/>
    </row>
    <row r="34" spans="1:9" x14ac:dyDescent="0.25">
      <c r="A34" s="88"/>
      <c r="C34" s="24"/>
      <c r="D34" s="24"/>
      <c r="E34" s="24"/>
      <c r="F34" s="24"/>
      <c r="G34" s="24"/>
      <c r="H34" s="24"/>
    </row>
    <row r="35" spans="1:9" x14ac:dyDescent="0.25">
      <c r="A35" s="445" t="s">
        <v>92</v>
      </c>
      <c r="B35" s="764" t="s">
        <v>249</v>
      </c>
      <c r="C35" s="764"/>
      <c r="D35" s="764"/>
      <c r="E35" s="764"/>
      <c r="F35" s="764"/>
      <c r="G35" s="765"/>
      <c r="I35" s="23"/>
    </row>
    <row r="36" spans="1:9" x14ac:dyDescent="0.25">
      <c r="A36" s="444"/>
      <c r="B36" s="248" t="s">
        <v>147</v>
      </c>
      <c r="C36" s="248" t="s">
        <v>42</v>
      </c>
      <c r="D36" s="248" t="s">
        <v>156</v>
      </c>
      <c r="E36" s="248" t="s">
        <v>43</v>
      </c>
      <c r="F36" s="248" t="s">
        <v>132</v>
      </c>
      <c r="G36" s="252" t="s">
        <v>44</v>
      </c>
    </row>
    <row r="37" spans="1:9" x14ac:dyDescent="0.25">
      <c r="A37" s="359" t="s">
        <v>45</v>
      </c>
      <c r="B37" s="265">
        <v>8.9980000000000004E-2</v>
      </c>
      <c r="C37" s="254">
        <v>7.0910000000000001E-2</v>
      </c>
      <c r="D37" s="254">
        <v>6.4170000000000005E-2</v>
      </c>
      <c r="E37" s="254">
        <v>8.6999999999999994E-3</v>
      </c>
      <c r="F37" s="255">
        <v>5.0000000000000001E-3</v>
      </c>
      <c r="G37" s="28">
        <f>SUMPRODUCT(B37:D37,B40:D40)-E37-F37*$F$40</f>
        <v>5.4108442674849863E-2</v>
      </c>
    </row>
    <row r="38" spans="1:9" x14ac:dyDescent="0.25">
      <c r="A38" s="359" t="s">
        <v>46</v>
      </c>
      <c r="B38" s="266">
        <v>7.7929999999999999E-2</v>
      </c>
      <c r="C38" s="267">
        <v>6.4360000000000001E-2</v>
      </c>
      <c r="D38" s="267">
        <v>6.3850000000000004E-2</v>
      </c>
      <c r="E38" s="274">
        <f>E37</f>
        <v>8.6999999999999994E-3</v>
      </c>
      <c r="F38" s="275">
        <f>+F37</f>
        <v>5.0000000000000001E-3</v>
      </c>
      <c r="G38" s="28">
        <f>SUMPRODUCT(B38:D38,B41:D41)-E38-F38*$F$40</f>
        <v>5.3788442674849862E-2</v>
      </c>
    </row>
    <row r="39" spans="1:9" x14ac:dyDescent="0.25">
      <c r="A39" s="359"/>
      <c r="B39" s="17"/>
    </row>
    <row r="40" spans="1:9" x14ac:dyDescent="0.25">
      <c r="A40" s="359" t="s">
        <v>45</v>
      </c>
      <c r="B40" s="285">
        <f t="array" ref="B40:D41">TRANSPOSE('Step Adjustments'!B40:C42)</f>
        <v>0</v>
      </c>
      <c r="C40" s="286">
        <v>0</v>
      </c>
      <c r="D40" s="287">
        <v>1</v>
      </c>
      <c r="F40" s="253">
        <v>0.27231146503002779</v>
      </c>
    </row>
    <row r="41" spans="1:9" x14ac:dyDescent="0.25">
      <c r="A41" s="359" t="s">
        <v>46</v>
      </c>
      <c r="B41" s="288">
        <v>0</v>
      </c>
      <c r="C41" s="289">
        <v>0</v>
      </c>
      <c r="D41" s="290">
        <v>1</v>
      </c>
    </row>
  </sheetData>
  <mergeCells count="4">
    <mergeCell ref="C1:N1"/>
    <mergeCell ref="B35:G35"/>
    <mergeCell ref="O1:Z1"/>
    <mergeCell ref="AA1:AL1"/>
  </mergeCells>
  <pageMargins left="0.7" right="0.7" top="0.75" bottom="0.75" header="0.3" footer="0.3"/>
  <pageSetup orientation="portrait" r:id="rId1"/>
  <ignoredErrors>
    <ignoredError sqref="AM2:AN2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A27DC-CC4D-4610-B30B-430AEC5391A8}">
  <sheetPr codeName="Sheet14"/>
  <dimension ref="A1:AB46"/>
  <sheetViews>
    <sheetView zoomScaleNormal="100" workbookViewId="0">
      <pane xSplit="2" ySplit="5" topLeftCell="C6" activePane="bottomRight" state="frozen"/>
      <selection activeCell="D6" sqref="D6"/>
      <selection pane="topRight" activeCell="D6" sqref="D6"/>
      <selection pane="bottomLeft" activeCell="D6" sqref="D6"/>
      <selection pane="bottomRight"/>
    </sheetView>
  </sheetViews>
  <sheetFormatPr defaultColWidth="12.7109375" defaultRowHeight="13.1" x14ac:dyDescent="0.25"/>
  <cols>
    <col min="1" max="1" width="30.7109375" style="22" customWidth="1"/>
    <col min="2" max="2" width="12.7109375" style="22"/>
    <col min="3" max="16384" width="12.7109375" style="17"/>
  </cols>
  <sheetData>
    <row r="1" spans="1:28" x14ac:dyDescent="0.25">
      <c r="A1" s="168" t="str">
        <f>Company_Filing</f>
        <v>2025 MEEIA Filing</v>
      </c>
      <c r="B1" s="272"/>
      <c r="C1" s="760" t="s">
        <v>244</v>
      </c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760" t="s">
        <v>245</v>
      </c>
      <c r="P1" s="760"/>
      <c r="Q1" s="760"/>
      <c r="R1" s="760"/>
      <c r="S1" s="760"/>
      <c r="T1" s="760"/>
      <c r="U1" s="760"/>
      <c r="V1" s="760"/>
      <c r="W1" s="760"/>
      <c r="X1" s="760"/>
      <c r="Y1" s="760"/>
      <c r="Z1" s="760"/>
      <c r="AA1" s="389" t="s">
        <v>221</v>
      </c>
      <c r="AB1" s="389" t="s">
        <v>222</v>
      </c>
    </row>
    <row r="2" spans="1:28" x14ac:dyDescent="0.25">
      <c r="A2" s="87" t="s">
        <v>189</v>
      </c>
      <c r="B2" s="273"/>
      <c r="C2" s="215">
        <v>45292</v>
      </c>
      <c r="D2" s="215">
        <v>45323</v>
      </c>
      <c r="E2" s="215">
        <v>45352</v>
      </c>
      <c r="F2" s="215">
        <v>45383</v>
      </c>
      <c r="G2" s="215">
        <v>45413</v>
      </c>
      <c r="H2" s="215">
        <v>45444</v>
      </c>
      <c r="I2" s="215">
        <v>45474</v>
      </c>
      <c r="J2" s="215">
        <v>45505</v>
      </c>
      <c r="K2" s="215">
        <v>45536</v>
      </c>
      <c r="L2" s="215">
        <v>45566</v>
      </c>
      <c r="M2" s="215">
        <v>45597</v>
      </c>
      <c r="N2" s="215">
        <v>45627</v>
      </c>
      <c r="O2" s="215">
        <v>45658</v>
      </c>
      <c r="P2" s="215">
        <v>45689</v>
      </c>
      <c r="Q2" s="215">
        <v>45717</v>
      </c>
      <c r="R2" s="215">
        <v>45748</v>
      </c>
      <c r="S2" s="215">
        <v>45778</v>
      </c>
      <c r="T2" s="215">
        <v>45809</v>
      </c>
      <c r="U2" s="215">
        <v>45839</v>
      </c>
      <c r="V2" s="215">
        <v>45870</v>
      </c>
      <c r="W2" s="215">
        <v>45901</v>
      </c>
      <c r="X2" s="215">
        <v>45931</v>
      </c>
      <c r="Y2" s="215">
        <v>45962</v>
      </c>
      <c r="Z2" s="215">
        <v>45992</v>
      </c>
      <c r="AA2" s="402" t="s">
        <v>181</v>
      </c>
      <c r="AB2" s="402" t="s">
        <v>246</v>
      </c>
    </row>
    <row r="3" spans="1:28" x14ac:dyDescent="0.25">
      <c r="A3" s="88"/>
    </row>
    <row r="4" spans="1:28" x14ac:dyDescent="0.25">
      <c r="A4" s="353" t="s">
        <v>230</v>
      </c>
      <c r="B4" s="271" t="s">
        <v>69</v>
      </c>
    </row>
    <row r="6" spans="1:28" x14ac:dyDescent="0.25">
      <c r="A6" s="18">
        <v>45292</v>
      </c>
      <c r="B6" s="93">
        <f>'6. 2024 Installed kWh Savings'!D6+'6. 2024 Installed kWh Savings'!I6+'6. 2024 Installed kWh Savings'!K6</f>
        <v>0</v>
      </c>
      <c r="C6" s="361">
        <f>$B6*(SUMPRODUCT(C$30:C$32,$C$26:$C$28))/2</f>
        <v>0</v>
      </c>
      <c r="D6" s="361">
        <f t="shared" ref="D6:N11" si="0">$B6*(SUMPRODUCT(D$30:D$32,$C$26:$C$28))</f>
        <v>0</v>
      </c>
      <c r="E6" s="361">
        <f t="shared" si="0"/>
        <v>0</v>
      </c>
      <c r="F6" s="361">
        <f t="shared" si="0"/>
        <v>0</v>
      </c>
      <c r="G6" s="361">
        <f t="shared" si="0"/>
        <v>0</v>
      </c>
      <c r="H6" s="361">
        <f t="shared" si="0"/>
        <v>0</v>
      </c>
      <c r="I6" s="361">
        <f t="shared" si="0"/>
        <v>0</v>
      </c>
      <c r="J6" s="361">
        <f t="shared" si="0"/>
        <v>0</v>
      </c>
      <c r="K6" s="361">
        <f t="shared" si="0"/>
        <v>0</v>
      </c>
      <c r="L6" s="361">
        <f t="shared" si="0"/>
        <v>0</v>
      </c>
      <c r="M6" s="361">
        <f t="shared" si="0"/>
        <v>0</v>
      </c>
      <c r="N6" s="362">
        <f t="shared" si="0"/>
        <v>0</v>
      </c>
      <c r="O6" s="375">
        <f>$B6*(SUMPRODUCT(O$30:O$32,$C$26:$C$28))</f>
        <v>0</v>
      </c>
      <c r="P6" s="376">
        <f t="shared" ref="O6:Z17" si="1">$B6*(SUMPRODUCT(P$30:P$32,$C$26:$C$28))</f>
        <v>0</v>
      </c>
      <c r="Q6" s="376">
        <f t="shared" si="1"/>
        <v>0</v>
      </c>
      <c r="R6" s="376">
        <f t="shared" si="1"/>
        <v>0</v>
      </c>
      <c r="S6" s="376">
        <f t="shared" si="1"/>
        <v>0</v>
      </c>
      <c r="T6" s="376">
        <f t="shared" si="1"/>
        <v>0</v>
      </c>
      <c r="U6" s="376">
        <f t="shared" si="1"/>
        <v>0</v>
      </c>
      <c r="V6" s="376">
        <f t="shared" si="1"/>
        <v>0</v>
      </c>
      <c r="W6" s="376">
        <f t="shared" si="1"/>
        <v>0</v>
      </c>
      <c r="X6" s="376">
        <f t="shared" si="1"/>
        <v>0</v>
      </c>
      <c r="Y6" s="376">
        <f t="shared" si="1"/>
        <v>0</v>
      </c>
      <c r="Z6" s="377">
        <f t="shared" si="1"/>
        <v>0</v>
      </c>
      <c r="AA6" s="391">
        <f t="shared" ref="AA6:AA17" si="2">SUM(C6:N6)</f>
        <v>0</v>
      </c>
      <c r="AB6" s="532">
        <f>SUM(O6:Z6)</f>
        <v>0</v>
      </c>
    </row>
    <row r="7" spans="1:28" x14ac:dyDescent="0.25">
      <c r="A7" s="18">
        <v>45323</v>
      </c>
      <c r="B7" s="94">
        <f>'6. 2024 Installed kWh Savings'!D7+'6. 2024 Installed kWh Savings'!I7+'6. 2024 Installed kWh Savings'!K7</f>
        <v>0</v>
      </c>
      <c r="C7" s="364"/>
      <c r="D7" s="364">
        <f>$B7*(SUMPRODUCT(D$30:D$32,$C$26:$C$28))/2</f>
        <v>0</v>
      </c>
      <c r="E7" s="364">
        <f t="shared" si="0"/>
        <v>0</v>
      </c>
      <c r="F7" s="364">
        <f t="shared" si="0"/>
        <v>0</v>
      </c>
      <c r="G7" s="364">
        <f t="shared" si="0"/>
        <v>0</v>
      </c>
      <c r="H7" s="364">
        <f t="shared" si="0"/>
        <v>0</v>
      </c>
      <c r="I7" s="364">
        <f t="shared" si="0"/>
        <v>0</v>
      </c>
      <c r="J7" s="364">
        <f t="shared" si="0"/>
        <v>0</v>
      </c>
      <c r="K7" s="364">
        <f t="shared" si="0"/>
        <v>0</v>
      </c>
      <c r="L7" s="364">
        <f t="shared" si="0"/>
        <v>0</v>
      </c>
      <c r="M7" s="364">
        <f t="shared" si="0"/>
        <v>0</v>
      </c>
      <c r="N7" s="365">
        <f t="shared" si="0"/>
        <v>0</v>
      </c>
      <c r="O7" s="378">
        <f t="shared" si="1"/>
        <v>0</v>
      </c>
      <c r="P7" s="379">
        <f t="shared" si="1"/>
        <v>0</v>
      </c>
      <c r="Q7" s="379">
        <f t="shared" si="1"/>
        <v>0</v>
      </c>
      <c r="R7" s="379">
        <f t="shared" si="1"/>
        <v>0</v>
      </c>
      <c r="S7" s="379">
        <f t="shared" si="1"/>
        <v>0</v>
      </c>
      <c r="T7" s="379">
        <f t="shared" si="1"/>
        <v>0</v>
      </c>
      <c r="U7" s="379">
        <f t="shared" si="1"/>
        <v>0</v>
      </c>
      <c r="V7" s="379">
        <f t="shared" si="1"/>
        <v>0</v>
      </c>
      <c r="W7" s="379">
        <f t="shared" si="1"/>
        <v>0</v>
      </c>
      <c r="X7" s="379">
        <f t="shared" si="1"/>
        <v>0</v>
      </c>
      <c r="Y7" s="379">
        <f t="shared" si="1"/>
        <v>0</v>
      </c>
      <c r="Z7" s="380">
        <f t="shared" si="1"/>
        <v>0</v>
      </c>
      <c r="AA7" s="392">
        <f t="shared" si="2"/>
        <v>0</v>
      </c>
      <c r="AB7" s="533">
        <f t="shared" ref="AB7:AB17" si="3">SUM(O7:Z7)</f>
        <v>0</v>
      </c>
    </row>
    <row r="8" spans="1:28" x14ac:dyDescent="0.25">
      <c r="A8" s="18">
        <v>45352</v>
      </c>
      <c r="B8" s="94">
        <f>'6. 2024 Installed kWh Savings'!D8+'6. 2024 Installed kWh Savings'!I8+'6. 2024 Installed kWh Savings'!K8</f>
        <v>0</v>
      </c>
      <c r="C8" s="364"/>
      <c r="D8" s="364"/>
      <c r="E8" s="364">
        <f>$B8*(SUMPRODUCT(E$30:E$32,$C$26:$C$28))/2</f>
        <v>0</v>
      </c>
      <c r="F8" s="364">
        <f t="shared" si="0"/>
        <v>0</v>
      </c>
      <c r="G8" s="364">
        <f t="shared" si="0"/>
        <v>0</v>
      </c>
      <c r="H8" s="364">
        <f t="shared" si="0"/>
        <v>0</v>
      </c>
      <c r="I8" s="364">
        <f t="shared" si="0"/>
        <v>0</v>
      </c>
      <c r="J8" s="364">
        <f t="shared" si="0"/>
        <v>0</v>
      </c>
      <c r="K8" s="364">
        <f t="shared" si="0"/>
        <v>0</v>
      </c>
      <c r="L8" s="364">
        <f t="shared" si="0"/>
        <v>0</v>
      </c>
      <c r="M8" s="364">
        <f t="shared" si="0"/>
        <v>0</v>
      </c>
      <c r="N8" s="365">
        <f t="shared" si="0"/>
        <v>0</v>
      </c>
      <c r="O8" s="378">
        <f t="shared" si="1"/>
        <v>0</v>
      </c>
      <c r="P8" s="379">
        <f t="shared" si="1"/>
        <v>0</v>
      </c>
      <c r="Q8" s="379">
        <f t="shared" si="1"/>
        <v>0</v>
      </c>
      <c r="R8" s="379">
        <f t="shared" si="1"/>
        <v>0</v>
      </c>
      <c r="S8" s="379">
        <f t="shared" si="1"/>
        <v>0</v>
      </c>
      <c r="T8" s="379">
        <f t="shared" si="1"/>
        <v>0</v>
      </c>
      <c r="U8" s="379">
        <f t="shared" si="1"/>
        <v>0</v>
      </c>
      <c r="V8" s="379">
        <f t="shared" si="1"/>
        <v>0</v>
      </c>
      <c r="W8" s="379">
        <f t="shared" si="1"/>
        <v>0</v>
      </c>
      <c r="X8" s="379">
        <f t="shared" si="1"/>
        <v>0</v>
      </c>
      <c r="Y8" s="379">
        <f t="shared" si="1"/>
        <v>0</v>
      </c>
      <c r="Z8" s="380">
        <f t="shared" si="1"/>
        <v>0</v>
      </c>
      <c r="AA8" s="392">
        <f t="shared" si="2"/>
        <v>0</v>
      </c>
      <c r="AB8" s="533">
        <f t="shared" si="3"/>
        <v>0</v>
      </c>
    </row>
    <row r="9" spans="1:28" x14ac:dyDescent="0.25">
      <c r="A9" s="18">
        <v>45383</v>
      </c>
      <c r="B9" s="94">
        <f>'6. 2024 Installed kWh Savings'!D9+'6. 2024 Installed kWh Savings'!I9+'6. 2024 Installed kWh Savings'!K9</f>
        <v>7320</v>
      </c>
      <c r="C9" s="364"/>
      <c r="D9" s="364"/>
      <c r="E9" s="364"/>
      <c r="F9" s="364">
        <f>$B9*(SUMPRODUCT(F$30:F$32,$C$26:$C$28))/2</f>
        <v>309.80070000000001</v>
      </c>
      <c r="G9" s="364">
        <f t="shared" si="0"/>
        <v>581.15676000000008</v>
      </c>
      <c r="H9" s="364">
        <f t="shared" si="0"/>
        <v>501.47856000000002</v>
      </c>
      <c r="I9" s="364">
        <f t="shared" si="0"/>
        <v>496.76447999999993</v>
      </c>
      <c r="J9" s="364">
        <f t="shared" si="0"/>
        <v>516.53579999999999</v>
      </c>
      <c r="K9" s="364">
        <f t="shared" si="0"/>
        <v>540.15743999999995</v>
      </c>
      <c r="L9" s="364">
        <f t="shared" si="0"/>
        <v>618.82547999999997</v>
      </c>
      <c r="M9" s="364">
        <f t="shared" si="0"/>
        <v>657.92160000000001</v>
      </c>
      <c r="N9" s="365">
        <f t="shared" si="0"/>
        <v>719.64383999999995</v>
      </c>
      <c r="O9" s="378">
        <f t="shared" si="1"/>
        <v>740.65224000000001</v>
      </c>
      <c r="P9" s="379">
        <f t="shared" si="1"/>
        <v>647.38812000000007</v>
      </c>
      <c r="Q9" s="379">
        <f t="shared" si="1"/>
        <v>679.87428</v>
      </c>
      <c r="R9" s="379">
        <f t="shared" si="1"/>
        <v>619.60140000000001</v>
      </c>
      <c r="S9" s="379">
        <f t="shared" si="1"/>
        <v>581.15676000000008</v>
      </c>
      <c r="T9" s="379">
        <f t="shared" si="1"/>
        <v>501.47856000000002</v>
      </c>
      <c r="U9" s="379">
        <f t="shared" si="1"/>
        <v>496.76447999999993</v>
      </c>
      <c r="V9" s="379">
        <f t="shared" si="1"/>
        <v>516.53579999999999</v>
      </c>
      <c r="W9" s="379">
        <f t="shared" si="1"/>
        <v>540.15743999999995</v>
      </c>
      <c r="X9" s="379">
        <f t="shared" si="1"/>
        <v>618.82547999999997</v>
      </c>
      <c r="Y9" s="379">
        <f t="shared" si="1"/>
        <v>657.92160000000001</v>
      </c>
      <c r="Z9" s="380">
        <f t="shared" si="1"/>
        <v>719.64383999999995</v>
      </c>
      <c r="AA9" s="392">
        <f t="shared" si="2"/>
        <v>4942.2846599999993</v>
      </c>
      <c r="AB9" s="533">
        <f t="shared" si="3"/>
        <v>7319.9999999999991</v>
      </c>
    </row>
    <row r="10" spans="1:28" x14ac:dyDescent="0.25">
      <c r="A10" s="18">
        <v>45413</v>
      </c>
      <c r="B10" s="94">
        <f>'6. 2024 Installed kWh Savings'!D10+'6. 2024 Installed kWh Savings'!I10+'6. 2024 Installed kWh Savings'!K10</f>
        <v>0</v>
      </c>
      <c r="C10" s="364"/>
      <c r="D10" s="364"/>
      <c r="E10" s="364"/>
      <c r="F10" s="364"/>
      <c r="G10" s="364">
        <f>$B10*(SUMPRODUCT(G$30:G$32,$C$26:$C$28))/2</f>
        <v>0</v>
      </c>
      <c r="H10" s="364">
        <f t="shared" si="0"/>
        <v>0</v>
      </c>
      <c r="I10" s="364">
        <f t="shared" si="0"/>
        <v>0</v>
      </c>
      <c r="J10" s="364">
        <f t="shared" si="0"/>
        <v>0</v>
      </c>
      <c r="K10" s="364">
        <f t="shared" si="0"/>
        <v>0</v>
      </c>
      <c r="L10" s="364">
        <f t="shared" si="0"/>
        <v>0</v>
      </c>
      <c r="M10" s="364">
        <f t="shared" si="0"/>
        <v>0</v>
      </c>
      <c r="N10" s="365">
        <f t="shared" si="0"/>
        <v>0</v>
      </c>
      <c r="O10" s="378">
        <f t="shared" si="1"/>
        <v>0</v>
      </c>
      <c r="P10" s="379">
        <f t="shared" si="1"/>
        <v>0</v>
      </c>
      <c r="Q10" s="379">
        <f t="shared" si="1"/>
        <v>0</v>
      </c>
      <c r="R10" s="379">
        <f t="shared" si="1"/>
        <v>0</v>
      </c>
      <c r="S10" s="379">
        <f t="shared" si="1"/>
        <v>0</v>
      </c>
      <c r="T10" s="379">
        <f t="shared" si="1"/>
        <v>0</v>
      </c>
      <c r="U10" s="379">
        <f t="shared" si="1"/>
        <v>0</v>
      </c>
      <c r="V10" s="379">
        <f t="shared" si="1"/>
        <v>0</v>
      </c>
      <c r="W10" s="379">
        <f t="shared" si="1"/>
        <v>0</v>
      </c>
      <c r="X10" s="379">
        <f t="shared" si="1"/>
        <v>0</v>
      </c>
      <c r="Y10" s="379">
        <f t="shared" si="1"/>
        <v>0</v>
      </c>
      <c r="Z10" s="380">
        <f t="shared" si="1"/>
        <v>0</v>
      </c>
      <c r="AA10" s="392">
        <f t="shared" si="2"/>
        <v>0</v>
      </c>
      <c r="AB10" s="533">
        <f t="shared" si="3"/>
        <v>0</v>
      </c>
    </row>
    <row r="11" spans="1:28" x14ac:dyDescent="0.25">
      <c r="A11" s="18">
        <v>45444</v>
      </c>
      <c r="B11" s="94">
        <f>'6. 2024 Installed kWh Savings'!D11+'6. 2024 Installed kWh Savings'!I11+'6. 2024 Installed kWh Savings'!K11</f>
        <v>0</v>
      </c>
      <c r="C11" s="364"/>
      <c r="D11" s="364"/>
      <c r="E11" s="364"/>
      <c r="F11" s="364"/>
      <c r="G11" s="364"/>
      <c r="H11" s="364">
        <f>$B11*(SUMPRODUCT(H$30:H$32,$C$26:$C$28))/2</f>
        <v>0</v>
      </c>
      <c r="I11" s="364">
        <f t="shared" si="0"/>
        <v>0</v>
      </c>
      <c r="J11" s="364">
        <f t="shared" si="0"/>
        <v>0</v>
      </c>
      <c r="K11" s="364">
        <f t="shared" si="0"/>
        <v>0</v>
      </c>
      <c r="L11" s="364">
        <f t="shared" si="0"/>
        <v>0</v>
      </c>
      <c r="M11" s="364">
        <f t="shared" si="0"/>
        <v>0</v>
      </c>
      <c r="N11" s="365">
        <f t="shared" si="0"/>
        <v>0</v>
      </c>
      <c r="O11" s="378">
        <f t="shared" si="1"/>
        <v>0</v>
      </c>
      <c r="P11" s="379">
        <f t="shared" si="1"/>
        <v>0</v>
      </c>
      <c r="Q11" s="379">
        <f t="shared" si="1"/>
        <v>0</v>
      </c>
      <c r="R11" s="379">
        <f t="shared" si="1"/>
        <v>0</v>
      </c>
      <c r="S11" s="379">
        <f t="shared" si="1"/>
        <v>0</v>
      </c>
      <c r="T11" s="379">
        <f t="shared" si="1"/>
        <v>0</v>
      </c>
      <c r="U11" s="379">
        <f t="shared" si="1"/>
        <v>0</v>
      </c>
      <c r="V11" s="379">
        <f t="shared" si="1"/>
        <v>0</v>
      </c>
      <c r="W11" s="379">
        <f t="shared" si="1"/>
        <v>0</v>
      </c>
      <c r="X11" s="379">
        <f t="shared" si="1"/>
        <v>0</v>
      </c>
      <c r="Y11" s="379">
        <f t="shared" si="1"/>
        <v>0</v>
      </c>
      <c r="Z11" s="380">
        <f t="shared" si="1"/>
        <v>0</v>
      </c>
      <c r="AA11" s="392">
        <f t="shared" si="2"/>
        <v>0</v>
      </c>
      <c r="AB11" s="533">
        <f t="shared" si="3"/>
        <v>0</v>
      </c>
    </row>
    <row r="12" spans="1:28" x14ac:dyDescent="0.25">
      <c r="A12" s="18">
        <v>45474</v>
      </c>
      <c r="B12" s="94">
        <f>'6. 2024 Installed kWh Savings'!D12+'6. 2024 Installed kWh Savings'!I12+'6. 2024 Installed kWh Savings'!K12</f>
        <v>0</v>
      </c>
      <c r="C12" s="364"/>
      <c r="D12" s="364"/>
      <c r="E12" s="364"/>
      <c r="F12" s="364"/>
      <c r="G12" s="364"/>
      <c r="H12" s="364"/>
      <c r="I12" s="364">
        <f>$B12*(SUMPRODUCT(I$30:I$32,$C$26:$C$28))/2</f>
        <v>0</v>
      </c>
      <c r="J12" s="364">
        <f>$B12*(SUMPRODUCT(J$30:J$32,$C$26:$C$28))</f>
        <v>0</v>
      </c>
      <c r="K12" s="364">
        <f>$B12*(SUMPRODUCT(K$30:K$32,$C$26:$C$28))</f>
        <v>0</v>
      </c>
      <c r="L12" s="364">
        <f>$B12*(SUMPRODUCT(L$30:L$32,$C$26:$C$28))</f>
        <v>0</v>
      </c>
      <c r="M12" s="364">
        <f>$B12*(SUMPRODUCT(M$30:M$32,$C$26:$C$28))</f>
        <v>0</v>
      </c>
      <c r="N12" s="365">
        <f>$B12*(SUMPRODUCT(N$30:N$32,$C$26:$C$28))</f>
        <v>0</v>
      </c>
      <c r="O12" s="378">
        <f t="shared" si="1"/>
        <v>0</v>
      </c>
      <c r="P12" s="379">
        <f t="shared" si="1"/>
        <v>0</v>
      </c>
      <c r="Q12" s="379">
        <f t="shared" si="1"/>
        <v>0</v>
      </c>
      <c r="R12" s="379">
        <f t="shared" si="1"/>
        <v>0</v>
      </c>
      <c r="S12" s="379">
        <f t="shared" si="1"/>
        <v>0</v>
      </c>
      <c r="T12" s="379">
        <f t="shared" si="1"/>
        <v>0</v>
      </c>
      <c r="U12" s="379">
        <f t="shared" si="1"/>
        <v>0</v>
      </c>
      <c r="V12" s="379">
        <f t="shared" si="1"/>
        <v>0</v>
      </c>
      <c r="W12" s="379">
        <f t="shared" si="1"/>
        <v>0</v>
      </c>
      <c r="X12" s="379">
        <f t="shared" si="1"/>
        <v>0</v>
      </c>
      <c r="Y12" s="379">
        <f t="shared" si="1"/>
        <v>0</v>
      </c>
      <c r="Z12" s="380">
        <f t="shared" si="1"/>
        <v>0</v>
      </c>
      <c r="AA12" s="392">
        <f t="shared" si="2"/>
        <v>0</v>
      </c>
      <c r="AB12" s="533">
        <f t="shared" si="3"/>
        <v>0</v>
      </c>
    </row>
    <row r="13" spans="1:28" x14ac:dyDescent="0.25">
      <c r="A13" s="18">
        <v>45505</v>
      </c>
      <c r="B13" s="94">
        <f>'6. 2024 Installed kWh Savings'!D13+'6. 2024 Installed kWh Savings'!I13+'6. 2024 Installed kWh Savings'!K13</f>
        <v>135076.20000000001</v>
      </c>
      <c r="C13" s="364"/>
      <c r="D13" s="364"/>
      <c r="E13" s="364"/>
      <c r="F13" s="364"/>
      <c r="G13" s="364"/>
      <c r="H13" s="364"/>
      <c r="I13" s="364"/>
      <c r="J13" s="364">
        <f>$B13*(SUMPRODUCT(J$30:J$32,$C$26:$C$28))/2</f>
        <v>4765.8260265000008</v>
      </c>
      <c r="K13" s="364">
        <f>$B13*(SUMPRODUCT(K$30:K$32,$C$26:$C$28))</f>
        <v>9967.5429504000003</v>
      </c>
      <c r="L13" s="364">
        <f>$B13*(SUMPRODUCT(L$30:L$32,$C$26:$C$28))</f>
        <v>11419.206871800001</v>
      </c>
      <c r="M13" s="364">
        <f>$B13*(SUMPRODUCT(M$30:M$32,$C$26:$C$28))</f>
        <v>12140.648856000002</v>
      </c>
      <c r="N13" s="365">
        <f>$B13*(SUMPRODUCT(N$30:N$32,$C$26:$C$28))</f>
        <v>13279.611374400001</v>
      </c>
      <c r="O13" s="378">
        <f t="shared" si="1"/>
        <v>13667.280068400001</v>
      </c>
      <c r="P13" s="379">
        <f t="shared" si="1"/>
        <v>11946.274204200001</v>
      </c>
      <c r="Q13" s="379">
        <f t="shared" si="1"/>
        <v>12545.742379800002</v>
      </c>
      <c r="R13" s="379">
        <f t="shared" si="1"/>
        <v>11433.524949000001</v>
      </c>
      <c r="S13" s="379">
        <f t="shared" si="1"/>
        <v>10724.104746600002</v>
      </c>
      <c r="T13" s="379">
        <f t="shared" si="1"/>
        <v>9253.8003096000011</v>
      </c>
      <c r="U13" s="379">
        <f t="shared" si="1"/>
        <v>9166.8112368000002</v>
      </c>
      <c r="V13" s="379">
        <f t="shared" si="1"/>
        <v>9531.6520530000016</v>
      </c>
      <c r="W13" s="379">
        <f t="shared" si="1"/>
        <v>9967.5429504000003</v>
      </c>
      <c r="X13" s="379">
        <f t="shared" si="1"/>
        <v>11419.206871800001</v>
      </c>
      <c r="Y13" s="379">
        <f t="shared" si="1"/>
        <v>12140.648856000002</v>
      </c>
      <c r="Z13" s="380">
        <f t="shared" si="1"/>
        <v>13279.611374400001</v>
      </c>
      <c r="AA13" s="392">
        <f t="shared" si="2"/>
        <v>51572.836079100009</v>
      </c>
      <c r="AB13" s="533">
        <f t="shared" si="3"/>
        <v>135076.20000000001</v>
      </c>
    </row>
    <row r="14" spans="1:28" x14ac:dyDescent="0.25">
      <c r="A14" s="18">
        <v>45536</v>
      </c>
      <c r="B14" s="94">
        <f>'6. 2024 Installed kWh Savings'!D14+'6. 2024 Installed kWh Savings'!I14+'6. 2024 Installed kWh Savings'!K14</f>
        <v>0</v>
      </c>
      <c r="C14" s="364"/>
      <c r="D14" s="364"/>
      <c r="E14" s="364"/>
      <c r="F14" s="364"/>
      <c r="G14" s="364"/>
      <c r="H14" s="364"/>
      <c r="I14" s="364"/>
      <c r="J14" s="364"/>
      <c r="K14" s="364">
        <f>$B14*(SUMPRODUCT(K$30:K$32,$C$26:$C$28))/2</f>
        <v>0</v>
      </c>
      <c r="L14" s="364">
        <f>$B14*(SUMPRODUCT(L$30:L$32,$C$26:$C$28))</f>
        <v>0</v>
      </c>
      <c r="M14" s="364">
        <f>$B14*(SUMPRODUCT(M$30:M$32,$C$26:$C$28))</f>
        <v>0</v>
      </c>
      <c r="N14" s="365">
        <f>$B14*(SUMPRODUCT(N$30:N$32,$C$26:$C$28))</f>
        <v>0</v>
      </c>
      <c r="O14" s="378">
        <f t="shared" si="1"/>
        <v>0</v>
      </c>
      <c r="P14" s="379">
        <f t="shared" si="1"/>
        <v>0</v>
      </c>
      <c r="Q14" s="379">
        <f t="shared" si="1"/>
        <v>0</v>
      </c>
      <c r="R14" s="379">
        <f t="shared" si="1"/>
        <v>0</v>
      </c>
      <c r="S14" s="379">
        <f t="shared" si="1"/>
        <v>0</v>
      </c>
      <c r="T14" s="379">
        <f t="shared" si="1"/>
        <v>0</v>
      </c>
      <c r="U14" s="379">
        <f t="shared" si="1"/>
        <v>0</v>
      </c>
      <c r="V14" s="379">
        <f t="shared" si="1"/>
        <v>0</v>
      </c>
      <c r="W14" s="379">
        <f t="shared" si="1"/>
        <v>0</v>
      </c>
      <c r="X14" s="379">
        <f t="shared" si="1"/>
        <v>0</v>
      </c>
      <c r="Y14" s="379">
        <f t="shared" si="1"/>
        <v>0</v>
      </c>
      <c r="Z14" s="380">
        <f t="shared" si="1"/>
        <v>0</v>
      </c>
      <c r="AA14" s="392">
        <f t="shared" si="2"/>
        <v>0</v>
      </c>
      <c r="AB14" s="533">
        <f t="shared" si="3"/>
        <v>0</v>
      </c>
    </row>
    <row r="15" spans="1:28" x14ac:dyDescent="0.25">
      <c r="A15" s="18">
        <v>45566</v>
      </c>
      <c r="B15" s="94">
        <f>'6. 2024 Installed kWh Savings'!D15+'6. 2024 Installed kWh Savings'!I15+'6. 2024 Installed kWh Savings'!K15</f>
        <v>0</v>
      </c>
      <c r="C15" s="364"/>
      <c r="D15" s="364"/>
      <c r="E15" s="364"/>
      <c r="F15" s="364"/>
      <c r="G15" s="364"/>
      <c r="H15" s="364"/>
      <c r="I15" s="364"/>
      <c r="J15" s="364"/>
      <c r="K15" s="364"/>
      <c r="L15" s="364">
        <f>$B15*(SUMPRODUCT(L$30:L$32,$C$26:$C$28))/2</f>
        <v>0</v>
      </c>
      <c r="M15" s="364">
        <f>$B15*(SUMPRODUCT(M$30:M$32,$C$26:$C$28))</f>
        <v>0</v>
      </c>
      <c r="N15" s="365">
        <f>$B15*(SUMPRODUCT(N$30:N$32,$C$26:$C$28))</f>
        <v>0</v>
      </c>
      <c r="O15" s="378">
        <f t="shared" si="1"/>
        <v>0</v>
      </c>
      <c r="P15" s="379">
        <f t="shared" si="1"/>
        <v>0</v>
      </c>
      <c r="Q15" s="379">
        <f t="shared" si="1"/>
        <v>0</v>
      </c>
      <c r="R15" s="379">
        <f t="shared" si="1"/>
        <v>0</v>
      </c>
      <c r="S15" s="379">
        <f t="shared" si="1"/>
        <v>0</v>
      </c>
      <c r="T15" s="379">
        <f t="shared" si="1"/>
        <v>0</v>
      </c>
      <c r="U15" s="379">
        <f t="shared" si="1"/>
        <v>0</v>
      </c>
      <c r="V15" s="379">
        <f t="shared" si="1"/>
        <v>0</v>
      </c>
      <c r="W15" s="379">
        <f t="shared" si="1"/>
        <v>0</v>
      </c>
      <c r="X15" s="379">
        <f t="shared" si="1"/>
        <v>0</v>
      </c>
      <c r="Y15" s="379">
        <f t="shared" si="1"/>
        <v>0</v>
      </c>
      <c r="Z15" s="380">
        <f t="shared" si="1"/>
        <v>0</v>
      </c>
      <c r="AA15" s="392">
        <f t="shared" si="2"/>
        <v>0</v>
      </c>
      <c r="AB15" s="533">
        <f t="shared" si="3"/>
        <v>0</v>
      </c>
    </row>
    <row r="16" spans="1:28" x14ac:dyDescent="0.25">
      <c r="A16" s="18">
        <v>45597</v>
      </c>
      <c r="B16" s="94">
        <f>'6. 2024 Installed kWh Savings'!D16+'6. 2024 Installed kWh Savings'!I16+'6. 2024 Installed kWh Savings'!K16</f>
        <v>0</v>
      </c>
      <c r="C16" s="364"/>
      <c r="D16" s="364"/>
      <c r="E16" s="364"/>
      <c r="F16" s="364"/>
      <c r="G16" s="364"/>
      <c r="H16" s="364"/>
      <c r="I16" s="364"/>
      <c r="J16" s="364"/>
      <c r="K16" s="364"/>
      <c r="L16" s="364"/>
      <c r="M16" s="364">
        <f>$B16*(SUMPRODUCT(M$30:M$32,$C$26:$C$28))/2</f>
        <v>0</v>
      </c>
      <c r="N16" s="365">
        <f>$B16*(SUMPRODUCT(N$30:N$32,$C$26:$C$28))</f>
        <v>0</v>
      </c>
      <c r="O16" s="378">
        <f t="shared" si="1"/>
        <v>0</v>
      </c>
      <c r="P16" s="379">
        <f t="shared" si="1"/>
        <v>0</v>
      </c>
      <c r="Q16" s="379">
        <f t="shared" si="1"/>
        <v>0</v>
      </c>
      <c r="R16" s="379">
        <f t="shared" si="1"/>
        <v>0</v>
      </c>
      <c r="S16" s="379">
        <f t="shared" si="1"/>
        <v>0</v>
      </c>
      <c r="T16" s="379">
        <f t="shared" si="1"/>
        <v>0</v>
      </c>
      <c r="U16" s="379">
        <f t="shared" si="1"/>
        <v>0</v>
      </c>
      <c r="V16" s="379">
        <f t="shared" si="1"/>
        <v>0</v>
      </c>
      <c r="W16" s="379">
        <f t="shared" si="1"/>
        <v>0</v>
      </c>
      <c r="X16" s="379">
        <f t="shared" si="1"/>
        <v>0</v>
      </c>
      <c r="Y16" s="379">
        <f t="shared" si="1"/>
        <v>0</v>
      </c>
      <c r="Z16" s="380">
        <f t="shared" si="1"/>
        <v>0</v>
      </c>
      <c r="AA16" s="392">
        <f t="shared" si="2"/>
        <v>0</v>
      </c>
      <c r="AB16" s="533">
        <f t="shared" si="3"/>
        <v>0</v>
      </c>
    </row>
    <row r="17" spans="1:28" x14ac:dyDescent="0.25">
      <c r="A17" s="18">
        <v>45627</v>
      </c>
      <c r="B17" s="95">
        <f>'6. 2024 Installed kWh Savings'!D17+'6. 2024 Installed kWh Savings'!I17+'6. 2024 Installed kWh Savings'!K17</f>
        <v>0</v>
      </c>
      <c r="C17" s="364"/>
      <c r="D17" s="364"/>
      <c r="E17" s="364"/>
      <c r="F17" s="364"/>
      <c r="G17" s="364"/>
      <c r="H17" s="364"/>
      <c r="I17" s="364"/>
      <c r="J17" s="364"/>
      <c r="K17" s="364"/>
      <c r="L17" s="364"/>
      <c r="M17" s="364"/>
      <c r="N17" s="365">
        <f>$B17*(SUMPRODUCT(N$30:N$32,$C$26:$C$28))/2</f>
        <v>0</v>
      </c>
      <c r="O17" s="378">
        <f t="shared" si="1"/>
        <v>0</v>
      </c>
      <c r="P17" s="379">
        <f t="shared" si="1"/>
        <v>0</v>
      </c>
      <c r="Q17" s="379">
        <f t="shared" si="1"/>
        <v>0</v>
      </c>
      <c r="R17" s="379">
        <f t="shared" si="1"/>
        <v>0</v>
      </c>
      <c r="S17" s="379">
        <f t="shared" si="1"/>
        <v>0</v>
      </c>
      <c r="T17" s="379">
        <f t="shared" si="1"/>
        <v>0</v>
      </c>
      <c r="U17" s="379">
        <f t="shared" si="1"/>
        <v>0</v>
      </c>
      <c r="V17" s="379">
        <f t="shared" si="1"/>
        <v>0</v>
      </c>
      <c r="W17" s="379">
        <f t="shared" si="1"/>
        <v>0</v>
      </c>
      <c r="X17" s="379">
        <f t="shared" si="1"/>
        <v>0</v>
      </c>
      <c r="Y17" s="379">
        <f t="shared" si="1"/>
        <v>0</v>
      </c>
      <c r="Z17" s="380">
        <f t="shared" si="1"/>
        <v>0</v>
      </c>
      <c r="AA17" s="392">
        <f t="shared" si="2"/>
        <v>0</v>
      </c>
      <c r="AB17" s="533">
        <f t="shared" si="3"/>
        <v>0</v>
      </c>
    </row>
    <row r="18" spans="1:28" x14ac:dyDescent="0.25">
      <c r="A18" s="18"/>
      <c r="B18" s="20"/>
      <c r="C18" s="363"/>
      <c r="D18" s="364"/>
      <c r="E18" s="364"/>
      <c r="F18" s="364"/>
      <c r="G18" s="364"/>
      <c r="H18" s="364"/>
      <c r="I18" s="364"/>
      <c r="J18" s="364"/>
      <c r="K18" s="364"/>
      <c r="L18" s="364"/>
      <c r="M18" s="364"/>
      <c r="N18" s="365"/>
      <c r="O18" s="378"/>
      <c r="P18" s="379"/>
      <c r="Q18" s="379"/>
      <c r="R18" s="379"/>
      <c r="S18" s="379"/>
      <c r="T18" s="379"/>
      <c r="U18" s="379"/>
      <c r="V18" s="379"/>
      <c r="W18" s="379"/>
      <c r="X18" s="379"/>
      <c r="Y18" s="379"/>
      <c r="Z18" s="380"/>
      <c r="AA18" s="392"/>
      <c r="AB18" s="534"/>
    </row>
    <row r="19" spans="1:28" x14ac:dyDescent="0.25">
      <c r="A19" s="88" t="s">
        <v>35</v>
      </c>
      <c r="B19" s="20">
        <f>SUM(B6:B17)</f>
        <v>142396.20000000001</v>
      </c>
      <c r="C19" s="447">
        <f t="shared" ref="C19:AA19" si="4">SUM(C6:C17)</f>
        <v>0</v>
      </c>
      <c r="D19" s="448">
        <f t="shared" si="4"/>
        <v>0</v>
      </c>
      <c r="E19" s="448">
        <f t="shared" si="4"/>
        <v>0</v>
      </c>
      <c r="F19" s="448">
        <f t="shared" si="4"/>
        <v>309.80070000000001</v>
      </c>
      <c r="G19" s="448">
        <f t="shared" si="4"/>
        <v>581.15676000000008</v>
      </c>
      <c r="H19" s="448">
        <f t="shared" si="4"/>
        <v>501.47856000000002</v>
      </c>
      <c r="I19" s="448">
        <f t="shared" si="4"/>
        <v>496.76447999999993</v>
      </c>
      <c r="J19" s="448">
        <f t="shared" si="4"/>
        <v>5282.3618265000005</v>
      </c>
      <c r="K19" s="448">
        <f t="shared" si="4"/>
        <v>10507.700390400001</v>
      </c>
      <c r="L19" s="448">
        <f t="shared" si="4"/>
        <v>12038.0323518</v>
      </c>
      <c r="M19" s="448">
        <f t="shared" si="4"/>
        <v>12798.570456000001</v>
      </c>
      <c r="N19" s="449">
        <f t="shared" si="4"/>
        <v>13999.255214400002</v>
      </c>
      <c r="O19" s="425">
        <f t="shared" ref="O19:Z19" si="5">SUM(O6:O17)</f>
        <v>14407.932308400001</v>
      </c>
      <c r="P19" s="426">
        <f t="shared" si="5"/>
        <v>12593.662324200001</v>
      </c>
      <c r="Q19" s="426">
        <f t="shared" si="5"/>
        <v>13225.616659800002</v>
      </c>
      <c r="R19" s="426">
        <f t="shared" si="5"/>
        <v>12053.126349</v>
      </c>
      <c r="S19" s="426">
        <f t="shared" si="5"/>
        <v>11305.261506600002</v>
      </c>
      <c r="T19" s="426">
        <f t="shared" si="5"/>
        <v>9755.2788696000007</v>
      </c>
      <c r="U19" s="426">
        <f t="shared" si="5"/>
        <v>9663.5757168</v>
      </c>
      <c r="V19" s="426">
        <f t="shared" si="5"/>
        <v>10048.187853000001</v>
      </c>
      <c r="W19" s="426">
        <f t="shared" si="5"/>
        <v>10507.700390400001</v>
      </c>
      <c r="X19" s="426">
        <f t="shared" si="5"/>
        <v>12038.0323518</v>
      </c>
      <c r="Y19" s="426">
        <f t="shared" si="5"/>
        <v>12798.570456000001</v>
      </c>
      <c r="Z19" s="427">
        <f t="shared" si="5"/>
        <v>13999.255214400002</v>
      </c>
      <c r="AA19" s="397">
        <f t="shared" si="4"/>
        <v>56515.120739100006</v>
      </c>
      <c r="AB19" s="536">
        <f t="shared" ref="AB19" si="6">SUM(AB6:AB17)</f>
        <v>142396.20000000001</v>
      </c>
    </row>
    <row r="20" spans="1:28" x14ac:dyDescent="0.25">
      <c r="A20" s="88" t="s">
        <v>38</v>
      </c>
      <c r="B20" s="733">
        <v>0.82499999999999996</v>
      </c>
      <c r="C20" s="366"/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8"/>
      <c r="O20" s="381"/>
      <c r="P20" s="382"/>
      <c r="Q20" s="382"/>
      <c r="R20" s="382"/>
      <c r="S20" s="382"/>
      <c r="T20" s="382"/>
      <c r="U20" s="382"/>
      <c r="V20" s="382"/>
      <c r="W20" s="382"/>
      <c r="X20" s="382"/>
      <c r="Y20" s="382"/>
      <c r="Z20" s="383"/>
      <c r="AA20" s="393"/>
      <c r="AB20" s="393"/>
    </row>
    <row r="21" spans="1:28" x14ac:dyDescent="0.25">
      <c r="A21" s="88" t="s">
        <v>36</v>
      </c>
      <c r="B21" s="20"/>
      <c r="C21" s="369">
        <f>$F$38</f>
        <v>0.10241358634724779</v>
      </c>
      <c r="D21" s="360">
        <f t="shared" ref="D21:G21" si="7">$F$38</f>
        <v>0.10241358634724779</v>
      </c>
      <c r="E21" s="360">
        <f t="shared" si="7"/>
        <v>0.10241358634724779</v>
      </c>
      <c r="F21" s="360">
        <f t="shared" si="7"/>
        <v>0.10241358634724779</v>
      </c>
      <c r="G21" s="360">
        <f t="shared" si="7"/>
        <v>0.10241358634724779</v>
      </c>
      <c r="H21" s="360">
        <f>$F$37*0.5+$F$38*0.5</f>
        <v>0.11431358634724779</v>
      </c>
      <c r="I21" s="360">
        <f>$F$37</f>
        <v>0.1262135863472478</v>
      </c>
      <c r="J21" s="360">
        <f t="shared" ref="J21:K21" si="8">$F$37</f>
        <v>0.1262135863472478</v>
      </c>
      <c r="K21" s="360">
        <f t="shared" si="8"/>
        <v>0.1262135863472478</v>
      </c>
      <c r="L21" s="360">
        <f>$F$37*0.5+$F$38*0.5</f>
        <v>0.11431358634724779</v>
      </c>
      <c r="M21" s="360">
        <f>$F$38</f>
        <v>0.10241358634724779</v>
      </c>
      <c r="N21" s="370">
        <f t="shared" ref="N21" si="9">$F$38</f>
        <v>0.10241358634724779</v>
      </c>
      <c r="O21" s="384">
        <f>$F$38</f>
        <v>0.10241358634724779</v>
      </c>
      <c r="P21" s="374">
        <f t="shared" ref="P21:S21" si="10">$F$38</f>
        <v>0.10241358634724779</v>
      </c>
      <c r="Q21" s="374">
        <f t="shared" si="10"/>
        <v>0.10241358634724779</v>
      </c>
      <c r="R21" s="374">
        <f t="shared" si="10"/>
        <v>0.10241358634724779</v>
      </c>
      <c r="S21" s="374">
        <f t="shared" si="10"/>
        <v>0.10241358634724779</v>
      </c>
      <c r="T21" s="374">
        <f>$F$37*0.5+$F$38*0.5</f>
        <v>0.11431358634724779</v>
      </c>
      <c r="U21" s="374">
        <f>$F$37</f>
        <v>0.1262135863472478</v>
      </c>
      <c r="V21" s="374">
        <f t="shared" ref="V21:W21" si="11">$F$37</f>
        <v>0.1262135863472478</v>
      </c>
      <c r="W21" s="374">
        <f t="shared" si="11"/>
        <v>0.1262135863472478</v>
      </c>
      <c r="X21" s="374">
        <f>$F$37*0.5+$F$38*0.5</f>
        <v>0.11431358634724779</v>
      </c>
      <c r="Y21" s="374">
        <f>$F$38</f>
        <v>0.10241358634724779</v>
      </c>
      <c r="Z21" s="385">
        <f t="shared" ref="Z21" si="12">$F$38</f>
        <v>0.10241358634724779</v>
      </c>
      <c r="AA21" s="395"/>
      <c r="AB21" s="395"/>
    </row>
    <row r="22" spans="1:28" x14ac:dyDescent="0.25">
      <c r="A22" s="354" t="s">
        <v>37</v>
      </c>
      <c r="B22" s="21"/>
      <c r="C22" s="371">
        <f>C19*$B$20*C21</f>
        <v>0</v>
      </c>
      <c r="D22" s="372">
        <f t="shared" ref="D22:N22" si="13">D19*$B$20*D21</f>
        <v>0</v>
      </c>
      <c r="E22" s="372">
        <f t="shared" si="13"/>
        <v>0</v>
      </c>
      <c r="F22" s="372">
        <f t="shared" si="13"/>
        <v>26.17543561040744</v>
      </c>
      <c r="G22" s="372">
        <f t="shared" si="13"/>
        <v>49.102637117776077</v>
      </c>
      <c r="H22" s="372">
        <f t="shared" si="13"/>
        <v>47.293795452629126</v>
      </c>
      <c r="I22" s="372">
        <f t="shared" si="13"/>
        <v>51.726201937348655</v>
      </c>
      <c r="J22" s="372">
        <f t="shared" si="13"/>
        <v>550.03231016774976</v>
      </c>
      <c r="K22" s="372">
        <f t="shared" si="13"/>
        <v>1094.1270041911769</v>
      </c>
      <c r="L22" s="372">
        <f t="shared" si="13"/>
        <v>1135.2912868262226</v>
      </c>
      <c r="M22" s="372">
        <f t="shared" si="13"/>
        <v>1081.3666879264347</v>
      </c>
      <c r="N22" s="373">
        <f t="shared" si="13"/>
        <v>1182.8139944751185</v>
      </c>
      <c r="O22" s="386">
        <f>O19*$B$20*O21</f>
        <v>1217.3436161300901</v>
      </c>
      <c r="P22" s="387">
        <f t="shared" ref="P22:Z22" si="14">P19*$B$20*P21</f>
        <v>1064.0537521907188</v>
      </c>
      <c r="Q22" s="387">
        <f t="shared" si="14"/>
        <v>1117.4483378718216</v>
      </c>
      <c r="R22" s="387">
        <f t="shared" si="14"/>
        <v>1018.3832142805192</v>
      </c>
      <c r="S22" s="387">
        <f t="shared" si="14"/>
        <v>955.19520977462662</v>
      </c>
      <c r="T22" s="387">
        <f t="shared" si="14"/>
        <v>920.00775355623875</v>
      </c>
      <c r="U22" s="387">
        <f t="shared" si="14"/>
        <v>1006.2315022282907</v>
      </c>
      <c r="V22" s="387">
        <f t="shared" si="14"/>
        <v>1046.2797058048352</v>
      </c>
      <c r="W22" s="387">
        <f t="shared" si="14"/>
        <v>1094.1270041911769</v>
      </c>
      <c r="X22" s="387">
        <f t="shared" si="14"/>
        <v>1135.2912868262226</v>
      </c>
      <c r="Y22" s="387">
        <f t="shared" si="14"/>
        <v>1081.3666879264347</v>
      </c>
      <c r="Z22" s="388">
        <f t="shared" si="14"/>
        <v>1182.8139944751185</v>
      </c>
      <c r="AA22" s="429">
        <f>SUM(C22:N22)</f>
        <v>5217.9293537048634</v>
      </c>
      <c r="AB22" s="429">
        <f>SUM(O22:Z22)</f>
        <v>12838.542065256095</v>
      </c>
    </row>
    <row r="23" spans="1:28" x14ac:dyDescent="0.25">
      <c r="A23" s="88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</row>
    <row r="24" spans="1:28" x14ac:dyDescent="0.25">
      <c r="A24" s="88"/>
      <c r="O24" s="428">
        <f>+AA22/(AA19*$B$20)</f>
        <v>0.11191275485676885</v>
      </c>
    </row>
    <row r="25" spans="1:28" x14ac:dyDescent="0.25">
      <c r="A25" s="355" t="s">
        <v>39</v>
      </c>
      <c r="B25" s="276"/>
      <c r="C25" s="277"/>
      <c r="I25" s="23"/>
    </row>
    <row r="26" spans="1:28" x14ac:dyDescent="0.25">
      <c r="A26" s="356" t="s">
        <v>298</v>
      </c>
      <c r="B26" s="262"/>
      <c r="C26" s="263">
        <v>1</v>
      </c>
      <c r="I26" s="23"/>
    </row>
    <row r="27" spans="1:28" x14ac:dyDescent="0.25">
      <c r="A27" s="357" t="s">
        <v>299</v>
      </c>
      <c r="B27" s="261"/>
      <c r="C27" s="256">
        <v>0</v>
      </c>
      <c r="I27" s="23"/>
    </row>
    <row r="28" spans="1:28" x14ac:dyDescent="0.25">
      <c r="A28" s="358" t="s">
        <v>300</v>
      </c>
      <c r="B28" s="257"/>
      <c r="C28" s="258">
        <v>0</v>
      </c>
    </row>
    <row r="29" spans="1:28" x14ac:dyDescent="0.25">
      <c r="A29" s="88"/>
      <c r="C29" s="27"/>
    </row>
    <row r="30" spans="1:28" x14ac:dyDescent="0.25">
      <c r="A30" s="88" t="s">
        <v>33</v>
      </c>
      <c r="C30" s="72">
        <f t="array" ref="C30:N32">TRANSPOSE('8. Load Shapes'!$B$4:$D$15)</f>
        <v>0.10118199999999999</v>
      </c>
      <c r="D30" s="73">
        <v>8.8441000000000006E-2</v>
      </c>
      <c r="E30" s="73">
        <v>9.2879000000000003E-2</v>
      </c>
      <c r="F30" s="73">
        <v>8.4644999999999998E-2</v>
      </c>
      <c r="G30" s="73">
        <v>7.9393000000000005E-2</v>
      </c>
      <c r="H30" s="73">
        <v>6.8507999999999999E-2</v>
      </c>
      <c r="I30" s="74">
        <v>6.7863999999999994E-2</v>
      </c>
      <c r="J30" s="74">
        <v>7.0565000000000003E-2</v>
      </c>
      <c r="K30" s="74">
        <v>7.3791999999999996E-2</v>
      </c>
      <c r="L30" s="74">
        <v>8.4539000000000003E-2</v>
      </c>
      <c r="M30" s="74">
        <v>8.9880000000000002E-2</v>
      </c>
      <c r="N30" s="75">
        <v>9.8311999999999997E-2</v>
      </c>
      <c r="O30" s="72">
        <f t="array" ref="O30:Z32">TRANSPOSE('8. Load Shapes'!$B$4:$D$15)</f>
        <v>0.10118199999999999</v>
      </c>
      <c r="P30" s="73">
        <v>8.8441000000000006E-2</v>
      </c>
      <c r="Q30" s="73">
        <v>9.2879000000000003E-2</v>
      </c>
      <c r="R30" s="73">
        <v>8.4644999999999998E-2</v>
      </c>
      <c r="S30" s="73">
        <v>7.9393000000000005E-2</v>
      </c>
      <c r="T30" s="73">
        <v>6.8507999999999999E-2</v>
      </c>
      <c r="U30" s="74">
        <v>6.7863999999999994E-2</v>
      </c>
      <c r="V30" s="74">
        <v>7.0565000000000003E-2</v>
      </c>
      <c r="W30" s="74">
        <v>7.3791999999999996E-2</v>
      </c>
      <c r="X30" s="74">
        <v>8.4539000000000003E-2</v>
      </c>
      <c r="Y30" s="74">
        <v>8.9880000000000002E-2</v>
      </c>
      <c r="Z30" s="75">
        <v>9.8311999999999997E-2</v>
      </c>
    </row>
    <row r="31" spans="1:28" x14ac:dyDescent="0.25">
      <c r="A31" s="88" t="s">
        <v>40</v>
      </c>
      <c r="C31" s="76">
        <v>0.21790599999999999</v>
      </c>
      <c r="D31" s="77">
        <v>0.18213499999999999</v>
      </c>
      <c r="E31" s="77">
        <v>0.13483300000000001</v>
      </c>
      <c r="F31" s="77">
        <v>5.8486000000000003E-2</v>
      </c>
      <c r="G31" s="77">
        <v>1.7144E-2</v>
      </c>
      <c r="H31" s="77">
        <v>5.1000000000000004E-4</v>
      </c>
      <c r="I31" s="78">
        <v>6.0000000000000002E-6</v>
      </c>
      <c r="J31" s="78">
        <v>9.0000000000000002E-6</v>
      </c>
      <c r="K31" s="78">
        <v>8.8090000000000009E-3</v>
      </c>
      <c r="L31" s="78">
        <v>5.4961999999999997E-2</v>
      </c>
      <c r="M31" s="78">
        <v>0.115899</v>
      </c>
      <c r="N31" s="79">
        <v>0.20930099999999999</v>
      </c>
      <c r="O31" s="76">
        <v>0.21790599999999999</v>
      </c>
      <c r="P31" s="77">
        <v>0.18213499999999999</v>
      </c>
      <c r="Q31" s="77">
        <v>0.13483300000000001</v>
      </c>
      <c r="R31" s="77">
        <v>5.8486000000000003E-2</v>
      </c>
      <c r="S31" s="77">
        <v>1.7144E-2</v>
      </c>
      <c r="T31" s="77">
        <v>5.1000000000000004E-4</v>
      </c>
      <c r="U31" s="78">
        <v>6.0000000000000002E-6</v>
      </c>
      <c r="V31" s="78">
        <v>9.0000000000000002E-6</v>
      </c>
      <c r="W31" s="78">
        <v>8.8090000000000009E-3</v>
      </c>
      <c r="X31" s="78">
        <v>5.4961999999999997E-2</v>
      </c>
      <c r="Y31" s="78">
        <v>0.115899</v>
      </c>
      <c r="Z31" s="79">
        <v>0.20930099999999999</v>
      </c>
    </row>
    <row r="32" spans="1:28" x14ac:dyDescent="0.25">
      <c r="A32" s="88" t="s">
        <v>41</v>
      </c>
      <c r="C32" s="80">
        <v>1.1999999999999999E-3</v>
      </c>
      <c r="D32" s="81">
        <v>1.1000000000000001E-3</v>
      </c>
      <c r="E32" s="81">
        <v>3.13E-3</v>
      </c>
      <c r="F32" s="81">
        <v>1.5047E-2</v>
      </c>
      <c r="G32" s="81">
        <v>6.5409999999999996E-2</v>
      </c>
      <c r="H32" s="81">
        <v>0.21082300000000001</v>
      </c>
      <c r="I32" s="82">
        <v>0.28478100000000001</v>
      </c>
      <c r="J32" s="82">
        <v>0.27076600000000001</v>
      </c>
      <c r="K32" s="82">
        <v>0.126605</v>
      </c>
      <c r="L32" s="82">
        <v>1.8471999999999999E-2</v>
      </c>
      <c r="M32" s="82">
        <v>1.444E-3</v>
      </c>
      <c r="N32" s="83">
        <v>1.222E-3</v>
      </c>
      <c r="O32" s="80">
        <v>1.1999999999999999E-3</v>
      </c>
      <c r="P32" s="81">
        <v>1.1000000000000001E-3</v>
      </c>
      <c r="Q32" s="81">
        <v>3.13E-3</v>
      </c>
      <c r="R32" s="81">
        <v>1.5047E-2</v>
      </c>
      <c r="S32" s="81">
        <v>6.5409999999999996E-2</v>
      </c>
      <c r="T32" s="81">
        <v>0.21082300000000001</v>
      </c>
      <c r="U32" s="82">
        <v>0.28478100000000001</v>
      </c>
      <c r="V32" s="82">
        <v>0.27076600000000001</v>
      </c>
      <c r="W32" s="82">
        <v>0.126605</v>
      </c>
      <c r="X32" s="82">
        <v>1.8471999999999999E-2</v>
      </c>
      <c r="Y32" s="82">
        <v>1.444E-3</v>
      </c>
      <c r="Z32" s="83">
        <v>1.222E-3</v>
      </c>
    </row>
    <row r="33" spans="1:9" x14ac:dyDescent="0.25">
      <c r="A33" s="88"/>
    </row>
    <row r="34" spans="1:9" x14ac:dyDescent="0.25">
      <c r="A34" s="88"/>
      <c r="C34" s="24"/>
      <c r="D34" s="24"/>
      <c r="E34" s="24"/>
      <c r="F34" s="24"/>
      <c r="G34" s="24"/>
      <c r="H34" s="24"/>
    </row>
    <row r="35" spans="1:9" x14ac:dyDescent="0.25">
      <c r="A35" s="355" t="s">
        <v>150</v>
      </c>
      <c r="B35" s="761" t="s">
        <v>250</v>
      </c>
      <c r="C35" s="761"/>
      <c r="D35" s="761"/>
      <c r="E35" s="761"/>
      <c r="F35" s="761"/>
      <c r="G35" s="762"/>
      <c r="I35" s="23"/>
    </row>
    <row r="36" spans="1:9" x14ac:dyDescent="0.25">
      <c r="A36" s="87"/>
      <c r="B36" s="248" t="s">
        <v>147</v>
      </c>
      <c r="C36" s="248" t="s">
        <v>42</v>
      </c>
      <c r="D36" s="248" t="s">
        <v>43</v>
      </c>
      <c r="E36" s="248" t="s">
        <v>132</v>
      </c>
      <c r="F36" s="157" t="s">
        <v>44</v>
      </c>
      <c r="G36" s="158"/>
    </row>
    <row r="37" spans="1:9" x14ac:dyDescent="0.25">
      <c r="A37" s="359" t="s">
        <v>45</v>
      </c>
      <c r="B37" s="265">
        <v>0.14030999999999999</v>
      </c>
      <c r="C37" s="254">
        <v>0.14030999999999999</v>
      </c>
      <c r="D37" s="254">
        <f>'2. TD Res Lighting install 2022'!N37</f>
        <v>8.6999999999999994E-3</v>
      </c>
      <c r="E37" s="255">
        <v>0.02</v>
      </c>
      <c r="F37" s="28">
        <f>SUMPRODUCT(B37:C37,B40:C40)-D37-E37*$E$40</f>
        <v>0.1262135863472478</v>
      </c>
      <c r="G37" s="60"/>
    </row>
    <row r="38" spans="1:9" x14ac:dyDescent="0.25">
      <c r="A38" s="359" t="s">
        <v>46</v>
      </c>
      <c r="B38" s="266">
        <v>0.14030999999999999</v>
      </c>
      <c r="C38" s="267">
        <v>0.11651</v>
      </c>
      <c r="D38" s="274">
        <f>+D37</f>
        <v>8.6999999999999994E-3</v>
      </c>
      <c r="E38" s="275">
        <f>+E37</f>
        <v>0.02</v>
      </c>
      <c r="F38" s="28">
        <f>SUMPRODUCT(B38:C38,B40:C40)-D38-E38*$E$40</f>
        <v>0.10241358634724779</v>
      </c>
      <c r="G38" s="60"/>
    </row>
    <row r="39" spans="1:9" x14ac:dyDescent="0.25">
      <c r="A39" s="359"/>
      <c r="B39" s="17"/>
    </row>
    <row r="40" spans="1:9" x14ac:dyDescent="0.25">
      <c r="A40" s="88"/>
      <c r="B40" s="279">
        <f t="array" ref="B40:C40">TRANSPOSE('Step Adjustments'!C12:C13)</f>
        <v>0</v>
      </c>
      <c r="C40" s="280">
        <v>1</v>
      </c>
      <c r="E40" s="253">
        <v>0.26982068263761072</v>
      </c>
    </row>
    <row r="41" spans="1:9" x14ac:dyDescent="0.25">
      <c r="A41" s="88"/>
    </row>
    <row r="42" spans="1:9" x14ac:dyDescent="0.25">
      <c r="A42" s="88"/>
    </row>
    <row r="43" spans="1:9" x14ac:dyDescent="0.25">
      <c r="A43" s="88"/>
    </row>
    <row r="44" spans="1:9" x14ac:dyDescent="0.25">
      <c r="A44" s="88"/>
    </row>
    <row r="45" spans="1:9" x14ac:dyDescent="0.25">
      <c r="A45" s="88"/>
    </row>
    <row r="46" spans="1:9" x14ac:dyDescent="0.25">
      <c r="A46" s="88"/>
    </row>
  </sheetData>
  <mergeCells count="3">
    <mergeCell ref="C1:N1"/>
    <mergeCell ref="B35:G35"/>
    <mergeCell ref="O1:Z1"/>
  </mergeCells>
  <pageMargins left="0.7" right="0.7" top="0.75" bottom="0.75" header="0.3" footer="0.3"/>
  <pageSetup orientation="portrait" r:id="rId1"/>
  <ignoredErrors>
    <ignoredError sqref="AA2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5CD5C-FE48-477C-B0B1-8761AD39D9FB}">
  <sheetPr codeName="Sheet15"/>
  <dimension ref="A1:AB40"/>
  <sheetViews>
    <sheetView zoomScaleNormal="100" workbookViewId="0">
      <pane xSplit="2" ySplit="5" topLeftCell="C6" activePane="bottomRight" state="frozen"/>
      <selection activeCell="D6" sqref="D6"/>
      <selection pane="topRight" activeCell="D6" sqref="D6"/>
      <selection pane="bottomLeft" activeCell="D6" sqref="D6"/>
      <selection pane="bottomRight"/>
    </sheetView>
  </sheetViews>
  <sheetFormatPr defaultColWidth="12.7109375" defaultRowHeight="13.1" x14ac:dyDescent="0.25"/>
  <cols>
    <col min="1" max="1" width="30.7109375" style="22" customWidth="1"/>
    <col min="2" max="2" width="12.7109375" style="22"/>
    <col min="3" max="16384" width="12.7109375" style="17"/>
  </cols>
  <sheetData>
    <row r="1" spans="1:28" x14ac:dyDescent="0.25">
      <c r="A1" s="438" t="str">
        <f>Company_Filing</f>
        <v>2025 MEEIA Filing</v>
      </c>
      <c r="B1" s="272"/>
      <c r="C1" s="760" t="s">
        <v>244</v>
      </c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760" t="s">
        <v>245</v>
      </c>
      <c r="P1" s="760"/>
      <c r="Q1" s="760"/>
      <c r="R1" s="760"/>
      <c r="S1" s="760"/>
      <c r="T1" s="760"/>
      <c r="U1" s="760"/>
      <c r="V1" s="760"/>
      <c r="W1" s="760"/>
      <c r="X1" s="760"/>
      <c r="Y1" s="760"/>
      <c r="Z1" s="760"/>
      <c r="AA1" s="389" t="s">
        <v>221</v>
      </c>
      <c r="AB1" s="389" t="s">
        <v>222</v>
      </c>
    </row>
    <row r="2" spans="1:28" x14ac:dyDescent="0.25">
      <c r="A2" s="439" t="s">
        <v>190</v>
      </c>
      <c r="B2" s="273"/>
      <c r="C2" s="215">
        <v>45292</v>
      </c>
      <c r="D2" s="215">
        <v>45323</v>
      </c>
      <c r="E2" s="215">
        <v>45352</v>
      </c>
      <c r="F2" s="215">
        <v>45383</v>
      </c>
      <c r="G2" s="215">
        <v>45413</v>
      </c>
      <c r="H2" s="215">
        <v>45444</v>
      </c>
      <c r="I2" s="215">
        <v>45474</v>
      </c>
      <c r="J2" s="215">
        <v>45505</v>
      </c>
      <c r="K2" s="215">
        <v>45536</v>
      </c>
      <c r="L2" s="215">
        <v>45566</v>
      </c>
      <c r="M2" s="215">
        <v>45597</v>
      </c>
      <c r="N2" s="215">
        <v>45627</v>
      </c>
      <c r="O2" s="215">
        <v>45658</v>
      </c>
      <c r="P2" s="215">
        <v>45689</v>
      </c>
      <c r="Q2" s="215">
        <v>45717</v>
      </c>
      <c r="R2" s="215">
        <v>45748</v>
      </c>
      <c r="S2" s="215">
        <v>45778</v>
      </c>
      <c r="T2" s="215">
        <v>45809</v>
      </c>
      <c r="U2" s="215">
        <v>45839</v>
      </c>
      <c r="V2" s="215">
        <v>45870</v>
      </c>
      <c r="W2" s="215">
        <v>45901</v>
      </c>
      <c r="X2" s="215">
        <v>45931</v>
      </c>
      <c r="Y2" s="215">
        <v>45962</v>
      </c>
      <c r="Z2" s="215">
        <v>45992</v>
      </c>
      <c r="AA2" s="402" t="s">
        <v>181</v>
      </c>
      <c r="AB2" s="402" t="s">
        <v>246</v>
      </c>
    </row>
    <row r="3" spans="1:28" x14ac:dyDescent="0.25">
      <c r="A3" s="440"/>
    </row>
    <row r="4" spans="1:28" x14ac:dyDescent="0.25">
      <c r="A4" s="353" t="s">
        <v>230</v>
      </c>
      <c r="B4" s="271" t="s">
        <v>69</v>
      </c>
    </row>
    <row r="6" spans="1:28" x14ac:dyDescent="0.25">
      <c r="A6" s="18">
        <v>45292</v>
      </c>
      <c r="B6" s="93">
        <f>SUM('6. 2024 Installed kWh Savings'!E6:G6,'6. 2024 Installed kWh Savings'!J6)</f>
        <v>679.68000000000006</v>
      </c>
      <c r="C6" s="361">
        <f>$B6*(SUMPRODUCT(C$30:C$32,$C$26:$C$28))/2</f>
        <v>37.230491520000001</v>
      </c>
      <c r="D6" s="361">
        <f t="shared" ref="D6:N11" si="0">$B6*(SUMPRODUCT(D$30:D$32,$C$26:$C$28))</f>
        <v>62.270582400000002</v>
      </c>
      <c r="E6" s="361">
        <f t="shared" si="0"/>
        <v>46.885345920000006</v>
      </c>
      <c r="F6" s="361">
        <f t="shared" si="0"/>
        <v>24.989454720000001</v>
      </c>
      <c r="G6" s="361">
        <f t="shared" si="0"/>
        <v>28.05515136</v>
      </c>
      <c r="H6" s="361">
        <f t="shared" si="0"/>
        <v>71.819406720000018</v>
      </c>
      <c r="I6" s="361">
        <f t="shared" si="0"/>
        <v>96.78201408000001</v>
      </c>
      <c r="J6" s="361">
        <f t="shared" si="0"/>
        <v>92.020176000000006</v>
      </c>
      <c r="K6" s="361">
        <f t="shared" si="0"/>
        <v>46.019093760000004</v>
      </c>
      <c r="L6" s="361">
        <f t="shared" si="0"/>
        <v>24.955810560000003</v>
      </c>
      <c r="M6" s="361">
        <f t="shared" si="0"/>
        <v>39.877845120000003</v>
      </c>
      <c r="N6" s="362">
        <f t="shared" si="0"/>
        <v>71.544136320000007</v>
      </c>
      <c r="O6" s="375">
        <f>$B6*(SUMPRODUCT(O$30:O$32,$C$26:$C$28))</f>
        <v>74.460983040000002</v>
      </c>
      <c r="P6" s="376">
        <f t="shared" ref="O6:Z17" si="1">$B6*(SUMPRODUCT(P$30:P$32,$C$26:$C$28))</f>
        <v>62.270582400000002</v>
      </c>
      <c r="Q6" s="376">
        <f t="shared" si="1"/>
        <v>46.885345920000006</v>
      </c>
      <c r="R6" s="376">
        <f t="shared" si="1"/>
        <v>24.989454720000001</v>
      </c>
      <c r="S6" s="376">
        <f t="shared" si="1"/>
        <v>28.05515136</v>
      </c>
      <c r="T6" s="376">
        <f t="shared" si="1"/>
        <v>71.819406720000018</v>
      </c>
      <c r="U6" s="376">
        <f t="shared" si="1"/>
        <v>96.78201408000001</v>
      </c>
      <c r="V6" s="376">
        <f t="shared" si="1"/>
        <v>92.020176000000006</v>
      </c>
      <c r="W6" s="376">
        <f t="shared" si="1"/>
        <v>46.019093760000004</v>
      </c>
      <c r="X6" s="376">
        <f t="shared" si="1"/>
        <v>24.955810560000003</v>
      </c>
      <c r="Y6" s="376">
        <f t="shared" si="1"/>
        <v>39.877845120000003</v>
      </c>
      <c r="Z6" s="377">
        <f t="shared" si="1"/>
        <v>71.544136320000007</v>
      </c>
      <c r="AA6" s="391">
        <f t="shared" ref="AA6:AA17" si="2">SUM(C6:N6)</f>
        <v>642.44950848000008</v>
      </c>
      <c r="AB6" s="532">
        <f>SUM(O6:Z6)</f>
        <v>679.68000000000006</v>
      </c>
    </row>
    <row r="7" spans="1:28" x14ac:dyDescent="0.25">
      <c r="A7" s="18">
        <v>45323</v>
      </c>
      <c r="B7" s="94">
        <f>SUM('6. 2024 Installed kWh Savings'!E7:G7,'6. 2024 Installed kWh Savings'!J7)</f>
        <v>0</v>
      </c>
      <c r="C7" s="364"/>
      <c r="D7" s="364">
        <f>$B7*(SUMPRODUCT(D$30:D$32,$C$26:$C$28))/2</f>
        <v>0</v>
      </c>
      <c r="E7" s="364">
        <f t="shared" si="0"/>
        <v>0</v>
      </c>
      <c r="F7" s="364">
        <f t="shared" si="0"/>
        <v>0</v>
      </c>
      <c r="G7" s="364">
        <f t="shared" si="0"/>
        <v>0</v>
      </c>
      <c r="H7" s="364">
        <f t="shared" si="0"/>
        <v>0</v>
      </c>
      <c r="I7" s="364">
        <f t="shared" si="0"/>
        <v>0</v>
      </c>
      <c r="J7" s="364">
        <f t="shared" si="0"/>
        <v>0</v>
      </c>
      <c r="K7" s="364">
        <f t="shared" si="0"/>
        <v>0</v>
      </c>
      <c r="L7" s="364">
        <f t="shared" si="0"/>
        <v>0</v>
      </c>
      <c r="M7" s="364">
        <f t="shared" si="0"/>
        <v>0</v>
      </c>
      <c r="N7" s="365">
        <f t="shared" si="0"/>
        <v>0</v>
      </c>
      <c r="O7" s="378">
        <f t="shared" si="1"/>
        <v>0</v>
      </c>
      <c r="P7" s="379">
        <f t="shared" si="1"/>
        <v>0</v>
      </c>
      <c r="Q7" s="379">
        <f t="shared" si="1"/>
        <v>0</v>
      </c>
      <c r="R7" s="379">
        <f t="shared" si="1"/>
        <v>0</v>
      </c>
      <c r="S7" s="379">
        <f t="shared" si="1"/>
        <v>0</v>
      </c>
      <c r="T7" s="379">
        <f t="shared" si="1"/>
        <v>0</v>
      </c>
      <c r="U7" s="379">
        <f t="shared" si="1"/>
        <v>0</v>
      </c>
      <c r="V7" s="379">
        <f t="shared" si="1"/>
        <v>0</v>
      </c>
      <c r="W7" s="379">
        <f t="shared" si="1"/>
        <v>0</v>
      </c>
      <c r="X7" s="379">
        <f t="shared" si="1"/>
        <v>0</v>
      </c>
      <c r="Y7" s="379">
        <f t="shared" si="1"/>
        <v>0</v>
      </c>
      <c r="Z7" s="380">
        <f t="shared" si="1"/>
        <v>0</v>
      </c>
      <c r="AA7" s="392">
        <f t="shared" si="2"/>
        <v>0</v>
      </c>
      <c r="AB7" s="533">
        <f t="shared" ref="AB7:AB17" si="3">SUM(O7:Z7)</f>
        <v>0</v>
      </c>
    </row>
    <row r="8" spans="1:28" x14ac:dyDescent="0.25">
      <c r="A8" s="18">
        <v>45352</v>
      </c>
      <c r="B8" s="94">
        <f>SUM('6. 2024 Installed kWh Savings'!E8:G8,'6. 2024 Installed kWh Savings'!J8)</f>
        <v>225240.41580000013</v>
      </c>
      <c r="C8" s="364"/>
      <c r="D8" s="364"/>
      <c r="E8" s="364">
        <f>$B8*(SUMPRODUCT(E$30:E$32,$C$26:$C$28))/2</f>
        <v>7768.7108712538547</v>
      </c>
      <c r="F8" s="364">
        <f t="shared" si="0"/>
        <v>8281.3017475107044</v>
      </c>
      <c r="G8" s="364">
        <f t="shared" si="0"/>
        <v>9297.248642976605</v>
      </c>
      <c r="H8" s="364">
        <f t="shared" si="0"/>
        <v>23800.366396130717</v>
      </c>
      <c r="I8" s="364">
        <f t="shared" si="0"/>
        <v>32072.771147217321</v>
      </c>
      <c r="J8" s="364">
        <f t="shared" si="0"/>
        <v>30494.736794122517</v>
      </c>
      <c r="K8" s="364">
        <f t="shared" si="0"/>
        <v>15250.35283257061</v>
      </c>
      <c r="L8" s="364">
        <f t="shared" si="0"/>
        <v>8270.1523469286039</v>
      </c>
      <c r="M8" s="364">
        <f t="shared" si="0"/>
        <v>13215.193055609709</v>
      </c>
      <c r="N8" s="365">
        <f t="shared" si="0"/>
        <v>23709.144027731712</v>
      </c>
      <c r="O8" s="378">
        <f t="shared" si="1"/>
        <v>24675.763272137414</v>
      </c>
      <c r="P8" s="379">
        <f t="shared" si="1"/>
        <v>20635.963794556512</v>
      </c>
      <c r="Q8" s="379">
        <f t="shared" si="1"/>
        <v>15537.421742507709</v>
      </c>
      <c r="R8" s="379">
        <f t="shared" si="1"/>
        <v>8281.3017475107044</v>
      </c>
      <c r="S8" s="379">
        <f t="shared" si="1"/>
        <v>9297.248642976605</v>
      </c>
      <c r="T8" s="379">
        <f t="shared" si="1"/>
        <v>23800.366396130717</v>
      </c>
      <c r="U8" s="379">
        <f t="shared" si="1"/>
        <v>32072.771147217321</v>
      </c>
      <c r="V8" s="379">
        <f t="shared" si="1"/>
        <v>30494.736794122517</v>
      </c>
      <c r="W8" s="379">
        <f t="shared" si="1"/>
        <v>15250.35283257061</v>
      </c>
      <c r="X8" s="379">
        <f t="shared" si="1"/>
        <v>8270.1523469286039</v>
      </c>
      <c r="Y8" s="379">
        <f t="shared" si="1"/>
        <v>13215.193055609709</v>
      </c>
      <c r="Z8" s="380">
        <f t="shared" si="1"/>
        <v>23709.144027731712</v>
      </c>
      <c r="AA8" s="392">
        <f t="shared" si="2"/>
        <v>172159.97786205236</v>
      </c>
      <c r="AB8" s="533">
        <f t="shared" si="3"/>
        <v>225240.41580000013</v>
      </c>
    </row>
    <row r="9" spans="1:28" x14ac:dyDescent="0.25">
      <c r="A9" s="18">
        <v>45383</v>
      </c>
      <c r="B9" s="94">
        <f>SUM('6. 2024 Installed kWh Savings'!E9:G9,'6. 2024 Installed kWh Savings'!J9)</f>
        <v>57311.792999999991</v>
      </c>
      <c r="C9" s="364"/>
      <c r="D9" s="364"/>
      <c r="E9" s="364"/>
      <c r="F9" s="364">
        <f>$B9*(SUMPRODUCT(F$30:F$32,$C$26:$C$28))/2</f>
        <v>1053.5770186672498</v>
      </c>
      <c r="G9" s="364">
        <f t="shared" si="0"/>
        <v>2365.6588796609994</v>
      </c>
      <c r="H9" s="364">
        <f t="shared" si="0"/>
        <v>6055.9365750344996</v>
      </c>
      <c r="I9" s="364">
        <f t="shared" si="0"/>
        <v>8160.8267965454988</v>
      </c>
      <c r="J9" s="364">
        <f t="shared" si="0"/>
        <v>7759.3003747874982</v>
      </c>
      <c r="K9" s="364">
        <f t="shared" si="0"/>
        <v>3880.4095686509995</v>
      </c>
      <c r="L9" s="364">
        <f t="shared" si="0"/>
        <v>2104.3171035809996</v>
      </c>
      <c r="M9" s="364">
        <f t="shared" si="0"/>
        <v>3362.5688629994997</v>
      </c>
      <c r="N9" s="365">
        <f t="shared" si="0"/>
        <v>6032.7252988694991</v>
      </c>
      <c r="O9" s="378">
        <f t="shared" si="1"/>
        <v>6278.6788585289987</v>
      </c>
      <c r="P9" s="379">
        <f t="shared" si="1"/>
        <v>5250.7631951774983</v>
      </c>
      <c r="Q9" s="379">
        <f t="shared" si="1"/>
        <v>3953.4534488294994</v>
      </c>
      <c r="R9" s="379">
        <f t="shared" si="1"/>
        <v>2107.1540373344997</v>
      </c>
      <c r="S9" s="379">
        <f t="shared" si="1"/>
        <v>2365.6588796609994</v>
      </c>
      <c r="T9" s="379">
        <f t="shared" si="1"/>
        <v>6055.9365750344996</v>
      </c>
      <c r="U9" s="379">
        <f t="shared" si="1"/>
        <v>8160.8267965454988</v>
      </c>
      <c r="V9" s="379">
        <f t="shared" si="1"/>
        <v>7759.3003747874982</v>
      </c>
      <c r="W9" s="379">
        <f t="shared" si="1"/>
        <v>3880.4095686509995</v>
      </c>
      <c r="X9" s="379">
        <f t="shared" si="1"/>
        <v>2104.3171035809996</v>
      </c>
      <c r="Y9" s="379">
        <f t="shared" si="1"/>
        <v>3362.5688629994997</v>
      </c>
      <c r="Z9" s="380">
        <f t="shared" si="1"/>
        <v>6032.7252988694991</v>
      </c>
      <c r="AA9" s="392">
        <f t="shared" si="2"/>
        <v>40775.320478796741</v>
      </c>
      <c r="AB9" s="533">
        <f t="shared" si="3"/>
        <v>57311.792999999983</v>
      </c>
    </row>
    <row r="10" spans="1:28" x14ac:dyDescent="0.25">
      <c r="A10" s="18">
        <v>45413</v>
      </c>
      <c r="B10" s="94">
        <f>SUM('6. 2024 Installed kWh Savings'!E10:G10,'6. 2024 Installed kWh Savings'!J10)</f>
        <v>276575.72299999959</v>
      </c>
      <c r="C10" s="364"/>
      <c r="D10" s="364"/>
      <c r="E10" s="364"/>
      <c r="F10" s="364"/>
      <c r="G10" s="364">
        <f>$B10*(SUMPRODUCT(G$30:G$32,$C$26:$C$28))/2</f>
        <v>5708.1080591354912</v>
      </c>
      <c r="H10" s="364">
        <f t="shared" si="0"/>
        <v>29224.78863437946</v>
      </c>
      <c r="I10" s="364">
        <f t="shared" si="0"/>
        <v>39382.585213000442</v>
      </c>
      <c r="J10" s="364">
        <f t="shared" si="0"/>
        <v>37444.895697662439</v>
      </c>
      <c r="K10" s="364">
        <f t="shared" si="0"/>
        <v>18726.112477160972</v>
      </c>
      <c r="L10" s="364">
        <f t="shared" si="0"/>
        <v>10155.030821390985</v>
      </c>
      <c r="M10" s="364">
        <f t="shared" si="0"/>
        <v>16227.112531994477</v>
      </c>
      <c r="N10" s="365">
        <f t="shared" si="0"/>
        <v>29112.775466564457</v>
      </c>
      <c r="O10" s="378">
        <f t="shared" si="1"/>
        <v>30299.700181818953</v>
      </c>
      <c r="P10" s="379">
        <f t="shared" si="1"/>
        <v>25339.176301952459</v>
      </c>
      <c r="Q10" s="379">
        <f t="shared" si="1"/>
        <v>19078.608236124473</v>
      </c>
      <c r="R10" s="379">
        <f t="shared" si="1"/>
        <v>10168.721319679486</v>
      </c>
      <c r="S10" s="379">
        <f t="shared" si="1"/>
        <v>11416.216118270982</v>
      </c>
      <c r="T10" s="379">
        <f t="shared" si="1"/>
        <v>29224.78863437946</v>
      </c>
      <c r="U10" s="379">
        <f t="shared" si="1"/>
        <v>39382.585213000442</v>
      </c>
      <c r="V10" s="379">
        <f t="shared" si="1"/>
        <v>37444.895697662439</v>
      </c>
      <c r="W10" s="379">
        <f t="shared" si="1"/>
        <v>18726.112477160972</v>
      </c>
      <c r="X10" s="379">
        <f t="shared" si="1"/>
        <v>10155.030821390985</v>
      </c>
      <c r="Y10" s="379">
        <f t="shared" si="1"/>
        <v>16227.112531994477</v>
      </c>
      <c r="Z10" s="380">
        <f t="shared" si="1"/>
        <v>29112.775466564457</v>
      </c>
      <c r="AA10" s="392">
        <f t="shared" si="2"/>
        <v>185981.40890128873</v>
      </c>
      <c r="AB10" s="533">
        <f t="shared" si="3"/>
        <v>276575.72299999953</v>
      </c>
    </row>
    <row r="11" spans="1:28" x14ac:dyDescent="0.25">
      <c r="A11" s="18">
        <v>45444</v>
      </c>
      <c r="B11" s="94">
        <f>SUM('6. 2024 Installed kWh Savings'!E11:G11,'6. 2024 Installed kWh Savings'!J11)</f>
        <v>343458.87589999975</v>
      </c>
      <c r="C11" s="364"/>
      <c r="D11" s="364"/>
      <c r="E11" s="364"/>
      <c r="F11" s="364"/>
      <c r="G11" s="364"/>
      <c r="H11" s="364">
        <f>$B11*(SUMPRODUCT(H$30:H$32,$C$26:$C$28))/2</f>
        <v>18146.048655143662</v>
      </c>
      <c r="I11" s="364">
        <f t="shared" si="0"/>
        <v>48906.311445466614</v>
      </c>
      <c r="J11" s="364">
        <f t="shared" si="0"/>
        <v>46500.038560911213</v>
      </c>
      <c r="K11" s="364">
        <f t="shared" si="0"/>
        <v>23254.570110561286</v>
      </c>
      <c r="L11" s="364">
        <f t="shared" si="0"/>
        <v>12610.77954642029</v>
      </c>
      <c r="M11" s="364">
        <f t="shared" si="0"/>
        <v>20151.247437366837</v>
      </c>
      <c r="N11" s="365">
        <f t="shared" si="0"/>
        <v>36152.996465547825</v>
      </c>
      <c r="O11" s="378">
        <f t="shared" si="1"/>
        <v>37626.950231472671</v>
      </c>
      <c r="P11" s="379">
        <f t="shared" si="1"/>
        <v>31466.843562768223</v>
      </c>
      <c r="Q11" s="379">
        <f t="shared" si="1"/>
        <v>23692.308447895834</v>
      </c>
      <c r="R11" s="379">
        <f t="shared" si="1"/>
        <v>12627.780760777341</v>
      </c>
      <c r="S11" s="379">
        <f t="shared" si="1"/>
        <v>14176.952020524288</v>
      </c>
      <c r="T11" s="379">
        <f t="shared" si="1"/>
        <v>36292.097310287325</v>
      </c>
      <c r="U11" s="379">
        <f t="shared" si="1"/>
        <v>48906.311445466614</v>
      </c>
      <c r="V11" s="379">
        <f t="shared" si="1"/>
        <v>46500.038560911213</v>
      </c>
      <c r="W11" s="379">
        <f t="shared" si="1"/>
        <v>23254.570110561286</v>
      </c>
      <c r="X11" s="379">
        <f t="shared" si="1"/>
        <v>12610.77954642029</v>
      </c>
      <c r="Y11" s="379">
        <f t="shared" si="1"/>
        <v>20151.247437366837</v>
      </c>
      <c r="Z11" s="380">
        <f t="shared" si="1"/>
        <v>36152.996465547825</v>
      </c>
      <c r="AA11" s="392">
        <f t="shared" si="2"/>
        <v>205721.99222141772</v>
      </c>
      <c r="AB11" s="533">
        <f t="shared" si="3"/>
        <v>343458.87589999975</v>
      </c>
    </row>
    <row r="12" spans="1:28" x14ac:dyDescent="0.25">
      <c r="A12" s="18">
        <v>45474</v>
      </c>
      <c r="B12" s="94">
        <f>SUM('6. 2024 Installed kWh Savings'!E12:G12,'6. 2024 Installed kWh Savings'!J12)</f>
        <v>164533.36215000003</v>
      </c>
      <c r="C12" s="364"/>
      <c r="D12" s="364"/>
      <c r="E12" s="364"/>
      <c r="F12" s="364"/>
      <c r="G12" s="364"/>
      <c r="H12" s="364"/>
      <c r="I12" s="364">
        <f>$B12*(SUMPRODUCT(I$30:I$32,$C$26:$C$28))/2</f>
        <v>11714.240651653015</v>
      </c>
      <c r="J12" s="364">
        <f>$B12*(SUMPRODUCT(J$30:J$32,$C$26:$C$28))</f>
        <v>22275.760568083129</v>
      </c>
      <c r="K12" s="364">
        <f>$B12*(SUMPRODUCT(K$30:K$32,$C$26:$C$28))</f>
        <v>11140.060351090053</v>
      </c>
      <c r="L12" s="364">
        <f>$B12*(SUMPRODUCT(L$30:L$32,$C$26:$C$28))</f>
        <v>6041.1714580615508</v>
      </c>
      <c r="M12" s="364">
        <f>$B12*(SUMPRODUCT(M$30:M$32,$C$26:$C$28))</f>
        <v>9653.419157383727</v>
      </c>
      <c r="N12" s="365">
        <f>$B12*(SUMPRODUCT(N$30:N$32,$C$26:$C$28))</f>
        <v>17319.028499952226</v>
      </c>
      <c r="O12" s="378">
        <f t="shared" si="1"/>
        <v>18025.123423618952</v>
      </c>
      <c r="P12" s="379">
        <f t="shared" si="1"/>
        <v>15074.135306777625</v>
      </c>
      <c r="Q12" s="379">
        <f t="shared" si="1"/>
        <v>11349.758121150227</v>
      </c>
      <c r="R12" s="379">
        <f t="shared" si="1"/>
        <v>6049.315859487976</v>
      </c>
      <c r="S12" s="379">
        <f t="shared" si="1"/>
        <v>6791.4435894655498</v>
      </c>
      <c r="T12" s="379">
        <f t="shared" si="1"/>
        <v>17385.664511622981</v>
      </c>
      <c r="U12" s="379">
        <f t="shared" si="1"/>
        <v>23428.481303306031</v>
      </c>
      <c r="V12" s="379">
        <f t="shared" si="1"/>
        <v>22275.760568083129</v>
      </c>
      <c r="W12" s="379">
        <f t="shared" si="1"/>
        <v>11140.060351090053</v>
      </c>
      <c r="X12" s="379">
        <f t="shared" si="1"/>
        <v>6041.1714580615508</v>
      </c>
      <c r="Y12" s="379">
        <f t="shared" si="1"/>
        <v>9653.419157383727</v>
      </c>
      <c r="Z12" s="380">
        <f t="shared" si="1"/>
        <v>17319.028499952226</v>
      </c>
      <c r="AA12" s="392">
        <f t="shared" si="2"/>
        <v>78143.680686223699</v>
      </c>
      <c r="AB12" s="533">
        <f t="shared" si="3"/>
        <v>164533.36215000003</v>
      </c>
    </row>
    <row r="13" spans="1:28" x14ac:dyDescent="0.25">
      <c r="A13" s="18">
        <v>45505</v>
      </c>
      <c r="B13" s="94">
        <f>SUM('6. 2024 Installed kWh Savings'!E13:G13,'6. 2024 Installed kWh Savings'!J13)</f>
        <v>268043.91159999999</v>
      </c>
      <c r="C13" s="364"/>
      <c r="D13" s="364"/>
      <c r="E13" s="364"/>
      <c r="F13" s="364"/>
      <c r="G13" s="364"/>
      <c r="H13" s="364"/>
      <c r="I13" s="364"/>
      <c r="J13" s="364">
        <f>$B13*(SUMPRODUCT(J$30:J$32,$C$26:$C$28))/2</f>
        <v>18144.897540872498</v>
      </c>
      <c r="K13" s="364">
        <f>$B13*(SUMPRODUCT(K$30:K$32,$C$26:$C$28))</f>
        <v>18148.4491227012</v>
      </c>
      <c r="L13" s="364">
        <f>$B13*(SUMPRODUCT(L$30:L$32,$C$26:$C$28))</f>
        <v>9841.7683022172005</v>
      </c>
      <c r="M13" s="364">
        <f>$B13*(SUMPRODUCT(M$30:M$32,$C$26:$C$28))</f>
        <v>15726.538359439401</v>
      </c>
      <c r="N13" s="365">
        <f>$B13*(SUMPRODUCT(N$30:N$32,$C$26:$C$28))</f>
        <v>28214.704200883396</v>
      </c>
      <c r="O13" s="378">
        <f t="shared" si="1"/>
        <v>29365.014647514799</v>
      </c>
      <c r="P13" s="379">
        <f t="shared" si="1"/>
        <v>24557.513071012996</v>
      </c>
      <c r="Q13" s="379">
        <f t="shared" si="1"/>
        <v>18490.071088035398</v>
      </c>
      <c r="R13" s="379">
        <f t="shared" si="1"/>
        <v>9855.0364758413998</v>
      </c>
      <c r="S13" s="379">
        <f t="shared" si="1"/>
        <v>11064.048539113199</v>
      </c>
      <c r="T13" s="379">
        <f t="shared" si="1"/>
        <v>28323.261985081401</v>
      </c>
      <c r="U13" s="379">
        <f t="shared" si="1"/>
        <v>38167.710726414603</v>
      </c>
      <c r="V13" s="379">
        <f t="shared" si="1"/>
        <v>36289.795081744996</v>
      </c>
      <c r="W13" s="379">
        <f t="shared" si="1"/>
        <v>18148.4491227012</v>
      </c>
      <c r="X13" s="379">
        <f t="shared" si="1"/>
        <v>9841.7683022172005</v>
      </c>
      <c r="Y13" s="379">
        <f t="shared" si="1"/>
        <v>15726.538359439401</v>
      </c>
      <c r="Z13" s="380">
        <f t="shared" si="1"/>
        <v>28214.704200883396</v>
      </c>
      <c r="AA13" s="392">
        <f t="shared" si="2"/>
        <v>90076.357526113687</v>
      </c>
      <c r="AB13" s="533">
        <f t="shared" si="3"/>
        <v>268043.91159999999</v>
      </c>
    </row>
    <row r="14" spans="1:28" x14ac:dyDescent="0.25">
      <c r="A14" s="18">
        <v>45536</v>
      </c>
      <c r="B14" s="94">
        <f>SUM('6. 2024 Installed kWh Savings'!E14:G14,'6. 2024 Installed kWh Savings'!J14)</f>
        <v>222591.38045000006</v>
      </c>
      <c r="C14" s="364"/>
      <c r="D14" s="364"/>
      <c r="E14" s="364"/>
      <c r="F14" s="364"/>
      <c r="G14" s="364"/>
      <c r="H14" s="364"/>
      <c r="I14" s="364"/>
      <c r="J14" s="364"/>
      <c r="K14" s="364">
        <f>$B14*(SUMPRODUCT(K$30:K$32,$C$26:$C$28))/2</f>
        <v>7535.4972980640769</v>
      </c>
      <c r="L14" s="364">
        <f>$B14*(SUMPRODUCT(L$30:L$32,$C$26:$C$28))</f>
        <v>8172.8877159826516</v>
      </c>
      <c r="M14" s="364">
        <f>$B14*(SUMPRODUCT(M$30:M$32,$C$26:$C$28))</f>
        <v>13059.770178072178</v>
      </c>
      <c r="N14" s="365">
        <f>$B14*(SUMPRODUCT(N$30:N$32,$C$26:$C$28))</f>
        <v>23430.30259323768</v>
      </c>
      <c r="O14" s="378">
        <f t="shared" si="1"/>
        <v>24385.553502438856</v>
      </c>
      <c r="P14" s="379">
        <f t="shared" si="1"/>
        <v>20393.265798377877</v>
      </c>
      <c r="Q14" s="379">
        <f t="shared" si="1"/>
        <v>15354.687310511679</v>
      </c>
      <c r="R14" s="379">
        <f t="shared" si="1"/>
        <v>8183.905989314927</v>
      </c>
      <c r="S14" s="379">
        <f t="shared" si="1"/>
        <v>9187.9044108346516</v>
      </c>
      <c r="T14" s="379">
        <f t="shared" si="1"/>
        <v>23520.452102319934</v>
      </c>
      <c r="U14" s="379">
        <f t="shared" si="1"/>
        <v>31695.565732107083</v>
      </c>
      <c r="V14" s="379">
        <f t="shared" si="1"/>
        <v>30136.090520674381</v>
      </c>
      <c r="W14" s="379">
        <f t="shared" si="1"/>
        <v>15070.994596128154</v>
      </c>
      <c r="X14" s="379">
        <f t="shared" si="1"/>
        <v>8172.8877159826516</v>
      </c>
      <c r="Y14" s="379">
        <f t="shared" si="1"/>
        <v>13059.770178072178</v>
      </c>
      <c r="Z14" s="380">
        <f t="shared" si="1"/>
        <v>23430.30259323768</v>
      </c>
      <c r="AA14" s="392">
        <f t="shared" si="2"/>
        <v>52198.457785356586</v>
      </c>
      <c r="AB14" s="533">
        <f t="shared" si="3"/>
        <v>222591.38045000008</v>
      </c>
    </row>
    <row r="15" spans="1:28" x14ac:dyDescent="0.25">
      <c r="A15" s="18">
        <v>45566</v>
      </c>
      <c r="B15" s="94">
        <f>SUM('6. 2024 Installed kWh Savings'!E15:G15,'6. 2024 Installed kWh Savings'!J15)</f>
        <v>412896.91258999967</v>
      </c>
      <c r="C15" s="364"/>
      <c r="D15" s="364"/>
      <c r="E15" s="364"/>
      <c r="F15" s="364"/>
      <c r="G15" s="364"/>
      <c r="H15" s="364"/>
      <c r="I15" s="364"/>
      <c r="J15" s="364"/>
      <c r="K15" s="364"/>
      <c r="L15" s="364">
        <f>$B15*(SUMPRODUCT(L$30:L$32,$C$26:$C$28))/2</f>
        <v>7580.1679697835089</v>
      </c>
      <c r="M15" s="364">
        <f>$B15*(SUMPRODUCT(M$30:M$32,$C$26:$C$28))</f>
        <v>24225.281207024167</v>
      </c>
      <c r="N15" s="365">
        <f>$B15*(SUMPRODUCT(N$30:N$32,$C$26:$C$28))</f>
        <v>43462.148364592249</v>
      </c>
      <c r="O15" s="378">
        <f t="shared" si="1"/>
        <v>45234.095464972233</v>
      </c>
      <c r="P15" s="379">
        <f t="shared" si="1"/>
        <v>37828.582889214289</v>
      </c>
      <c r="Q15" s="379">
        <f t="shared" si="1"/>
        <v>28482.248375827065</v>
      </c>
      <c r="R15" s="379">
        <f t="shared" si="1"/>
        <v>15180.774336740224</v>
      </c>
      <c r="S15" s="379">
        <f t="shared" si="1"/>
        <v>17043.145860977413</v>
      </c>
      <c r="T15" s="379">
        <f t="shared" si="1"/>
        <v>43629.371614191208</v>
      </c>
      <c r="U15" s="379">
        <f t="shared" si="1"/>
        <v>58793.836522884121</v>
      </c>
      <c r="V15" s="379">
        <f t="shared" si="1"/>
        <v>55901.080753278577</v>
      </c>
      <c r="W15" s="379">
        <f t="shared" si="1"/>
        <v>27956.011260731109</v>
      </c>
      <c r="X15" s="379">
        <f t="shared" si="1"/>
        <v>15160.335939567018</v>
      </c>
      <c r="Y15" s="379">
        <f t="shared" si="1"/>
        <v>24225.281207024167</v>
      </c>
      <c r="Z15" s="380">
        <f t="shared" si="1"/>
        <v>43462.148364592249</v>
      </c>
      <c r="AA15" s="392">
        <f t="shared" si="2"/>
        <v>75267.597541399926</v>
      </c>
      <c r="AB15" s="533">
        <f t="shared" si="3"/>
        <v>412896.91258999967</v>
      </c>
    </row>
    <row r="16" spans="1:28" x14ac:dyDescent="0.25">
      <c r="A16" s="18">
        <v>45597</v>
      </c>
      <c r="B16" s="94">
        <f>SUM('6. 2024 Installed kWh Savings'!E16:G16,'6. 2024 Installed kWh Savings'!J16)</f>
        <v>88776.221799999999</v>
      </c>
      <c r="C16" s="364"/>
      <c r="D16" s="364"/>
      <c r="E16" s="364"/>
      <c r="F16" s="364"/>
      <c r="G16" s="364"/>
      <c r="H16" s="364"/>
      <c r="I16" s="364"/>
      <c r="J16" s="364"/>
      <c r="K16" s="364"/>
      <c r="L16" s="364"/>
      <c r="M16" s="364">
        <f>$B16*(SUMPRODUCT(M$30:M$32,$C$26:$C$28))/2</f>
        <v>2604.3170486693502</v>
      </c>
      <c r="N16" s="365">
        <f>$B16*(SUMPRODUCT(N$30:N$32,$C$26:$C$28))</f>
        <v>9344.7182710007</v>
      </c>
      <c r="O16" s="378">
        <f t="shared" si="1"/>
        <v>9725.7014268553994</v>
      </c>
      <c r="P16" s="379">
        <f t="shared" si="1"/>
        <v>8133.455500761499</v>
      </c>
      <c r="Q16" s="379">
        <f t="shared" si="1"/>
        <v>6123.9169440966998</v>
      </c>
      <c r="R16" s="379">
        <f t="shared" si="1"/>
        <v>3263.9909588096998</v>
      </c>
      <c r="S16" s="379">
        <f t="shared" si="1"/>
        <v>3664.4161072385996</v>
      </c>
      <c r="T16" s="379">
        <f t="shared" si="1"/>
        <v>9380.6726408297</v>
      </c>
      <c r="U16" s="379">
        <f t="shared" si="1"/>
        <v>12641.156938878301</v>
      </c>
      <c r="V16" s="379">
        <f t="shared" si="1"/>
        <v>12019.1907289475</v>
      </c>
      <c r="W16" s="379">
        <f t="shared" si="1"/>
        <v>6010.7716494125998</v>
      </c>
      <c r="X16" s="379">
        <f t="shared" si="1"/>
        <v>3259.5965358305998</v>
      </c>
      <c r="Y16" s="379">
        <f t="shared" si="1"/>
        <v>5208.6340973387005</v>
      </c>
      <c r="Z16" s="380">
        <f t="shared" si="1"/>
        <v>9344.7182710007</v>
      </c>
      <c r="AA16" s="392">
        <f t="shared" si="2"/>
        <v>11949.035319670051</v>
      </c>
      <c r="AB16" s="533">
        <f t="shared" si="3"/>
        <v>88776.221799999985</v>
      </c>
    </row>
    <row r="17" spans="1:28" x14ac:dyDescent="0.25">
      <c r="A17" s="18">
        <v>45627</v>
      </c>
      <c r="B17" s="95">
        <f>SUM('6. 2024 Installed kWh Savings'!E17:G17,'6. 2024 Installed kWh Savings'!J17)</f>
        <v>62224.116450000001</v>
      </c>
      <c r="C17" s="364"/>
      <c r="D17" s="364"/>
      <c r="E17" s="364"/>
      <c r="F17" s="364"/>
      <c r="G17" s="364"/>
      <c r="H17" s="364"/>
      <c r="I17" s="364"/>
      <c r="J17" s="364"/>
      <c r="K17" s="364"/>
      <c r="L17" s="364"/>
      <c r="M17" s="364"/>
      <c r="N17" s="365">
        <f>$B17*(SUMPRODUCT(N$30:N$32,$C$26:$C$28))/2</f>
        <v>3274.9019168508376</v>
      </c>
      <c r="O17" s="378">
        <f t="shared" si="1"/>
        <v>6816.8386294468501</v>
      </c>
      <c r="P17" s="379">
        <f t="shared" si="1"/>
        <v>5700.8179888578743</v>
      </c>
      <c r="Q17" s="379">
        <f t="shared" si="1"/>
        <v>4292.3128888956753</v>
      </c>
      <c r="R17" s="379">
        <f t="shared" si="1"/>
        <v>2287.762977458925</v>
      </c>
      <c r="S17" s="379">
        <f t="shared" si="1"/>
        <v>2568.4248547066495</v>
      </c>
      <c r="T17" s="379">
        <f t="shared" si="1"/>
        <v>6575.0046008639256</v>
      </c>
      <c r="U17" s="379">
        <f t="shared" si="1"/>
        <v>8860.3097257230747</v>
      </c>
      <c r="V17" s="379">
        <f t="shared" si="1"/>
        <v>8424.3675658743741</v>
      </c>
      <c r="W17" s="379">
        <f t="shared" si="1"/>
        <v>4213.0082524801501</v>
      </c>
      <c r="X17" s="379">
        <f t="shared" si="1"/>
        <v>2284.6828836946502</v>
      </c>
      <c r="Y17" s="379">
        <f t="shared" si="1"/>
        <v>3650.7822482961751</v>
      </c>
      <c r="Z17" s="380">
        <f t="shared" si="1"/>
        <v>6549.8038337016751</v>
      </c>
      <c r="AA17" s="392">
        <f t="shared" si="2"/>
        <v>3274.9019168508376</v>
      </c>
      <c r="AB17" s="533">
        <f t="shared" si="3"/>
        <v>62224.116450000001</v>
      </c>
    </row>
    <row r="18" spans="1:28" x14ac:dyDescent="0.25">
      <c r="A18" s="18"/>
      <c r="B18" s="20"/>
      <c r="C18" s="363"/>
      <c r="D18" s="364"/>
      <c r="E18" s="364"/>
      <c r="F18" s="364"/>
      <c r="G18" s="364"/>
      <c r="H18" s="364"/>
      <c r="I18" s="364"/>
      <c r="J18" s="364"/>
      <c r="K18" s="364"/>
      <c r="L18" s="364"/>
      <c r="M18" s="364"/>
      <c r="N18" s="365"/>
      <c r="O18" s="378"/>
      <c r="P18" s="379"/>
      <c r="Q18" s="379"/>
      <c r="R18" s="379"/>
      <c r="S18" s="379"/>
      <c r="T18" s="379"/>
      <c r="U18" s="379"/>
      <c r="V18" s="379"/>
      <c r="W18" s="379"/>
      <c r="X18" s="379"/>
      <c r="Y18" s="379"/>
      <c r="Z18" s="380"/>
      <c r="AA18" s="392"/>
      <c r="AB18" s="534"/>
    </row>
    <row r="19" spans="1:28" x14ac:dyDescent="0.25">
      <c r="A19" s="440" t="s">
        <v>35</v>
      </c>
      <c r="B19" s="20">
        <f>SUM(B6:B17)</f>
        <v>2122332.3927399991</v>
      </c>
      <c r="C19" s="447">
        <f t="shared" ref="C19:AA19" si="4">SUM(C6:C17)</f>
        <v>37.230491520000001</v>
      </c>
      <c r="D19" s="448">
        <f t="shared" si="4"/>
        <v>62.270582400000002</v>
      </c>
      <c r="E19" s="448">
        <f t="shared" si="4"/>
        <v>7815.5962171738547</v>
      </c>
      <c r="F19" s="448">
        <f t="shared" si="4"/>
        <v>9359.8682208979553</v>
      </c>
      <c r="G19" s="448">
        <f t="shared" si="4"/>
        <v>17399.070733133096</v>
      </c>
      <c r="H19" s="448">
        <f t="shared" si="4"/>
        <v>77298.959667408344</v>
      </c>
      <c r="I19" s="448">
        <f t="shared" si="4"/>
        <v>140333.51726796289</v>
      </c>
      <c r="J19" s="448">
        <f t="shared" si="4"/>
        <v>162711.64971243931</v>
      </c>
      <c r="K19" s="448">
        <f t="shared" si="4"/>
        <v>97981.4708545592</v>
      </c>
      <c r="L19" s="448">
        <f t="shared" si="4"/>
        <v>64801.231074925789</v>
      </c>
      <c r="M19" s="448">
        <f t="shared" si="4"/>
        <v>118265.32568367936</v>
      </c>
      <c r="N19" s="449">
        <f t="shared" si="4"/>
        <v>220124.98924155059</v>
      </c>
      <c r="O19" s="425">
        <f t="shared" si="4"/>
        <v>232507.88062184511</v>
      </c>
      <c r="P19" s="426">
        <f t="shared" si="4"/>
        <v>194442.78799185681</v>
      </c>
      <c r="Q19" s="426">
        <f t="shared" si="4"/>
        <v>146401.67194979428</v>
      </c>
      <c r="R19" s="426">
        <f t="shared" si="4"/>
        <v>78030.733917675199</v>
      </c>
      <c r="S19" s="426">
        <f t="shared" si="4"/>
        <v>87603.514175128934</v>
      </c>
      <c r="T19" s="426">
        <f t="shared" si="4"/>
        <v>224259.43577746113</v>
      </c>
      <c r="U19" s="426">
        <f t="shared" si="4"/>
        <v>302206.33756562311</v>
      </c>
      <c r="V19" s="426">
        <f t="shared" si="4"/>
        <v>287337.27682208666</v>
      </c>
      <c r="W19" s="426">
        <f t="shared" si="4"/>
        <v>143696.75931524715</v>
      </c>
      <c r="X19" s="426">
        <f t="shared" si="4"/>
        <v>77925.678464234545</v>
      </c>
      <c r="Y19" s="426">
        <f t="shared" si="4"/>
        <v>124520.42498064488</v>
      </c>
      <c r="Z19" s="427">
        <f t="shared" si="4"/>
        <v>223399.89115840144</v>
      </c>
      <c r="AA19" s="397">
        <f t="shared" si="4"/>
        <v>916191.17974765028</v>
      </c>
      <c r="AB19" s="536">
        <f t="shared" ref="AB19" si="5">SUM(AB6:AB17)</f>
        <v>2122332.3927399991</v>
      </c>
    </row>
    <row r="20" spans="1:28" x14ac:dyDescent="0.25">
      <c r="A20" s="440" t="s">
        <v>38</v>
      </c>
      <c r="B20" s="733">
        <v>0.82499999999999996</v>
      </c>
      <c r="C20" s="366"/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8"/>
      <c r="O20" s="381"/>
      <c r="P20" s="382"/>
      <c r="Q20" s="382"/>
      <c r="R20" s="382"/>
      <c r="S20" s="382"/>
      <c r="T20" s="382"/>
      <c r="U20" s="382"/>
      <c r="V20" s="382"/>
      <c r="W20" s="382"/>
      <c r="X20" s="382"/>
      <c r="Y20" s="382"/>
      <c r="Z20" s="383"/>
      <c r="AA20" s="393"/>
      <c r="AB20" s="393"/>
    </row>
    <row r="21" spans="1:28" x14ac:dyDescent="0.25">
      <c r="A21" s="440" t="s">
        <v>36</v>
      </c>
      <c r="B21" s="20"/>
      <c r="C21" s="369">
        <f>$F$38</f>
        <v>0.10241358634724779</v>
      </c>
      <c r="D21" s="360">
        <f t="shared" ref="D21:G21" si="6">$F$38</f>
        <v>0.10241358634724779</v>
      </c>
      <c r="E21" s="360">
        <f t="shared" si="6"/>
        <v>0.10241358634724779</v>
      </c>
      <c r="F21" s="360">
        <f t="shared" si="6"/>
        <v>0.10241358634724779</v>
      </c>
      <c r="G21" s="360">
        <f t="shared" si="6"/>
        <v>0.10241358634724779</v>
      </c>
      <c r="H21" s="360">
        <f>$F$37*0.5+$F$38*0.5</f>
        <v>0.11431358634724779</v>
      </c>
      <c r="I21" s="360">
        <f>$F$37</f>
        <v>0.1262135863472478</v>
      </c>
      <c r="J21" s="360">
        <f t="shared" ref="J21:K21" si="7">$F$37</f>
        <v>0.1262135863472478</v>
      </c>
      <c r="K21" s="360">
        <f t="shared" si="7"/>
        <v>0.1262135863472478</v>
      </c>
      <c r="L21" s="360">
        <f>$F$37*0.5+$F$38*0.5</f>
        <v>0.11431358634724779</v>
      </c>
      <c r="M21" s="360">
        <f>$F$38</f>
        <v>0.10241358634724779</v>
      </c>
      <c r="N21" s="370">
        <f t="shared" ref="N21" si="8">$F$38</f>
        <v>0.10241358634724779</v>
      </c>
      <c r="O21" s="384">
        <f>$F$38</f>
        <v>0.10241358634724779</v>
      </c>
      <c r="P21" s="374">
        <f t="shared" ref="P21:S21" si="9">$F$38</f>
        <v>0.10241358634724779</v>
      </c>
      <c r="Q21" s="374">
        <f t="shared" si="9"/>
        <v>0.10241358634724779</v>
      </c>
      <c r="R21" s="374">
        <f t="shared" si="9"/>
        <v>0.10241358634724779</v>
      </c>
      <c r="S21" s="374">
        <f t="shared" si="9"/>
        <v>0.10241358634724779</v>
      </c>
      <c r="T21" s="374">
        <f>$F$37*0.5+$F$38*0.5</f>
        <v>0.11431358634724779</v>
      </c>
      <c r="U21" s="374">
        <f>$F$37</f>
        <v>0.1262135863472478</v>
      </c>
      <c r="V21" s="374">
        <f t="shared" ref="V21:W21" si="10">$F$37</f>
        <v>0.1262135863472478</v>
      </c>
      <c r="W21" s="374">
        <f t="shared" si="10"/>
        <v>0.1262135863472478</v>
      </c>
      <c r="X21" s="374">
        <f>$F$37*0.5+$F$38*0.5</f>
        <v>0.11431358634724779</v>
      </c>
      <c r="Y21" s="374">
        <f>$F$38</f>
        <v>0.10241358634724779</v>
      </c>
      <c r="Z21" s="385">
        <f t="shared" ref="Z21" si="11">$F$38</f>
        <v>0.10241358634724779</v>
      </c>
      <c r="AA21" s="395"/>
      <c r="AB21" s="395"/>
    </row>
    <row r="22" spans="1:28" x14ac:dyDescent="0.25">
      <c r="A22" s="441" t="s">
        <v>37</v>
      </c>
      <c r="B22" s="21"/>
      <c r="C22" s="371">
        <f>C19*$B$20*C21</f>
        <v>3.145649230378047</v>
      </c>
      <c r="D22" s="372">
        <f t="shared" ref="D22:N22" si="12">D19*$B$20*D21</f>
        <v>5.2613167757005419</v>
      </c>
      <c r="E22" s="372">
        <f t="shared" si="12"/>
        <v>660.3491713852751</v>
      </c>
      <c r="F22" s="372">
        <f t="shared" si="12"/>
        <v>790.82657959782944</v>
      </c>
      <c r="G22" s="372">
        <f t="shared" si="12"/>
        <v>1470.0685171339185</v>
      </c>
      <c r="H22" s="372">
        <f t="shared" si="12"/>
        <v>7289.9650729064842</v>
      </c>
      <c r="I22" s="372">
        <f t="shared" si="12"/>
        <v>14612.397111768243</v>
      </c>
      <c r="J22" s="372">
        <f t="shared" si="12"/>
        <v>16942.547201814377</v>
      </c>
      <c r="K22" s="372">
        <f t="shared" si="12"/>
        <v>10202.439086509108</v>
      </c>
      <c r="L22" s="372">
        <f t="shared" si="12"/>
        <v>6111.3204272104758</v>
      </c>
      <c r="M22" s="372">
        <f t="shared" si="12"/>
        <v>9992.3803186274727</v>
      </c>
      <c r="N22" s="373">
        <f t="shared" si="12"/>
        <v>18598.626414123137</v>
      </c>
      <c r="O22" s="386">
        <f>O19*$B$20*O21</f>
        <v>19644.871874496752</v>
      </c>
      <c r="P22" s="387">
        <f t="shared" ref="P22:Z22" si="13">P19*$B$20*P21</f>
        <v>16428.706187522988</v>
      </c>
      <c r="Q22" s="387">
        <f t="shared" si="13"/>
        <v>12369.654224079653</v>
      </c>
      <c r="R22" s="387">
        <f t="shared" si="13"/>
        <v>6592.9110272989801</v>
      </c>
      <c r="S22" s="387">
        <f t="shared" si="13"/>
        <v>7401.7268022199514</v>
      </c>
      <c r="T22" s="387">
        <f t="shared" si="13"/>
        <v>21149.617810143794</v>
      </c>
      <c r="U22" s="387">
        <f t="shared" si="13"/>
        <v>31467.600186845037</v>
      </c>
      <c r="V22" s="387">
        <f t="shared" si="13"/>
        <v>29919.341264148166</v>
      </c>
      <c r="W22" s="387">
        <f t="shared" si="13"/>
        <v>14962.598755215071</v>
      </c>
      <c r="X22" s="387">
        <f t="shared" si="13"/>
        <v>7349.0701133760431</v>
      </c>
      <c r="Y22" s="387">
        <f t="shared" si="13"/>
        <v>10520.881218994793</v>
      </c>
      <c r="Z22" s="388">
        <f t="shared" si="13"/>
        <v>18875.326835571279</v>
      </c>
      <c r="AA22" s="429">
        <f>SUM(C22:N22)</f>
        <v>86679.326867082404</v>
      </c>
      <c r="AB22" s="429">
        <f>SUM(O22:Z22)</f>
        <v>196682.30629991251</v>
      </c>
    </row>
    <row r="23" spans="1:28" x14ac:dyDescent="0.25">
      <c r="A23" s="440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</row>
    <row r="24" spans="1:28" x14ac:dyDescent="0.25">
      <c r="A24" s="440"/>
      <c r="O24" s="428">
        <f>+AA22/(AA19*$B$20)</f>
        <v>0.11467677605990197</v>
      </c>
    </row>
    <row r="25" spans="1:28" x14ac:dyDescent="0.25">
      <c r="A25" s="442" t="s">
        <v>39</v>
      </c>
      <c r="B25" s="276"/>
      <c r="C25" s="277"/>
      <c r="I25" s="23"/>
    </row>
    <row r="26" spans="1:28" x14ac:dyDescent="0.25">
      <c r="A26" s="356" t="s">
        <v>298</v>
      </c>
      <c r="B26" s="262"/>
      <c r="C26" s="263">
        <v>0</v>
      </c>
      <c r="I26" s="23"/>
    </row>
    <row r="27" spans="1:28" x14ac:dyDescent="0.25">
      <c r="A27" s="357" t="s">
        <v>299</v>
      </c>
      <c r="B27" s="261"/>
      <c r="C27" s="256">
        <v>0.5</v>
      </c>
      <c r="I27" s="23"/>
    </row>
    <row r="28" spans="1:28" x14ac:dyDescent="0.25">
      <c r="A28" s="358" t="s">
        <v>300</v>
      </c>
      <c r="B28" s="257"/>
      <c r="C28" s="258">
        <v>0.5</v>
      </c>
    </row>
    <row r="29" spans="1:28" x14ac:dyDescent="0.25">
      <c r="A29" s="440"/>
      <c r="C29" s="27"/>
    </row>
    <row r="30" spans="1:28" x14ac:dyDescent="0.25">
      <c r="A30" s="440" t="s">
        <v>33</v>
      </c>
      <c r="C30" s="223">
        <f t="array" ref="C30:N32">TRANSPOSE('8. Load Shapes'!$B$4:$D$15)</f>
        <v>0.10118199999999999</v>
      </c>
      <c r="D30" s="224">
        <v>8.8441000000000006E-2</v>
      </c>
      <c r="E30" s="224">
        <v>9.2879000000000003E-2</v>
      </c>
      <c r="F30" s="224">
        <v>8.4644999999999998E-2</v>
      </c>
      <c r="G30" s="224">
        <v>7.9393000000000005E-2</v>
      </c>
      <c r="H30" s="224">
        <v>6.8507999999999999E-2</v>
      </c>
      <c r="I30" s="225">
        <v>6.7863999999999994E-2</v>
      </c>
      <c r="J30" s="225">
        <v>7.0565000000000003E-2</v>
      </c>
      <c r="K30" s="225">
        <v>7.3791999999999996E-2</v>
      </c>
      <c r="L30" s="225">
        <v>8.4539000000000003E-2</v>
      </c>
      <c r="M30" s="225">
        <v>8.9880000000000002E-2</v>
      </c>
      <c r="N30" s="226">
        <v>9.8311999999999997E-2</v>
      </c>
      <c r="O30" s="72">
        <f t="array" ref="O30:Z32">TRANSPOSE('8. Load Shapes'!$B$4:$D$15)</f>
        <v>0.10118199999999999</v>
      </c>
      <c r="P30" s="73">
        <v>8.8441000000000006E-2</v>
      </c>
      <c r="Q30" s="73">
        <v>9.2879000000000003E-2</v>
      </c>
      <c r="R30" s="73">
        <v>8.4644999999999998E-2</v>
      </c>
      <c r="S30" s="73">
        <v>7.9393000000000005E-2</v>
      </c>
      <c r="T30" s="73">
        <v>6.8507999999999999E-2</v>
      </c>
      <c r="U30" s="74">
        <v>6.7863999999999994E-2</v>
      </c>
      <c r="V30" s="74">
        <v>7.0565000000000003E-2</v>
      </c>
      <c r="W30" s="74">
        <v>7.3791999999999996E-2</v>
      </c>
      <c r="X30" s="74">
        <v>8.4539000000000003E-2</v>
      </c>
      <c r="Y30" s="74">
        <v>8.9880000000000002E-2</v>
      </c>
      <c r="Z30" s="75">
        <v>9.8311999999999997E-2</v>
      </c>
    </row>
    <row r="31" spans="1:28" x14ac:dyDescent="0.25">
      <c r="A31" s="440" t="s">
        <v>40</v>
      </c>
      <c r="C31" s="227">
        <v>0.21790599999999999</v>
      </c>
      <c r="D31" s="228">
        <v>0.18213499999999999</v>
      </c>
      <c r="E31" s="228">
        <v>0.13483300000000001</v>
      </c>
      <c r="F31" s="228">
        <v>5.8486000000000003E-2</v>
      </c>
      <c r="G31" s="228">
        <v>1.7144E-2</v>
      </c>
      <c r="H31" s="228">
        <v>5.1000000000000004E-4</v>
      </c>
      <c r="I31" s="229">
        <v>6.0000000000000002E-6</v>
      </c>
      <c r="J31" s="229">
        <v>9.0000000000000002E-6</v>
      </c>
      <c r="K31" s="229">
        <v>8.8090000000000009E-3</v>
      </c>
      <c r="L31" s="229">
        <v>5.4961999999999997E-2</v>
      </c>
      <c r="M31" s="229">
        <v>0.115899</v>
      </c>
      <c r="N31" s="230">
        <v>0.20930099999999999</v>
      </c>
      <c r="O31" s="76">
        <v>0.21790599999999999</v>
      </c>
      <c r="P31" s="77">
        <v>0.18213499999999999</v>
      </c>
      <c r="Q31" s="77">
        <v>0.13483300000000001</v>
      </c>
      <c r="R31" s="77">
        <v>5.8486000000000003E-2</v>
      </c>
      <c r="S31" s="77">
        <v>1.7144E-2</v>
      </c>
      <c r="T31" s="77">
        <v>5.1000000000000004E-4</v>
      </c>
      <c r="U31" s="78">
        <v>6.0000000000000002E-6</v>
      </c>
      <c r="V31" s="78">
        <v>9.0000000000000002E-6</v>
      </c>
      <c r="W31" s="78">
        <v>8.8090000000000009E-3</v>
      </c>
      <c r="X31" s="78">
        <v>5.4961999999999997E-2</v>
      </c>
      <c r="Y31" s="78">
        <v>0.115899</v>
      </c>
      <c r="Z31" s="79">
        <v>0.20930099999999999</v>
      </c>
    </row>
    <row r="32" spans="1:28" x14ac:dyDescent="0.25">
      <c r="A32" s="440" t="s">
        <v>41</v>
      </c>
      <c r="C32" s="231">
        <v>1.1999999999999999E-3</v>
      </c>
      <c r="D32" s="232">
        <v>1.1000000000000001E-3</v>
      </c>
      <c r="E32" s="232">
        <v>3.13E-3</v>
      </c>
      <c r="F32" s="232">
        <v>1.5047E-2</v>
      </c>
      <c r="G32" s="232">
        <v>6.5409999999999996E-2</v>
      </c>
      <c r="H32" s="232">
        <v>0.21082300000000001</v>
      </c>
      <c r="I32" s="233">
        <v>0.28478100000000001</v>
      </c>
      <c r="J32" s="233">
        <v>0.27076600000000001</v>
      </c>
      <c r="K32" s="233">
        <v>0.126605</v>
      </c>
      <c r="L32" s="233">
        <v>1.8471999999999999E-2</v>
      </c>
      <c r="M32" s="233">
        <v>1.444E-3</v>
      </c>
      <c r="N32" s="234">
        <v>1.222E-3</v>
      </c>
      <c r="O32" s="80">
        <v>1.1999999999999999E-3</v>
      </c>
      <c r="P32" s="81">
        <v>1.1000000000000001E-3</v>
      </c>
      <c r="Q32" s="81">
        <v>3.13E-3</v>
      </c>
      <c r="R32" s="81">
        <v>1.5047E-2</v>
      </c>
      <c r="S32" s="81">
        <v>6.5409999999999996E-2</v>
      </c>
      <c r="T32" s="81">
        <v>0.21082300000000001</v>
      </c>
      <c r="U32" s="82">
        <v>0.28478100000000001</v>
      </c>
      <c r="V32" s="82">
        <v>0.27076600000000001</v>
      </c>
      <c r="W32" s="82">
        <v>0.126605</v>
      </c>
      <c r="X32" s="82">
        <v>1.8471999999999999E-2</v>
      </c>
      <c r="Y32" s="82">
        <v>1.444E-3</v>
      </c>
      <c r="Z32" s="83">
        <v>1.222E-3</v>
      </c>
    </row>
    <row r="33" spans="1:9" x14ac:dyDescent="0.25">
      <c r="A33" s="440"/>
    </row>
    <row r="34" spans="1:9" x14ac:dyDescent="0.25">
      <c r="A34" s="440"/>
      <c r="C34" s="24"/>
      <c r="D34" s="24"/>
      <c r="E34" s="24"/>
      <c r="F34" s="24"/>
      <c r="G34" s="24"/>
      <c r="H34" s="24"/>
    </row>
    <row r="35" spans="1:9" x14ac:dyDescent="0.25">
      <c r="A35" s="442" t="s">
        <v>150</v>
      </c>
      <c r="B35" s="761" t="s">
        <v>250</v>
      </c>
      <c r="C35" s="761"/>
      <c r="D35" s="761"/>
      <c r="E35" s="761"/>
      <c r="F35" s="761"/>
      <c r="G35" s="762"/>
      <c r="I35" s="23"/>
    </row>
    <row r="36" spans="1:9" x14ac:dyDescent="0.25">
      <c r="A36" s="439"/>
      <c r="B36" s="248" t="s">
        <v>147</v>
      </c>
      <c r="C36" s="248" t="s">
        <v>42</v>
      </c>
      <c r="D36" s="248" t="s">
        <v>43</v>
      </c>
      <c r="E36" s="248" t="s">
        <v>132</v>
      </c>
      <c r="F36" s="157" t="s">
        <v>44</v>
      </c>
      <c r="G36" s="158"/>
    </row>
    <row r="37" spans="1:9" x14ac:dyDescent="0.25">
      <c r="A37" s="443" t="s">
        <v>45</v>
      </c>
      <c r="B37" s="265">
        <v>0.14030999999999999</v>
      </c>
      <c r="C37" s="254">
        <v>0.14030999999999999</v>
      </c>
      <c r="D37" s="254">
        <f>'2. TD Res Lighting install 2022'!N37</f>
        <v>8.6999999999999994E-3</v>
      </c>
      <c r="E37" s="255">
        <v>0.02</v>
      </c>
      <c r="F37" s="28">
        <f>SUMPRODUCT(B37:C37,B40:C40)-D37-E37*$E$40</f>
        <v>0.1262135863472478</v>
      </c>
      <c r="G37" s="60"/>
    </row>
    <row r="38" spans="1:9" x14ac:dyDescent="0.25">
      <c r="A38" s="443" t="s">
        <v>46</v>
      </c>
      <c r="B38" s="266">
        <v>0.14030999999999999</v>
      </c>
      <c r="C38" s="267">
        <v>0.11651</v>
      </c>
      <c r="D38" s="274">
        <f>+D37</f>
        <v>8.6999999999999994E-3</v>
      </c>
      <c r="E38" s="275">
        <f>+E37</f>
        <v>0.02</v>
      </c>
      <c r="F38" s="28">
        <f>SUMPRODUCT(B38:C38,B40:C40)-D38-E38*$E$40</f>
        <v>0.10241358634724779</v>
      </c>
      <c r="G38" s="60"/>
    </row>
    <row r="39" spans="1:9" x14ac:dyDescent="0.25">
      <c r="A39" s="26"/>
      <c r="B39" s="17"/>
    </row>
    <row r="40" spans="1:9" x14ac:dyDescent="0.25">
      <c r="B40" s="279">
        <f t="array" ref="B40:C40">TRANSPOSE('Step Adjustments'!C12:C13)</f>
        <v>0</v>
      </c>
      <c r="C40" s="280">
        <v>1</v>
      </c>
      <c r="E40" s="253">
        <f>'2. TD Res Lighting install 2024'!E40</f>
        <v>0.26982068263761072</v>
      </c>
    </row>
  </sheetData>
  <mergeCells count="3">
    <mergeCell ref="C1:N1"/>
    <mergeCell ref="B35:G35"/>
    <mergeCell ref="O1:Z1"/>
  </mergeCells>
  <pageMargins left="0.7" right="0.7" top="0.75" bottom="0.75" header="0.3" footer="0.3"/>
  <pageSetup orientation="portrait" r:id="rId1"/>
  <ignoredErrors>
    <ignoredError sqref="AA2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45D7-078B-4E62-B705-58F8BA2E42B7}">
  <sheetPr codeName="Sheet16"/>
  <dimension ref="A1:AB40"/>
  <sheetViews>
    <sheetView zoomScaleNormal="100" workbookViewId="0">
      <pane xSplit="2" ySplit="5" topLeftCell="C6" activePane="bottomRight" state="frozen"/>
      <selection activeCell="D6" sqref="D6"/>
      <selection pane="topRight" activeCell="D6" sqref="D6"/>
      <selection pane="bottomLeft" activeCell="D6" sqref="D6"/>
      <selection pane="bottomRight"/>
    </sheetView>
  </sheetViews>
  <sheetFormatPr defaultColWidth="12.7109375" defaultRowHeight="13.1" x14ac:dyDescent="0.25"/>
  <cols>
    <col min="1" max="1" width="30.7109375" style="22" customWidth="1"/>
    <col min="2" max="2" width="12.7109375" style="22"/>
    <col min="3" max="16384" width="12.7109375" style="17"/>
  </cols>
  <sheetData>
    <row r="1" spans="1:28" x14ac:dyDescent="0.25">
      <c r="A1" s="168" t="str">
        <f>Company_Filing</f>
        <v>2025 MEEIA Filing</v>
      </c>
      <c r="B1" s="272"/>
      <c r="C1" s="760" t="s">
        <v>244</v>
      </c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760" t="s">
        <v>245</v>
      </c>
      <c r="P1" s="760"/>
      <c r="Q1" s="760"/>
      <c r="R1" s="760"/>
      <c r="S1" s="760"/>
      <c r="T1" s="760"/>
      <c r="U1" s="760"/>
      <c r="V1" s="760"/>
      <c r="W1" s="760"/>
      <c r="X1" s="760"/>
      <c r="Y1" s="760"/>
      <c r="Z1" s="760"/>
      <c r="AA1" s="389" t="s">
        <v>221</v>
      </c>
      <c r="AB1" s="389" t="s">
        <v>222</v>
      </c>
    </row>
    <row r="2" spans="1:28" x14ac:dyDescent="0.25">
      <c r="A2" s="87" t="s">
        <v>191</v>
      </c>
      <c r="B2" s="273"/>
      <c r="C2" s="215">
        <v>45292</v>
      </c>
      <c r="D2" s="215">
        <v>45323</v>
      </c>
      <c r="E2" s="215">
        <v>45352</v>
      </c>
      <c r="F2" s="215">
        <v>45383</v>
      </c>
      <c r="G2" s="215">
        <v>45413</v>
      </c>
      <c r="H2" s="215">
        <v>45444</v>
      </c>
      <c r="I2" s="215">
        <v>45474</v>
      </c>
      <c r="J2" s="215">
        <v>45505</v>
      </c>
      <c r="K2" s="215">
        <v>45536</v>
      </c>
      <c r="L2" s="215">
        <v>45566</v>
      </c>
      <c r="M2" s="215">
        <v>45597</v>
      </c>
      <c r="N2" s="215">
        <v>45627</v>
      </c>
      <c r="O2" s="215">
        <v>45658</v>
      </c>
      <c r="P2" s="215">
        <v>45689</v>
      </c>
      <c r="Q2" s="215">
        <v>45717</v>
      </c>
      <c r="R2" s="215">
        <v>45748</v>
      </c>
      <c r="S2" s="215">
        <v>45778</v>
      </c>
      <c r="T2" s="215">
        <v>45809</v>
      </c>
      <c r="U2" s="215">
        <v>45839</v>
      </c>
      <c r="V2" s="215">
        <v>45870</v>
      </c>
      <c r="W2" s="215">
        <v>45901</v>
      </c>
      <c r="X2" s="215">
        <v>45931</v>
      </c>
      <c r="Y2" s="215">
        <v>45962</v>
      </c>
      <c r="Z2" s="215">
        <v>45992</v>
      </c>
      <c r="AA2" s="402" t="s">
        <v>181</v>
      </c>
      <c r="AB2" s="402" t="s">
        <v>246</v>
      </c>
    </row>
    <row r="3" spans="1:28" x14ac:dyDescent="0.25">
      <c r="A3" s="88"/>
    </row>
    <row r="4" spans="1:28" x14ac:dyDescent="0.25">
      <c r="A4" s="353" t="s">
        <v>230</v>
      </c>
      <c r="B4" s="271" t="s">
        <v>69</v>
      </c>
    </row>
    <row r="6" spans="1:28" x14ac:dyDescent="0.25">
      <c r="A6" s="18">
        <v>45292</v>
      </c>
      <c r="B6" s="96">
        <f>'6. 2024 Installed kWh Savings'!H6</f>
        <v>0</v>
      </c>
      <c r="C6" s="361">
        <f>$B6*(SUMPRODUCT(C$30:C$32,$C$26:$C$28))/2</f>
        <v>0</v>
      </c>
      <c r="D6" s="361">
        <f t="shared" ref="D6:N11" si="0">$B6*(SUMPRODUCT(D$30:D$32,$C$26:$C$28))</f>
        <v>0</v>
      </c>
      <c r="E6" s="361">
        <f t="shared" si="0"/>
        <v>0</v>
      </c>
      <c r="F6" s="361">
        <f t="shared" si="0"/>
        <v>0</v>
      </c>
      <c r="G6" s="361">
        <f t="shared" si="0"/>
        <v>0</v>
      </c>
      <c r="H6" s="361">
        <f t="shared" si="0"/>
        <v>0</v>
      </c>
      <c r="I6" s="361">
        <f t="shared" si="0"/>
        <v>0</v>
      </c>
      <c r="J6" s="361">
        <f t="shared" si="0"/>
        <v>0</v>
      </c>
      <c r="K6" s="361">
        <f t="shared" si="0"/>
        <v>0</v>
      </c>
      <c r="L6" s="361">
        <f t="shared" si="0"/>
        <v>0</v>
      </c>
      <c r="M6" s="361">
        <f t="shared" si="0"/>
        <v>0</v>
      </c>
      <c r="N6" s="362">
        <f t="shared" si="0"/>
        <v>0</v>
      </c>
      <c r="O6" s="375">
        <f>$B6*(SUMPRODUCT(O$30:O$32,$C$26:$C$28))</f>
        <v>0</v>
      </c>
      <c r="P6" s="376">
        <f t="shared" ref="O6:Z17" si="1">$B6*(SUMPRODUCT(P$30:P$32,$C$26:$C$28))</f>
        <v>0</v>
      </c>
      <c r="Q6" s="376">
        <f t="shared" si="1"/>
        <v>0</v>
      </c>
      <c r="R6" s="376">
        <f t="shared" si="1"/>
        <v>0</v>
      </c>
      <c r="S6" s="376">
        <f t="shared" si="1"/>
        <v>0</v>
      </c>
      <c r="T6" s="376">
        <f t="shared" si="1"/>
        <v>0</v>
      </c>
      <c r="U6" s="376">
        <f t="shared" si="1"/>
        <v>0</v>
      </c>
      <c r="V6" s="376">
        <f t="shared" si="1"/>
        <v>0</v>
      </c>
      <c r="W6" s="376">
        <f t="shared" si="1"/>
        <v>0</v>
      </c>
      <c r="X6" s="376">
        <f t="shared" si="1"/>
        <v>0</v>
      </c>
      <c r="Y6" s="376">
        <f t="shared" si="1"/>
        <v>0</v>
      </c>
      <c r="Z6" s="377">
        <f t="shared" si="1"/>
        <v>0</v>
      </c>
      <c r="AA6" s="391">
        <f t="shared" ref="AA6:AA17" si="2">SUM(C6:N6)</f>
        <v>0</v>
      </c>
      <c r="AB6" s="532">
        <f>SUM(O6:Z6)</f>
        <v>0</v>
      </c>
    </row>
    <row r="7" spans="1:28" x14ac:dyDescent="0.25">
      <c r="A7" s="18">
        <v>45323</v>
      </c>
      <c r="B7" s="97">
        <f>'6. 2024 Installed kWh Savings'!H7</f>
        <v>0</v>
      </c>
      <c r="C7" s="364"/>
      <c r="D7" s="364">
        <f>$B7*(SUMPRODUCT(D$30:D$32,$C$26:$C$28))/2</f>
        <v>0</v>
      </c>
      <c r="E7" s="364">
        <f t="shared" si="0"/>
        <v>0</v>
      </c>
      <c r="F7" s="364">
        <f t="shared" si="0"/>
        <v>0</v>
      </c>
      <c r="G7" s="364">
        <f t="shared" si="0"/>
        <v>0</v>
      </c>
      <c r="H7" s="364">
        <f t="shared" si="0"/>
        <v>0</v>
      </c>
      <c r="I7" s="364">
        <f t="shared" si="0"/>
        <v>0</v>
      </c>
      <c r="J7" s="364">
        <f t="shared" si="0"/>
        <v>0</v>
      </c>
      <c r="K7" s="364">
        <f t="shared" si="0"/>
        <v>0</v>
      </c>
      <c r="L7" s="364">
        <f t="shared" si="0"/>
        <v>0</v>
      </c>
      <c r="M7" s="364">
        <f t="shared" si="0"/>
        <v>0</v>
      </c>
      <c r="N7" s="365">
        <f t="shared" si="0"/>
        <v>0</v>
      </c>
      <c r="O7" s="378">
        <f t="shared" si="1"/>
        <v>0</v>
      </c>
      <c r="P7" s="379">
        <f t="shared" si="1"/>
        <v>0</v>
      </c>
      <c r="Q7" s="379">
        <f t="shared" si="1"/>
        <v>0</v>
      </c>
      <c r="R7" s="379">
        <f t="shared" si="1"/>
        <v>0</v>
      </c>
      <c r="S7" s="379">
        <f t="shared" si="1"/>
        <v>0</v>
      </c>
      <c r="T7" s="379">
        <f t="shared" si="1"/>
        <v>0</v>
      </c>
      <c r="U7" s="379">
        <f t="shared" si="1"/>
        <v>0</v>
      </c>
      <c r="V7" s="379">
        <f t="shared" si="1"/>
        <v>0</v>
      </c>
      <c r="W7" s="379">
        <f t="shared" si="1"/>
        <v>0</v>
      </c>
      <c r="X7" s="379">
        <f t="shared" si="1"/>
        <v>0</v>
      </c>
      <c r="Y7" s="379">
        <f t="shared" si="1"/>
        <v>0</v>
      </c>
      <c r="Z7" s="380">
        <f t="shared" si="1"/>
        <v>0</v>
      </c>
      <c r="AA7" s="392">
        <f t="shared" si="2"/>
        <v>0</v>
      </c>
      <c r="AB7" s="533">
        <f t="shared" ref="AB7:AB17" si="3">SUM(O7:Z7)</f>
        <v>0</v>
      </c>
    </row>
    <row r="8" spans="1:28" x14ac:dyDescent="0.25">
      <c r="A8" s="18">
        <v>45352</v>
      </c>
      <c r="B8" s="97">
        <f>'6. 2024 Installed kWh Savings'!H8</f>
        <v>0</v>
      </c>
      <c r="C8" s="364"/>
      <c r="D8" s="364"/>
      <c r="E8" s="364">
        <f>$B8*(SUMPRODUCT(E$30:E$32,$C$26:$C$28))/2</f>
        <v>0</v>
      </c>
      <c r="F8" s="364">
        <f t="shared" si="0"/>
        <v>0</v>
      </c>
      <c r="G8" s="364">
        <f t="shared" si="0"/>
        <v>0</v>
      </c>
      <c r="H8" s="364">
        <f t="shared" si="0"/>
        <v>0</v>
      </c>
      <c r="I8" s="364">
        <f t="shared" si="0"/>
        <v>0</v>
      </c>
      <c r="J8" s="364">
        <f t="shared" si="0"/>
        <v>0</v>
      </c>
      <c r="K8" s="364">
        <f t="shared" si="0"/>
        <v>0</v>
      </c>
      <c r="L8" s="364">
        <f t="shared" si="0"/>
        <v>0</v>
      </c>
      <c r="M8" s="364">
        <f t="shared" si="0"/>
        <v>0</v>
      </c>
      <c r="N8" s="365">
        <f t="shared" si="0"/>
        <v>0</v>
      </c>
      <c r="O8" s="378">
        <f t="shared" si="1"/>
        <v>0</v>
      </c>
      <c r="P8" s="379">
        <f t="shared" si="1"/>
        <v>0</v>
      </c>
      <c r="Q8" s="379">
        <f t="shared" si="1"/>
        <v>0</v>
      </c>
      <c r="R8" s="379">
        <f t="shared" si="1"/>
        <v>0</v>
      </c>
      <c r="S8" s="379">
        <f t="shared" si="1"/>
        <v>0</v>
      </c>
      <c r="T8" s="379">
        <f t="shared" si="1"/>
        <v>0</v>
      </c>
      <c r="U8" s="379">
        <f t="shared" si="1"/>
        <v>0</v>
      </c>
      <c r="V8" s="379">
        <f t="shared" si="1"/>
        <v>0</v>
      </c>
      <c r="W8" s="379">
        <f t="shared" si="1"/>
        <v>0</v>
      </c>
      <c r="X8" s="379">
        <f t="shared" si="1"/>
        <v>0</v>
      </c>
      <c r="Y8" s="379">
        <f t="shared" si="1"/>
        <v>0</v>
      </c>
      <c r="Z8" s="380">
        <f t="shared" si="1"/>
        <v>0</v>
      </c>
      <c r="AA8" s="392">
        <f t="shared" si="2"/>
        <v>0</v>
      </c>
      <c r="AB8" s="533">
        <f t="shared" si="3"/>
        <v>0</v>
      </c>
    </row>
    <row r="9" spans="1:28" x14ac:dyDescent="0.25">
      <c r="A9" s="18">
        <v>45383</v>
      </c>
      <c r="B9" s="97">
        <f>'6. 2024 Installed kWh Savings'!H9</f>
        <v>79779.492199999993</v>
      </c>
      <c r="C9" s="364"/>
      <c r="D9" s="364"/>
      <c r="E9" s="364"/>
      <c r="F9" s="364">
        <f>$B9*(SUMPRODUCT(F$30:F$32,$C$26:$C$28))/2</f>
        <v>1466.60634998565</v>
      </c>
      <c r="G9" s="364">
        <f t="shared" si="0"/>
        <v>3293.0580995393993</v>
      </c>
      <c r="H9" s="364">
        <f t="shared" si="0"/>
        <v>8430.0197125513005</v>
      </c>
      <c r="I9" s="364">
        <f t="shared" si="0"/>
        <v>11360.081122580699</v>
      </c>
      <c r="J9" s="364">
        <f t="shared" si="0"/>
        <v>10801.146000227498</v>
      </c>
      <c r="K9" s="364">
        <f t="shared" si="0"/>
        <v>5401.6300783853994</v>
      </c>
      <c r="L9" s="364">
        <f t="shared" si="0"/>
        <v>2929.2636151073998</v>
      </c>
      <c r="M9" s="364">
        <f t="shared" si="0"/>
        <v>4680.7824766122994</v>
      </c>
      <c r="N9" s="365">
        <f t="shared" si="0"/>
        <v>8397.7090182102984</v>
      </c>
      <c r="O9" s="378">
        <f t="shared" si="1"/>
        <v>8740.0827089865998</v>
      </c>
      <c r="P9" s="379">
        <f t="shared" si="1"/>
        <v>7309.1976266334987</v>
      </c>
      <c r="Q9" s="379">
        <f t="shared" si="1"/>
        <v>5503.3090411942994</v>
      </c>
      <c r="R9" s="379">
        <f t="shared" si="1"/>
        <v>2933.2126999713</v>
      </c>
      <c r="S9" s="379">
        <f t="shared" si="1"/>
        <v>3293.0580995393993</v>
      </c>
      <c r="T9" s="379">
        <f t="shared" si="1"/>
        <v>8430.0197125513005</v>
      </c>
      <c r="U9" s="379">
        <f t="shared" si="1"/>
        <v>11360.081122580699</v>
      </c>
      <c r="V9" s="379">
        <f t="shared" si="1"/>
        <v>10801.146000227498</v>
      </c>
      <c r="W9" s="379">
        <f t="shared" si="1"/>
        <v>5401.6300783853994</v>
      </c>
      <c r="X9" s="379">
        <f t="shared" si="1"/>
        <v>2929.2636151073998</v>
      </c>
      <c r="Y9" s="379">
        <f t="shared" si="1"/>
        <v>4680.7824766122994</v>
      </c>
      <c r="Z9" s="380">
        <f t="shared" si="1"/>
        <v>8397.7090182102984</v>
      </c>
      <c r="AA9" s="392">
        <f t="shared" si="2"/>
        <v>56760.296473199945</v>
      </c>
      <c r="AB9" s="533">
        <f t="shared" si="3"/>
        <v>79779.492199999993</v>
      </c>
    </row>
    <row r="10" spans="1:28" x14ac:dyDescent="0.25">
      <c r="A10" s="18">
        <v>45413</v>
      </c>
      <c r="B10" s="97">
        <f>'6. 2024 Installed kWh Savings'!H10</f>
        <v>0</v>
      </c>
      <c r="C10" s="364"/>
      <c r="D10" s="364"/>
      <c r="E10" s="364"/>
      <c r="F10" s="364"/>
      <c r="G10" s="364">
        <f>$B10*(SUMPRODUCT(G$30:G$32,$C$26:$C$28))/2</f>
        <v>0</v>
      </c>
      <c r="H10" s="364">
        <f t="shared" si="0"/>
        <v>0</v>
      </c>
      <c r="I10" s="364">
        <f t="shared" si="0"/>
        <v>0</v>
      </c>
      <c r="J10" s="364">
        <f t="shared" si="0"/>
        <v>0</v>
      </c>
      <c r="K10" s="364">
        <f t="shared" si="0"/>
        <v>0</v>
      </c>
      <c r="L10" s="364">
        <f t="shared" si="0"/>
        <v>0</v>
      </c>
      <c r="M10" s="364">
        <f t="shared" si="0"/>
        <v>0</v>
      </c>
      <c r="N10" s="365">
        <f t="shared" si="0"/>
        <v>0</v>
      </c>
      <c r="O10" s="378">
        <f t="shared" si="1"/>
        <v>0</v>
      </c>
      <c r="P10" s="379">
        <f t="shared" si="1"/>
        <v>0</v>
      </c>
      <c r="Q10" s="379">
        <f t="shared" si="1"/>
        <v>0</v>
      </c>
      <c r="R10" s="379">
        <f t="shared" si="1"/>
        <v>0</v>
      </c>
      <c r="S10" s="379">
        <f t="shared" si="1"/>
        <v>0</v>
      </c>
      <c r="T10" s="379">
        <f t="shared" si="1"/>
        <v>0</v>
      </c>
      <c r="U10" s="379">
        <f t="shared" si="1"/>
        <v>0</v>
      </c>
      <c r="V10" s="379">
        <f t="shared" si="1"/>
        <v>0</v>
      </c>
      <c r="W10" s="379">
        <f t="shared" si="1"/>
        <v>0</v>
      </c>
      <c r="X10" s="379">
        <f t="shared" si="1"/>
        <v>0</v>
      </c>
      <c r="Y10" s="379">
        <f t="shared" si="1"/>
        <v>0</v>
      </c>
      <c r="Z10" s="380">
        <f t="shared" si="1"/>
        <v>0</v>
      </c>
      <c r="AA10" s="392">
        <f t="shared" si="2"/>
        <v>0</v>
      </c>
      <c r="AB10" s="533">
        <f t="shared" si="3"/>
        <v>0</v>
      </c>
    </row>
    <row r="11" spans="1:28" x14ac:dyDescent="0.25">
      <c r="A11" s="18">
        <v>45444</v>
      </c>
      <c r="B11" s="97">
        <f>'6. 2024 Installed kWh Savings'!H11</f>
        <v>0</v>
      </c>
      <c r="C11" s="364"/>
      <c r="D11" s="364"/>
      <c r="E11" s="364"/>
      <c r="F11" s="364"/>
      <c r="G11" s="364"/>
      <c r="H11" s="364">
        <f>$B11*(SUMPRODUCT(H$30:H$32,$C$26:$C$28))/2</f>
        <v>0</v>
      </c>
      <c r="I11" s="364">
        <f t="shared" si="0"/>
        <v>0</v>
      </c>
      <c r="J11" s="364">
        <f t="shared" si="0"/>
        <v>0</v>
      </c>
      <c r="K11" s="364">
        <f t="shared" si="0"/>
        <v>0</v>
      </c>
      <c r="L11" s="364">
        <f t="shared" si="0"/>
        <v>0</v>
      </c>
      <c r="M11" s="364">
        <f t="shared" si="0"/>
        <v>0</v>
      </c>
      <c r="N11" s="365">
        <f t="shared" si="0"/>
        <v>0</v>
      </c>
      <c r="O11" s="378">
        <f t="shared" si="1"/>
        <v>0</v>
      </c>
      <c r="P11" s="379">
        <f t="shared" si="1"/>
        <v>0</v>
      </c>
      <c r="Q11" s="379">
        <f t="shared" si="1"/>
        <v>0</v>
      </c>
      <c r="R11" s="379">
        <f t="shared" si="1"/>
        <v>0</v>
      </c>
      <c r="S11" s="379">
        <f t="shared" si="1"/>
        <v>0</v>
      </c>
      <c r="T11" s="379">
        <f t="shared" si="1"/>
        <v>0</v>
      </c>
      <c r="U11" s="379">
        <f t="shared" si="1"/>
        <v>0</v>
      </c>
      <c r="V11" s="379">
        <f t="shared" si="1"/>
        <v>0</v>
      </c>
      <c r="W11" s="379">
        <f t="shared" si="1"/>
        <v>0</v>
      </c>
      <c r="X11" s="379">
        <f t="shared" si="1"/>
        <v>0</v>
      </c>
      <c r="Y11" s="379">
        <f t="shared" si="1"/>
        <v>0</v>
      </c>
      <c r="Z11" s="380">
        <f t="shared" si="1"/>
        <v>0</v>
      </c>
      <c r="AA11" s="392">
        <f t="shared" si="2"/>
        <v>0</v>
      </c>
      <c r="AB11" s="533">
        <f t="shared" si="3"/>
        <v>0</v>
      </c>
    </row>
    <row r="12" spans="1:28" x14ac:dyDescent="0.25">
      <c r="A12" s="18">
        <v>45474</v>
      </c>
      <c r="B12" s="97">
        <f>'6. 2024 Installed kWh Savings'!H12</f>
        <v>0</v>
      </c>
      <c r="C12" s="364"/>
      <c r="D12" s="364"/>
      <c r="E12" s="364"/>
      <c r="F12" s="364"/>
      <c r="G12" s="364"/>
      <c r="H12" s="364"/>
      <c r="I12" s="364">
        <f>$B12*(SUMPRODUCT(I$30:I$32,$C$26:$C$28))/2</f>
        <v>0</v>
      </c>
      <c r="J12" s="364">
        <f>$B12*(SUMPRODUCT(J$30:J$32,$C$26:$C$28))</f>
        <v>0</v>
      </c>
      <c r="K12" s="364">
        <f>$B12*(SUMPRODUCT(K$30:K$32,$C$26:$C$28))</f>
        <v>0</v>
      </c>
      <c r="L12" s="364">
        <f>$B12*(SUMPRODUCT(L$30:L$32,$C$26:$C$28))</f>
        <v>0</v>
      </c>
      <c r="M12" s="364">
        <f>$B12*(SUMPRODUCT(M$30:M$32,$C$26:$C$28))</f>
        <v>0</v>
      </c>
      <c r="N12" s="365">
        <f>$B12*(SUMPRODUCT(N$30:N$32,$C$26:$C$28))</f>
        <v>0</v>
      </c>
      <c r="O12" s="378">
        <f t="shared" si="1"/>
        <v>0</v>
      </c>
      <c r="P12" s="379">
        <f t="shared" si="1"/>
        <v>0</v>
      </c>
      <c r="Q12" s="379">
        <f t="shared" si="1"/>
        <v>0</v>
      </c>
      <c r="R12" s="379">
        <f t="shared" si="1"/>
        <v>0</v>
      </c>
      <c r="S12" s="379">
        <f t="shared" si="1"/>
        <v>0</v>
      </c>
      <c r="T12" s="379">
        <f t="shared" si="1"/>
        <v>0</v>
      </c>
      <c r="U12" s="379">
        <f t="shared" si="1"/>
        <v>0</v>
      </c>
      <c r="V12" s="379">
        <f t="shared" si="1"/>
        <v>0</v>
      </c>
      <c r="W12" s="379">
        <f t="shared" si="1"/>
        <v>0</v>
      </c>
      <c r="X12" s="379">
        <f t="shared" si="1"/>
        <v>0</v>
      </c>
      <c r="Y12" s="379">
        <f t="shared" si="1"/>
        <v>0</v>
      </c>
      <c r="Z12" s="380">
        <f t="shared" si="1"/>
        <v>0</v>
      </c>
      <c r="AA12" s="392">
        <f t="shared" si="2"/>
        <v>0</v>
      </c>
      <c r="AB12" s="533">
        <f t="shared" si="3"/>
        <v>0</v>
      </c>
    </row>
    <row r="13" spans="1:28" x14ac:dyDescent="0.25">
      <c r="A13" s="18">
        <v>45505</v>
      </c>
      <c r="B13" s="97">
        <f>'6. 2024 Installed kWh Savings'!H13</f>
        <v>253627.14939999999</v>
      </c>
      <c r="C13" s="364"/>
      <c r="D13" s="364"/>
      <c r="E13" s="364"/>
      <c r="F13" s="364"/>
      <c r="G13" s="364"/>
      <c r="H13" s="364"/>
      <c r="I13" s="364"/>
      <c r="J13" s="364">
        <f>$B13*(SUMPRODUCT(J$30:J$32,$C$26:$C$28))/2</f>
        <v>17168.972844696247</v>
      </c>
      <c r="K13" s="364">
        <f>$B13*(SUMPRODUCT(K$30:K$32,$C$26:$C$28))</f>
        <v>17172.333404425801</v>
      </c>
      <c r="L13" s="364">
        <f>$B13*(SUMPRODUCT(L$30:L$32,$C$26:$C$28))</f>
        <v>9312.4280445198001</v>
      </c>
      <c r="M13" s="364">
        <f>$B13*(SUMPRODUCT(M$30:M$32,$C$26:$C$28))</f>
        <v>14880.6852960221</v>
      </c>
      <c r="N13" s="365">
        <f>$B13*(SUMPRODUCT(N$30:N$32,$C$26:$C$28))</f>
        <v>26697.1741865681</v>
      </c>
      <c r="O13" s="378">
        <f t="shared" si="1"/>
        <v>27785.615098218197</v>
      </c>
      <c r="P13" s="379">
        <f t="shared" si="1"/>
        <v>23236.685360154497</v>
      </c>
      <c r="Q13" s="379">
        <f t="shared" si="1"/>
        <v>17495.581206336101</v>
      </c>
      <c r="R13" s="379">
        <f t="shared" si="1"/>
        <v>9324.9825884150996</v>
      </c>
      <c r="S13" s="379">
        <f t="shared" si="1"/>
        <v>10468.967845783798</v>
      </c>
      <c r="T13" s="379">
        <f t="shared" si="1"/>
        <v>26799.893182075102</v>
      </c>
      <c r="U13" s="379">
        <f t="shared" si="1"/>
        <v>36114.857498088903</v>
      </c>
      <c r="V13" s="379">
        <f t="shared" si="1"/>
        <v>34337.945689392494</v>
      </c>
      <c r="W13" s="379">
        <f t="shared" si="1"/>
        <v>17172.333404425801</v>
      </c>
      <c r="X13" s="379">
        <f t="shared" si="1"/>
        <v>9312.4280445198001</v>
      </c>
      <c r="Y13" s="379">
        <f t="shared" si="1"/>
        <v>14880.6852960221</v>
      </c>
      <c r="Z13" s="380">
        <f t="shared" si="1"/>
        <v>26697.1741865681</v>
      </c>
      <c r="AA13" s="392">
        <f t="shared" si="2"/>
        <v>85231.593776232054</v>
      </c>
      <c r="AB13" s="533">
        <f t="shared" si="3"/>
        <v>253627.14939999999</v>
      </c>
    </row>
    <row r="14" spans="1:28" x14ac:dyDescent="0.25">
      <c r="A14" s="18">
        <v>45536</v>
      </c>
      <c r="B14" s="97">
        <f>'6. 2024 Installed kWh Savings'!H14</f>
        <v>0</v>
      </c>
      <c r="C14" s="364"/>
      <c r="D14" s="364"/>
      <c r="E14" s="364"/>
      <c r="F14" s="364"/>
      <c r="G14" s="364"/>
      <c r="H14" s="364"/>
      <c r="I14" s="364"/>
      <c r="J14" s="364"/>
      <c r="K14" s="364">
        <f>$B14*(SUMPRODUCT(K$30:K$32,$C$26:$C$28))/2</f>
        <v>0</v>
      </c>
      <c r="L14" s="364">
        <f>$B14*(SUMPRODUCT(L$30:L$32,$C$26:$C$28))</f>
        <v>0</v>
      </c>
      <c r="M14" s="364">
        <f>$B14*(SUMPRODUCT(M$30:M$32,$C$26:$C$28))</f>
        <v>0</v>
      </c>
      <c r="N14" s="365">
        <f>$B14*(SUMPRODUCT(N$30:N$32,$C$26:$C$28))</f>
        <v>0</v>
      </c>
      <c r="O14" s="378">
        <f t="shared" si="1"/>
        <v>0</v>
      </c>
      <c r="P14" s="379">
        <f t="shared" si="1"/>
        <v>0</v>
      </c>
      <c r="Q14" s="379">
        <f t="shared" si="1"/>
        <v>0</v>
      </c>
      <c r="R14" s="379">
        <f t="shared" si="1"/>
        <v>0</v>
      </c>
      <c r="S14" s="379">
        <f t="shared" si="1"/>
        <v>0</v>
      </c>
      <c r="T14" s="379">
        <f t="shared" si="1"/>
        <v>0</v>
      </c>
      <c r="U14" s="379">
        <f t="shared" si="1"/>
        <v>0</v>
      </c>
      <c r="V14" s="379">
        <f t="shared" si="1"/>
        <v>0</v>
      </c>
      <c r="W14" s="379">
        <f t="shared" si="1"/>
        <v>0</v>
      </c>
      <c r="X14" s="379">
        <f t="shared" si="1"/>
        <v>0</v>
      </c>
      <c r="Y14" s="379">
        <f t="shared" si="1"/>
        <v>0</v>
      </c>
      <c r="Z14" s="380">
        <f t="shared" si="1"/>
        <v>0</v>
      </c>
      <c r="AA14" s="392">
        <f t="shared" si="2"/>
        <v>0</v>
      </c>
      <c r="AB14" s="533">
        <f t="shared" si="3"/>
        <v>0</v>
      </c>
    </row>
    <row r="15" spans="1:28" x14ac:dyDescent="0.25">
      <c r="A15" s="18">
        <v>45566</v>
      </c>
      <c r="B15" s="97">
        <f>'6. 2024 Installed kWh Savings'!H15</f>
        <v>121068.30749999998</v>
      </c>
      <c r="C15" s="364"/>
      <c r="D15" s="364"/>
      <c r="E15" s="364"/>
      <c r="F15" s="364"/>
      <c r="G15" s="364"/>
      <c r="H15" s="364"/>
      <c r="I15" s="364"/>
      <c r="J15" s="364"/>
      <c r="K15" s="364"/>
      <c r="L15" s="364">
        <f>$B15*(SUMPRODUCT(L$30:L$32,$C$26:$C$28))/2</f>
        <v>2222.6325232387494</v>
      </c>
      <c r="M15" s="364">
        <f>$B15*(SUMPRODUCT(M$30:M$32,$C$26:$C$28))</f>
        <v>7103.2592034862491</v>
      </c>
      <c r="N15" s="365">
        <f>$B15*(SUMPRODUCT(N$30:N$32,$C$26:$C$28))</f>
        <v>12743.831649911248</v>
      </c>
      <c r="O15" s="378">
        <f t="shared" si="1"/>
        <v>13263.396291547497</v>
      </c>
      <c r="P15" s="379">
        <f t="shared" si="1"/>
        <v>11091.975662381246</v>
      </c>
      <c r="Q15" s="379">
        <f t="shared" si="1"/>
        <v>8351.473453811248</v>
      </c>
      <c r="R15" s="379">
        <f t="shared" si="1"/>
        <v>4451.257927698749</v>
      </c>
      <c r="S15" s="379">
        <f t="shared" si="1"/>
        <v>4997.3365286774988</v>
      </c>
      <c r="T15" s="379">
        <f t="shared" si="1"/>
        <v>12792.864314448749</v>
      </c>
      <c r="U15" s="379">
        <f t="shared" si="1"/>
        <v>17239.340044001248</v>
      </c>
      <c r="V15" s="379">
        <f t="shared" si="1"/>
        <v>16391.135481656245</v>
      </c>
      <c r="W15" s="379">
        <f t="shared" si="1"/>
        <v>8197.1718959024984</v>
      </c>
      <c r="X15" s="379">
        <f t="shared" si="1"/>
        <v>4445.2650464774988</v>
      </c>
      <c r="Y15" s="379">
        <f t="shared" si="1"/>
        <v>7103.2592034862491</v>
      </c>
      <c r="Z15" s="380">
        <f t="shared" si="1"/>
        <v>12743.831649911248</v>
      </c>
      <c r="AA15" s="392">
        <f t="shared" si="2"/>
        <v>22069.723376636248</v>
      </c>
      <c r="AB15" s="533">
        <f t="shared" si="3"/>
        <v>121068.30749999997</v>
      </c>
    </row>
    <row r="16" spans="1:28" x14ac:dyDescent="0.25">
      <c r="A16" s="18">
        <v>45597</v>
      </c>
      <c r="B16" s="97">
        <f>'6. 2024 Installed kWh Savings'!H16</f>
        <v>0</v>
      </c>
      <c r="C16" s="364"/>
      <c r="D16" s="364"/>
      <c r="E16" s="364"/>
      <c r="F16" s="364"/>
      <c r="G16" s="364"/>
      <c r="H16" s="364"/>
      <c r="I16" s="364"/>
      <c r="J16" s="364"/>
      <c r="K16" s="364"/>
      <c r="L16" s="364"/>
      <c r="M16" s="364">
        <f>$B16*(SUMPRODUCT(M$30:M$32,$C$26:$C$28))/2</f>
        <v>0</v>
      </c>
      <c r="N16" s="365">
        <f>$B16*(SUMPRODUCT(N$30:N$32,$C$26:$C$28))</f>
        <v>0</v>
      </c>
      <c r="O16" s="378">
        <f t="shared" si="1"/>
        <v>0</v>
      </c>
      <c r="P16" s="379">
        <f t="shared" si="1"/>
        <v>0</v>
      </c>
      <c r="Q16" s="379">
        <f t="shared" si="1"/>
        <v>0</v>
      </c>
      <c r="R16" s="379">
        <f t="shared" si="1"/>
        <v>0</v>
      </c>
      <c r="S16" s="379">
        <f t="shared" si="1"/>
        <v>0</v>
      </c>
      <c r="T16" s="379">
        <f t="shared" si="1"/>
        <v>0</v>
      </c>
      <c r="U16" s="379">
        <f t="shared" si="1"/>
        <v>0</v>
      </c>
      <c r="V16" s="379">
        <f t="shared" si="1"/>
        <v>0</v>
      </c>
      <c r="W16" s="379">
        <f t="shared" si="1"/>
        <v>0</v>
      </c>
      <c r="X16" s="379">
        <f t="shared" si="1"/>
        <v>0</v>
      </c>
      <c r="Y16" s="379">
        <f t="shared" si="1"/>
        <v>0</v>
      </c>
      <c r="Z16" s="380">
        <f t="shared" si="1"/>
        <v>0</v>
      </c>
      <c r="AA16" s="392">
        <f t="shared" si="2"/>
        <v>0</v>
      </c>
      <c r="AB16" s="533">
        <f t="shared" si="3"/>
        <v>0</v>
      </c>
    </row>
    <row r="17" spans="1:28" x14ac:dyDescent="0.25">
      <c r="A17" s="18">
        <v>45627</v>
      </c>
      <c r="B17" s="98">
        <f>'6. 2024 Installed kWh Savings'!H17</f>
        <v>351631.95419999998</v>
      </c>
      <c r="C17" s="364"/>
      <c r="D17" s="364"/>
      <c r="E17" s="364"/>
      <c r="F17" s="364"/>
      <c r="G17" s="364"/>
      <c r="H17" s="364"/>
      <c r="I17" s="364"/>
      <c r="J17" s="364"/>
      <c r="K17" s="364"/>
      <c r="L17" s="364"/>
      <c r="M17" s="364"/>
      <c r="N17" s="365">
        <f>$B17*(SUMPRODUCT(N$30:N$32,$C$26:$C$28))/2</f>
        <v>18506.653473511647</v>
      </c>
      <c r="O17" s="378">
        <f t="shared" si="1"/>
        <v>38522.335478472596</v>
      </c>
      <c r="P17" s="379">
        <f t="shared" si="1"/>
        <v>32215.640563918496</v>
      </c>
      <c r="Q17" s="379">
        <f t="shared" si="1"/>
        <v>24256.099648647298</v>
      </c>
      <c r="R17" s="379">
        <f t="shared" si="1"/>
        <v>12928.276244094299</v>
      </c>
      <c r="S17" s="379">
        <f t="shared" si="1"/>
        <v>14514.312173513397</v>
      </c>
      <c r="T17" s="379">
        <f t="shared" si="1"/>
        <v>37155.717888474304</v>
      </c>
      <c r="U17" s="379">
        <f t="shared" si="1"/>
        <v>50070.104670377696</v>
      </c>
      <c r="V17" s="379">
        <f t="shared" si="1"/>
        <v>47606.571199252496</v>
      </c>
      <c r="W17" s="379">
        <f t="shared" si="1"/>
        <v>23807.944723019398</v>
      </c>
      <c r="X17" s="379">
        <f t="shared" si="1"/>
        <v>12910.870462361399</v>
      </c>
      <c r="Y17" s="379">
        <f t="shared" si="1"/>
        <v>20630.774200845299</v>
      </c>
      <c r="Z17" s="380">
        <f t="shared" si="1"/>
        <v>37013.306947023295</v>
      </c>
      <c r="AA17" s="392">
        <f t="shared" si="2"/>
        <v>18506.653473511647</v>
      </c>
      <c r="AB17" s="533">
        <f t="shared" si="3"/>
        <v>351631.95419999992</v>
      </c>
    </row>
    <row r="18" spans="1:28" x14ac:dyDescent="0.25">
      <c r="A18" s="18"/>
      <c r="B18" s="20"/>
      <c r="C18" s="363"/>
      <c r="D18" s="364"/>
      <c r="E18" s="364"/>
      <c r="F18" s="364"/>
      <c r="G18" s="364"/>
      <c r="H18" s="364"/>
      <c r="I18" s="364"/>
      <c r="J18" s="364"/>
      <c r="K18" s="364"/>
      <c r="L18" s="364"/>
      <c r="M18" s="364"/>
      <c r="N18" s="365"/>
      <c r="O18" s="378"/>
      <c r="P18" s="379"/>
      <c r="Q18" s="379"/>
      <c r="R18" s="379"/>
      <c r="S18" s="379"/>
      <c r="T18" s="379"/>
      <c r="U18" s="379"/>
      <c r="V18" s="379"/>
      <c r="W18" s="379"/>
      <c r="X18" s="379"/>
      <c r="Y18" s="379"/>
      <c r="Z18" s="380"/>
      <c r="AA18" s="392"/>
      <c r="AB18" s="534"/>
    </row>
    <row r="19" spans="1:28" x14ac:dyDescent="0.25">
      <c r="A19" s="88" t="s">
        <v>34</v>
      </c>
      <c r="B19" s="20">
        <f>SUM(B6:B17)</f>
        <v>806106.90329999989</v>
      </c>
      <c r="C19" s="447">
        <f t="shared" ref="C19:AA19" si="4">SUM(C6:C17)</f>
        <v>0</v>
      </c>
      <c r="D19" s="448">
        <f t="shared" si="4"/>
        <v>0</v>
      </c>
      <c r="E19" s="448">
        <f t="shared" si="4"/>
        <v>0</v>
      </c>
      <c r="F19" s="448">
        <f t="shared" si="4"/>
        <v>1466.60634998565</v>
      </c>
      <c r="G19" s="448">
        <f t="shared" si="4"/>
        <v>3293.0580995393993</v>
      </c>
      <c r="H19" s="448">
        <f t="shared" si="4"/>
        <v>8430.0197125513005</v>
      </c>
      <c r="I19" s="448">
        <f t="shared" si="4"/>
        <v>11360.081122580699</v>
      </c>
      <c r="J19" s="448">
        <f t="shared" si="4"/>
        <v>27970.118844923745</v>
      </c>
      <c r="K19" s="448">
        <f t="shared" si="4"/>
        <v>22573.963482811199</v>
      </c>
      <c r="L19" s="448">
        <f t="shared" si="4"/>
        <v>14464.32418286595</v>
      </c>
      <c r="M19" s="448">
        <f t="shared" si="4"/>
        <v>26664.726976120652</v>
      </c>
      <c r="N19" s="449">
        <f t="shared" si="4"/>
        <v>66345.368328201293</v>
      </c>
      <c r="O19" s="425">
        <f t="shared" si="4"/>
        <v>88311.429577224888</v>
      </c>
      <c r="P19" s="426">
        <f t="shared" si="4"/>
        <v>73853.499213087736</v>
      </c>
      <c r="Q19" s="426">
        <f t="shared" si="4"/>
        <v>55606.463349988946</v>
      </c>
      <c r="R19" s="426">
        <f t="shared" si="4"/>
        <v>29637.729460179449</v>
      </c>
      <c r="S19" s="426">
        <f t="shared" si="4"/>
        <v>33273.674647514097</v>
      </c>
      <c r="T19" s="426">
        <f t="shared" si="4"/>
        <v>85178.495097549458</v>
      </c>
      <c r="U19" s="426">
        <f t="shared" si="4"/>
        <v>114784.38333504854</v>
      </c>
      <c r="V19" s="426">
        <f t="shared" si="4"/>
        <v>109136.79837052873</v>
      </c>
      <c r="W19" s="426">
        <f t="shared" si="4"/>
        <v>54579.080101733096</v>
      </c>
      <c r="X19" s="426">
        <f t="shared" si="4"/>
        <v>29597.827168466098</v>
      </c>
      <c r="Y19" s="426">
        <f t="shared" si="4"/>
        <v>47295.501176965947</v>
      </c>
      <c r="Z19" s="427">
        <f t="shared" si="4"/>
        <v>84852.021801712937</v>
      </c>
      <c r="AA19" s="397">
        <f t="shared" si="4"/>
        <v>182568.26709957991</v>
      </c>
      <c r="AB19" s="536">
        <f t="shared" ref="AB19" si="5">SUM(AB6:AB17)</f>
        <v>806106.90329999989</v>
      </c>
    </row>
    <row r="20" spans="1:28" x14ac:dyDescent="0.25">
      <c r="A20" s="88" t="s">
        <v>38</v>
      </c>
      <c r="B20" s="733">
        <f>'Step Adjustments'!$F$7</f>
        <v>0.7</v>
      </c>
      <c r="C20" s="363"/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5"/>
      <c r="O20" s="381"/>
      <c r="P20" s="382"/>
      <c r="Q20" s="382"/>
      <c r="R20" s="382"/>
      <c r="S20" s="382"/>
      <c r="T20" s="382"/>
      <c r="U20" s="382"/>
      <c r="V20" s="382"/>
      <c r="W20" s="382"/>
      <c r="X20" s="382"/>
      <c r="Y20" s="382"/>
      <c r="Z20" s="383"/>
      <c r="AA20" s="393"/>
      <c r="AB20" s="393"/>
    </row>
    <row r="21" spans="1:28" x14ac:dyDescent="0.25">
      <c r="A21" s="88" t="s">
        <v>36</v>
      </c>
      <c r="B21" s="20"/>
      <c r="C21" s="369">
        <f>$F$38</f>
        <v>0.11245222420482009</v>
      </c>
      <c r="D21" s="360">
        <f t="shared" ref="D21:G21" si="6">$F$38</f>
        <v>0.11245222420482009</v>
      </c>
      <c r="E21" s="360">
        <f t="shared" si="6"/>
        <v>0.11245222420482009</v>
      </c>
      <c r="F21" s="360">
        <f t="shared" si="6"/>
        <v>0.11245222420482009</v>
      </c>
      <c r="G21" s="360">
        <f t="shared" si="6"/>
        <v>0.11245222420482009</v>
      </c>
      <c r="H21" s="360">
        <f>$F$37*0.5+$F$38*0.5</f>
        <v>0.11879222420482011</v>
      </c>
      <c r="I21" s="360">
        <f>$F$37</f>
        <v>0.12513222420482012</v>
      </c>
      <c r="J21" s="360">
        <f t="shared" ref="J21:K21" si="7">$F$37</f>
        <v>0.12513222420482012</v>
      </c>
      <c r="K21" s="360">
        <f t="shared" si="7"/>
        <v>0.12513222420482012</v>
      </c>
      <c r="L21" s="360">
        <f>$F$37*0.5+$F$38*0.5</f>
        <v>0.11879222420482011</v>
      </c>
      <c r="M21" s="360">
        <f>$F$38</f>
        <v>0.11245222420482009</v>
      </c>
      <c r="N21" s="370">
        <f t="shared" ref="N21" si="8">$F$38</f>
        <v>0.11245222420482009</v>
      </c>
      <c r="O21" s="384">
        <f>$F$38</f>
        <v>0.11245222420482009</v>
      </c>
      <c r="P21" s="374">
        <f t="shared" ref="P21:S21" si="9">$F$38</f>
        <v>0.11245222420482009</v>
      </c>
      <c r="Q21" s="374">
        <f t="shared" si="9"/>
        <v>0.11245222420482009</v>
      </c>
      <c r="R21" s="374">
        <f t="shared" si="9"/>
        <v>0.11245222420482009</v>
      </c>
      <c r="S21" s="374">
        <f t="shared" si="9"/>
        <v>0.11245222420482009</v>
      </c>
      <c r="T21" s="374">
        <f>$F$37*0.5+$F$38*0.5</f>
        <v>0.11879222420482011</v>
      </c>
      <c r="U21" s="374">
        <f>$F$37</f>
        <v>0.12513222420482012</v>
      </c>
      <c r="V21" s="374">
        <f t="shared" ref="V21:W21" si="10">$F$37</f>
        <v>0.12513222420482012</v>
      </c>
      <c r="W21" s="374">
        <f t="shared" si="10"/>
        <v>0.12513222420482012</v>
      </c>
      <c r="X21" s="374">
        <f>$F$37*0.5+$F$38*0.5</f>
        <v>0.11879222420482011</v>
      </c>
      <c r="Y21" s="374">
        <f>$F$38</f>
        <v>0.11245222420482009</v>
      </c>
      <c r="Z21" s="385">
        <f t="shared" ref="Z21" si="11">$F$38</f>
        <v>0.11245222420482009</v>
      </c>
      <c r="AA21" s="395"/>
      <c r="AB21" s="395"/>
    </row>
    <row r="22" spans="1:28" x14ac:dyDescent="0.25">
      <c r="A22" s="354" t="s">
        <v>37</v>
      </c>
      <c r="B22" s="21"/>
      <c r="C22" s="371">
        <f>C19*$B$20*C21</f>
        <v>0</v>
      </c>
      <c r="D22" s="372">
        <f t="shared" ref="D22:N22" si="12">D19*$B$20*D21</f>
        <v>0</v>
      </c>
      <c r="E22" s="372">
        <f t="shared" si="12"/>
        <v>0</v>
      </c>
      <c r="F22" s="372">
        <f t="shared" si="12"/>
        <v>115.44620226215942</v>
      </c>
      <c r="G22" s="372">
        <f t="shared" si="12"/>
        <v>259.21819541023228</v>
      </c>
      <c r="H22" s="372">
        <f t="shared" si="12"/>
        <v>700.99455422111305</v>
      </c>
      <c r="I22" s="372">
        <f t="shared" si="12"/>
        <v>995.05855261099885</v>
      </c>
      <c r="J22" s="372">
        <f t="shared" si="12"/>
        <v>2449.9742276369238</v>
      </c>
      <c r="K22" s="372">
        <f t="shared" si="12"/>
        <v>1977.3111818057871</v>
      </c>
      <c r="L22" s="372">
        <f t="shared" si="12"/>
        <v>1202.7744689115491</v>
      </c>
      <c r="M22" s="372">
        <f t="shared" si="12"/>
        <v>2098.9554993953238</v>
      </c>
      <c r="N22" s="373">
        <f t="shared" si="12"/>
        <v>5222.4789639359833</v>
      </c>
      <c r="O22" s="386">
        <f>O19*$B$20*O21</f>
        <v>6951.5716750663914</v>
      </c>
      <c r="P22" s="387">
        <f t="shared" ref="P22:Z22" si="13">P19*$B$20*P21</f>
        <v>5813.4931762744518</v>
      </c>
      <c r="Q22" s="387">
        <f t="shared" si="13"/>
        <v>4377.1493387090477</v>
      </c>
      <c r="R22" s="387">
        <f t="shared" si="13"/>
        <v>2332.9800187245305</v>
      </c>
      <c r="S22" s="387">
        <f t="shared" si="13"/>
        <v>2619.1891051063453</v>
      </c>
      <c r="T22" s="387">
        <f t="shared" si="13"/>
        <v>7082.9800209400846</v>
      </c>
      <c r="U22" s="387">
        <f t="shared" si="13"/>
        <v>10054.257633485317</v>
      </c>
      <c r="V22" s="387">
        <f t="shared" si="13"/>
        <v>9559.571225888074</v>
      </c>
      <c r="W22" s="387">
        <f t="shared" si="13"/>
        <v>4780.7211817280313</v>
      </c>
      <c r="X22" s="387">
        <f t="shared" si="13"/>
        <v>2461.1942046803583</v>
      </c>
      <c r="Y22" s="387">
        <f t="shared" si="13"/>
        <v>3722.9390115620554</v>
      </c>
      <c r="Z22" s="388">
        <f t="shared" si="13"/>
        <v>6679.2590059149534</v>
      </c>
      <c r="AA22" s="429">
        <f>SUM(C22:N22)</f>
        <v>15022.211846190072</v>
      </c>
      <c r="AB22" s="429">
        <f>SUM(O22:Z22)</f>
        <v>66435.305598079649</v>
      </c>
    </row>
    <row r="23" spans="1:28" x14ac:dyDescent="0.25">
      <c r="A23" s="88"/>
    </row>
    <row r="24" spans="1:28" x14ac:dyDescent="0.25">
      <c r="A24" s="88"/>
      <c r="O24" s="428">
        <f>+AA22/(AA19*$B$20)</f>
        <v>0.11754672911316563</v>
      </c>
    </row>
    <row r="25" spans="1:28" x14ac:dyDescent="0.25">
      <c r="A25" s="353" t="s">
        <v>39</v>
      </c>
      <c r="B25" s="269"/>
      <c r="C25" s="270"/>
      <c r="I25" s="23"/>
    </row>
    <row r="26" spans="1:28" x14ac:dyDescent="0.25">
      <c r="A26" s="356" t="s">
        <v>298</v>
      </c>
      <c r="B26" s="262"/>
      <c r="C26" s="263">
        <v>0</v>
      </c>
      <c r="I26" s="23"/>
    </row>
    <row r="27" spans="1:28" x14ac:dyDescent="0.25">
      <c r="A27" s="357" t="s">
        <v>299</v>
      </c>
      <c r="B27" s="261"/>
      <c r="C27" s="256">
        <v>0.5</v>
      </c>
      <c r="I27" s="23"/>
    </row>
    <row r="28" spans="1:28" x14ac:dyDescent="0.25">
      <c r="A28" s="358" t="s">
        <v>300</v>
      </c>
      <c r="B28" s="257"/>
      <c r="C28" s="258">
        <v>0.5</v>
      </c>
    </row>
    <row r="29" spans="1:28" x14ac:dyDescent="0.25">
      <c r="A29" s="88"/>
      <c r="C29" s="27"/>
    </row>
    <row r="30" spans="1:28" x14ac:dyDescent="0.25">
      <c r="A30" s="88" t="s">
        <v>33</v>
      </c>
      <c r="C30" s="72">
        <f t="array" ref="C30:N32">TRANSPOSE('8. Load Shapes'!$B$4:$D$15)</f>
        <v>0.10118199999999999</v>
      </c>
      <c r="D30" s="73">
        <v>8.8441000000000006E-2</v>
      </c>
      <c r="E30" s="73">
        <v>9.2879000000000003E-2</v>
      </c>
      <c r="F30" s="73">
        <v>8.4644999999999998E-2</v>
      </c>
      <c r="G30" s="73">
        <v>7.9393000000000005E-2</v>
      </c>
      <c r="H30" s="73">
        <v>6.8507999999999999E-2</v>
      </c>
      <c r="I30" s="74">
        <v>6.7863999999999994E-2</v>
      </c>
      <c r="J30" s="74">
        <v>7.0565000000000003E-2</v>
      </c>
      <c r="K30" s="74">
        <v>7.3791999999999996E-2</v>
      </c>
      <c r="L30" s="74">
        <v>8.4539000000000003E-2</v>
      </c>
      <c r="M30" s="74">
        <v>8.9880000000000002E-2</v>
      </c>
      <c r="N30" s="75">
        <v>9.8311999999999997E-2</v>
      </c>
      <c r="O30" s="72">
        <f t="array" ref="O30:Z32">TRANSPOSE('8. Load Shapes'!$B$4:$D$15)</f>
        <v>0.10118199999999999</v>
      </c>
      <c r="P30" s="73">
        <v>8.8441000000000006E-2</v>
      </c>
      <c r="Q30" s="73">
        <v>9.2879000000000003E-2</v>
      </c>
      <c r="R30" s="73">
        <v>8.4644999999999998E-2</v>
      </c>
      <c r="S30" s="73">
        <v>7.9393000000000005E-2</v>
      </c>
      <c r="T30" s="73">
        <v>6.8507999999999999E-2</v>
      </c>
      <c r="U30" s="74">
        <v>6.7863999999999994E-2</v>
      </c>
      <c r="V30" s="74">
        <v>7.0565000000000003E-2</v>
      </c>
      <c r="W30" s="74">
        <v>7.3791999999999996E-2</v>
      </c>
      <c r="X30" s="74">
        <v>8.4539000000000003E-2</v>
      </c>
      <c r="Y30" s="74">
        <v>8.9880000000000002E-2</v>
      </c>
      <c r="Z30" s="75">
        <v>9.8311999999999997E-2</v>
      </c>
    </row>
    <row r="31" spans="1:28" x14ac:dyDescent="0.25">
      <c r="A31" s="88" t="s">
        <v>40</v>
      </c>
      <c r="C31" s="76">
        <v>0.21790599999999999</v>
      </c>
      <c r="D31" s="77">
        <v>0.18213499999999999</v>
      </c>
      <c r="E31" s="77">
        <v>0.13483300000000001</v>
      </c>
      <c r="F31" s="77">
        <v>5.8486000000000003E-2</v>
      </c>
      <c r="G31" s="77">
        <v>1.7144E-2</v>
      </c>
      <c r="H31" s="77">
        <v>5.1000000000000004E-4</v>
      </c>
      <c r="I31" s="78">
        <v>6.0000000000000002E-6</v>
      </c>
      <c r="J31" s="78">
        <v>9.0000000000000002E-6</v>
      </c>
      <c r="K31" s="78">
        <v>8.8090000000000009E-3</v>
      </c>
      <c r="L31" s="78">
        <v>5.4961999999999997E-2</v>
      </c>
      <c r="M31" s="78">
        <v>0.115899</v>
      </c>
      <c r="N31" s="79">
        <v>0.20930099999999999</v>
      </c>
      <c r="O31" s="76">
        <v>0.21790599999999999</v>
      </c>
      <c r="P31" s="77">
        <v>0.18213499999999999</v>
      </c>
      <c r="Q31" s="77">
        <v>0.13483300000000001</v>
      </c>
      <c r="R31" s="77">
        <v>5.8486000000000003E-2</v>
      </c>
      <c r="S31" s="77">
        <v>1.7144E-2</v>
      </c>
      <c r="T31" s="77">
        <v>5.1000000000000004E-4</v>
      </c>
      <c r="U31" s="78">
        <v>6.0000000000000002E-6</v>
      </c>
      <c r="V31" s="78">
        <v>9.0000000000000002E-6</v>
      </c>
      <c r="W31" s="78">
        <v>8.8090000000000009E-3</v>
      </c>
      <c r="X31" s="78">
        <v>5.4961999999999997E-2</v>
      </c>
      <c r="Y31" s="78">
        <v>0.115899</v>
      </c>
      <c r="Z31" s="79">
        <v>0.20930099999999999</v>
      </c>
    </row>
    <row r="32" spans="1:28" x14ac:dyDescent="0.25">
      <c r="A32" s="88" t="s">
        <v>41</v>
      </c>
      <c r="C32" s="80">
        <v>1.1999999999999999E-3</v>
      </c>
      <c r="D32" s="81">
        <v>1.1000000000000001E-3</v>
      </c>
      <c r="E32" s="81">
        <v>3.13E-3</v>
      </c>
      <c r="F32" s="81">
        <v>1.5047E-2</v>
      </c>
      <c r="G32" s="81">
        <v>6.5409999999999996E-2</v>
      </c>
      <c r="H32" s="81">
        <v>0.21082300000000001</v>
      </c>
      <c r="I32" s="82">
        <v>0.28478100000000001</v>
      </c>
      <c r="J32" s="82">
        <v>0.27076600000000001</v>
      </c>
      <c r="K32" s="82">
        <v>0.126605</v>
      </c>
      <c r="L32" s="82">
        <v>1.8471999999999999E-2</v>
      </c>
      <c r="M32" s="82">
        <v>1.444E-3</v>
      </c>
      <c r="N32" s="83">
        <v>1.222E-3</v>
      </c>
      <c r="O32" s="80">
        <v>1.1999999999999999E-3</v>
      </c>
      <c r="P32" s="81">
        <v>1.1000000000000001E-3</v>
      </c>
      <c r="Q32" s="81">
        <v>3.13E-3</v>
      </c>
      <c r="R32" s="81">
        <v>1.5047E-2</v>
      </c>
      <c r="S32" s="81">
        <v>6.5409999999999996E-2</v>
      </c>
      <c r="T32" s="81">
        <v>0.21082300000000001</v>
      </c>
      <c r="U32" s="82">
        <v>0.28478100000000001</v>
      </c>
      <c r="V32" s="82">
        <v>0.27076600000000001</v>
      </c>
      <c r="W32" s="82">
        <v>0.126605</v>
      </c>
      <c r="X32" s="82">
        <v>1.8471999999999999E-2</v>
      </c>
      <c r="Y32" s="82">
        <v>1.444E-3</v>
      </c>
      <c r="Z32" s="83">
        <v>1.222E-3</v>
      </c>
    </row>
    <row r="33" spans="1:9" x14ac:dyDescent="0.25">
      <c r="A33" s="88"/>
      <c r="C33" s="24"/>
      <c r="D33" s="24"/>
      <c r="E33" s="24"/>
      <c r="F33" s="24"/>
      <c r="G33" s="24"/>
      <c r="H33" s="24"/>
    </row>
    <row r="34" spans="1:9" x14ac:dyDescent="0.25">
      <c r="A34" s="88"/>
      <c r="C34" s="24"/>
      <c r="D34" s="24"/>
      <c r="E34" s="24"/>
      <c r="F34" s="24"/>
      <c r="G34" s="24"/>
      <c r="H34" s="24"/>
    </row>
    <row r="35" spans="1:9" x14ac:dyDescent="0.25">
      <c r="A35" s="355" t="s">
        <v>91</v>
      </c>
      <c r="B35" s="761" t="s">
        <v>250</v>
      </c>
      <c r="C35" s="761"/>
      <c r="D35" s="761"/>
      <c r="E35" s="761"/>
      <c r="F35" s="761"/>
      <c r="G35" s="762"/>
      <c r="I35" s="23"/>
    </row>
    <row r="36" spans="1:9" x14ac:dyDescent="0.25">
      <c r="A36" s="87"/>
      <c r="B36" s="157" t="s">
        <v>147</v>
      </c>
      <c r="C36" s="157" t="s">
        <v>42</v>
      </c>
      <c r="D36" s="157" t="s">
        <v>43</v>
      </c>
      <c r="E36" s="157" t="s">
        <v>132</v>
      </c>
      <c r="F36" s="157" t="s">
        <v>44</v>
      </c>
      <c r="G36" s="158"/>
    </row>
    <row r="37" spans="1:9" x14ac:dyDescent="0.25">
      <c r="A37" s="359" t="s">
        <v>45</v>
      </c>
      <c r="B37" s="265">
        <f>'2. TD Sm C&amp;I HVAC install 2022'!L37</f>
        <v>0.13891999999999999</v>
      </c>
      <c r="C37" s="254">
        <f>'2. TD Sm C&amp;I HVAC install 2022'!M37</f>
        <v>0.13891999999999999</v>
      </c>
      <c r="D37" s="254">
        <f>'2. TD Sm C&amp;I HVAC install 2022'!N37</f>
        <v>8.6999999999999994E-3</v>
      </c>
      <c r="E37" s="255">
        <f>'2. TD Sm C&amp;I HVAC install 2022'!O37</f>
        <v>0.02</v>
      </c>
      <c r="F37" s="28">
        <f>SUMPRODUCT(B37:C37,B40:C40)-D37-E37*$E$40</f>
        <v>0.12513222420482012</v>
      </c>
      <c r="G37" s="60"/>
    </row>
    <row r="38" spans="1:9" x14ac:dyDescent="0.25">
      <c r="A38" s="26" t="s">
        <v>46</v>
      </c>
      <c r="B38" s="266">
        <f>'2. TD Sm C&amp;I HVAC install 2022'!L38</f>
        <v>0.13891999999999999</v>
      </c>
      <c r="C38" s="267">
        <f>'2. TD Sm C&amp;I HVAC install 2022'!M38</f>
        <v>0.12623999999999999</v>
      </c>
      <c r="D38" s="267">
        <f>'2. TD Sm C&amp;I HVAC install 2022'!N38</f>
        <v>8.6999999999999994E-3</v>
      </c>
      <c r="E38" s="268">
        <f>'2. TD Sm C&amp;I HVAC install 2022'!O38</f>
        <v>0.02</v>
      </c>
      <c r="F38" s="28">
        <f>SUMPRODUCT(B38:C38,B40:C40)-D38-E38*$E$40</f>
        <v>0.11245222420482009</v>
      </c>
      <c r="G38" s="60"/>
    </row>
    <row r="39" spans="1:9" x14ac:dyDescent="0.25">
      <c r="A39" s="26"/>
      <c r="B39" s="17"/>
    </row>
    <row r="40" spans="1:9" x14ac:dyDescent="0.25">
      <c r="B40" s="279">
        <f t="array" ref="B40:C40">TRANSPOSE('Step Adjustments'!C24:C25)</f>
        <v>0</v>
      </c>
      <c r="C40" s="280">
        <v>1</v>
      </c>
      <c r="E40" s="253">
        <v>0.25438878975899448</v>
      </c>
    </row>
  </sheetData>
  <mergeCells count="3">
    <mergeCell ref="C1:N1"/>
    <mergeCell ref="B35:G35"/>
    <mergeCell ref="O1:Z1"/>
  </mergeCells>
  <pageMargins left="0.7" right="0.7" top="0.75" bottom="0.75" header="0.3" footer="0.3"/>
  <pageSetup orientation="portrait" r:id="rId1"/>
  <ignoredErrors>
    <ignoredError sqref="AA2" numberStoredAsText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2E22D-5548-491F-A99E-0F34D5193E45}">
  <sheetPr codeName="Sheet17"/>
  <dimension ref="A1:AB41"/>
  <sheetViews>
    <sheetView zoomScaleNormal="100" workbookViewId="0">
      <pane xSplit="2" ySplit="5" topLeftCell="C6" activePane="bottomRight" state="frozen"/>
      <selection activeCell="D6" sqref="D6"/>
      <selection pane="topRight" activeCell="D6" sqref="D6"/>
      <selection pane="bottomLeft" activeCell="D6" sqref="D6"/>
      <selection pane="bottomRight"/>
    </sheetView>
  </sheetViews>
  <sheetFormatPr defaultColWidth="12.7109375" defaultRowHeight="13.1" x14ac:dyDescent="0.25"/>
  <cols>
    <col min="1" max="1" width="30.7109375" style="22" customWidth="1"/>
    <col min="2" max="2" width="12.7109375" style="22"/>
    <col min="3" max="16384" width="12.7109375" style="17"/>
  </cols>
  <sheetData>
    <row r="1" spans="1:28" x14ac:dyDescent="0.25">
      <c r="A1" s="168" t="str">
        <f>Company_Filing</f>
        <v>2025 MEEIA Filing</v>
      </c>
      <c r="B1" s="249"/>
      <c r="C1" s="760" t="s">
        <v>244</v>
      </c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760" t="s">
        <v>245</v>
      </c>
      <c r="P1" s="760"/>
      <c r="Q1" s="760"/>
      <c r="R1" s="760"/>
      <c r="S1" s="760"/>
      <c r="T1" s="760"/>
      <c r="U1" s="760"/>
      <c r="V1" s="760"/>
      <c r="W1" s="760"/>
      <c r="X1" s="760"/>
      <c r="Y1" s="760"/>
      <c r="Z1" s="760"/>
      <c r="AA1" s="389" t="s">
        <v>221</v>
      </c>
      <c r="AB1" s="389" t="s">
        <v>222</v>
      </c>
    </row>
    <row r="2" spans="1:28" x14ac:dyDescent="0.25">
      <c r="A2" s="444" t="s">
        <v>192</v>
      </c>
      <c r="B2" s="250"/>
      <c r="C2" s="251">
        <v>45292</v>
      </c>
      <c r="D2" s="251">
        <v>45323</v>
      </c>
      <c r="E2" s="251">
        <v>45352</v>
      </c>
      <c r="F2" s="251">
        <v>45383</v>
      </c>
      <c r="G2" s="251">
        <v>45413</v>
      </c>
      <c r="H2" s="251">
        <v>45444</v>
      </c>
      <c r="I2" s="251">
        <v>45474</v>
      </c>
      <c r="J2" s="251">
        <v>45505</v>
      </c>
      <c r="K2" s="251">
        <v>45536</v>
      </c>
      <c r="L2" s="251">
        <v>45566</v>
      </c>
      <c r="M2" s="251">
        <v>45597</v>
      </c>
      <c r="N2" s="251">
        <v>45627</v>
      </c>
      <c r="O2" s="251">
        <v>45658</v>
      </c>
      <c r="P2" s="251">
        <v>45689</v>
      </c>
      <c r="Q2" s="251">
        <v>45717</v>
      </c>
      <c r="R2" s="251">
        <v>45748</v>
      </c>
      <c r="S2" s="251">
        <v>45778</v>
      </c>
      <c r="T2" s="251">
        <v>45809</v>
      </c>
      <c r="U2" s="251">
        <v>45839</v>
      </c>
      <c r="V2" s="251">
        <v>45870</v>
      </c>
      <c r="W2" s="251">
        <v>45901</v>
      </c>
      <c r="X2" s="251">
        <v>45931</v>
      </c>
      <c r="Y2" s="251">
        <v>45962</v>
      </c>
      <c r="Z2" s="251">
        <v>45992</v>
      </c>
      <c r="AA2" s="402" t="s">
        <v>181</v>
      </c>
      <c r="AB2" s="402" t="s">
        <v>246</v>
      </c>
    </row>
    <row r="3" spans="1:28" x14ac:dyDescent="0.25">
      <c r="A3" s="88"/>
    </row>
    <row r="4" spans="1:28" x14ac:dyDescent="0.25">
      <c r="A4" s="353" t="s">
        <v>230</v>
      </c>
      <c r="B4" s="247" t="s">
        <v>69</v>
      </c>
    </row>
    <row r="6" spans="1:28" x14ac:dyDescent="0.25">
      <c r="A6" s="18">
        <v>45292</v>
      </c>
      <c r="B6" s="96">
        <f>'6. 2024 Installed kWh Savings'!B6+'6. 2024 Installed kWh Savings'!C6</f>
        <v>0</v>
      </c>
      <c r="C6" s="361">
        <f>$B6*(SUMPRODUCT(C$30:C$32,$C$26:$C$28))/2</f>
        <v>0</v>
      </c>
      <c r="D6" s="361">
        <f t="shared" ref="D6:N11" si="0">$B6*(SUMPRODUCT(D$30:D$32,$C$26:$C$28))</f>
        <v>0</v>
      </c>
      <c r="E6" s="361">
        <f t="shared" si="0"/>
        <v>0</v>
      </c>
      <c r="F6" s="361">
        <f t="shared" si="0"/>
        <v>0</v>
      </c>
      <c r="G6" s="361">
        <f t="shared" si="0"/>
        <v>0</v>
      </c>
      <c r="H6" s="361">
        <f t="shared" si="0"/>
        <v>0</v>
      </c>
      <c r="I6" s="361">
        <f t="shared" si="0"/>
        <v>0</v>
      </c>
      <c r="J6" s="361">
        <f t="shared" si="0"/>
        <v>0</v>
      </c>
      <c r="K6" s="361">
        <f t="shared" si="0"/>
        <v>0</v>
      </c>
      <c r="L6" s="361">
        <f t="shared" si="0"/>
        <v>0</v>
      </c>
      <c r="M6" s="361">
        <f t="shared" si="0"/>
        <v>0</v>
      </c>
      <c r="N6" s="362">
        <f t="shared" si="0"/>
        <v>0</v>
      </c>
      <c r="O6" s="375">
        <f>$B6*(SUMPRODUCT(O$30:O$32,$C$26:$C$28))</f>
        <v>0</v>
      </c>
      <c r="P6" s="376">
        <f t="shared" ref="O6:Z17" si="1">$B6*(SUMPRODUCT(P$30:P$32,$C$26:$C$28))</f>
        <v>0</v>
      </c>
      <c r="Q6" s="376">
        <f t="shared" si="1"/>
        <v>0</v>
      </c>
      <c r="R6" s="376">
        <f t="shared" si="1"/>
        <v>0</v>
      </c>
      <c r="S6" s="376">
        <f t="shared" si="1"/>
        <v>0</v>
      </c>
      <c r="T6" s="376">
        <f t="shared" si="1"/>
        <v>0</v>
      </c>
      <c r="U6" s="376">
        <f t="shared" si="1"/>
        <v>0</v>
      </c>
      <c r="V6" s="376">
        <f t="shared" si="1"/>
        <v>0</v>
      </c>
      <c r="W6" s="376">
        <f t="shared" si="1"/>
        <v>0</v>
      </c>
      <c r="X6" s="376">
        <f t="shared" si="1"/>
        <v>0</v>
      </c>
      <c r="Y6" s="376">
        <f t="shared" si="1"/>
        <v>0</v>
      </c>
      <c r="Z6" s="377">
        <f t="shared" si="1"/>
        <v>0</v>
      </c>
      <c r="AA6" s="391">
        <f t="shared" ref="AA6:AA17" si="2">SUM(C6:N6)</f>
        <v>0</v>
      </c>
      <c r="AB6" s="532">
        <f>SUM(O6:Z6)</f>
        <v>0</v>
      </c>
    </row>
    <row r="7" spans="1:28" x14ac:dyDescent="0.25">
      <c r="A7" s="18">
        <v>45323</v>
      </c>
      <c r="B7" s="97">
        <f>'6. 2024 Installed kWh Savings'!B7+'6. 2024 Installed kWh Savings'!C7</f>
        <v>0</v>
      </c>
      <c r="C7" s="364"/>
      <c r="D7" s="364">
        <f>$B7*(SUMPRODUCT(D$30:D$32,$C$26:$C$28))/2</f>
        <v>0</v>
      </c>
      <c r="E7" s="364">
        <f t="shared" si="0"/>
        <v>0</v>
      </c>
      <c r="F7" s="364">
        <f t="shared" si="0"/>
        <v>0</v>
      </c>
      <c r="G7" s="364">
        <f t="shared" si="0"/>
        <v>0</v>
      </c>
      <c r="H7" s="364">
        <f t="shared" si="0"/>
        <v>0</v>
      </c>
      <c r="I7" s="364">
        <f t="shared" si="0"/>
        <v>0</v>
      </c>
      <c r="J7" s="364">
        <f t="shared" si="0"/>
        <v>0</v>
      </c>
      <c r="K7" s="364">
        <f t="shared" si="0"/>
        <v>0</v>
      </c>
      <c r="L7" s="364">
        <f t="shared" si="0"/>
        <v>0</v>
      </c>
      <c r="M7" s="364">
        <f t="shared" si="0"/>
        <v>0</v>
      </c>
      <c r="N7" s="365">
        <f t="shared" si="0"/>
        <v>0</v>
      </c>
      <c r="O7" s="378">
        <f t="shared" si="1"/>
        <v>0</v>
      </c>
      <c r="P7" s="379">
        <f t="shared" si="1"/>
        <v>0</v>
      </c>
      <c r="Q7" s="379">
        <f t="shared" si="1"/>
        <v>0</v>
      </c>
      <c r="R7" s="379">
        <f t="shared" si="1"/>
        <v>0</v>
      </c>
      <c r="S7" s="379">
        <f t="shared" si="1"/>
        <v>0</v>
      </c>
      <c r="T7" s="379">
        <f t="shared" si="1"/>
        <v>0</v>
      </c>
      <c r="U7" s="379">
        <f t="shared" si="1"/>
        <v>0</v>
      </c>
      <c r="V7" s="379">
        <f t="shared" si="1"/>
        <v>0</v>
      </c>
      <c r="W7" s="379">
        <f t="shared" si="1"/>
        <v>0</v>
      </c>
      <c r="X7" s="379">
        <f t="shared" si="1"/>
        <v>0</v>
      </c>
      <c r="Y7" s="379">
        <f t="shared" si="1"/>
        <v>0</v>
      </c>
      <c r="Z7" s="380">
        <f t="shared" si="1"/>
        <v>0</v>
      </c>
      <c r="AA7" s="392">
        <f t="shared" si="2"/>
        <v>0</v>
      </c>
      <c r="AB7" s="533">
        <f t="shared" ref="AB7:AB17" si="3">SUM(O7:Z7)</f>
        <v>0</v>
      </c>
    </row>
    <row r="8" spans="1:28" x14ac:dyDescent="0.25">
      <c r="A8" s="18">
        <v>45352</v>
      </c>
      <c r="B8" s="97">
        <f>'6. 2024 Installed kWh Savings'!B8+'6. 2024 Installed kWh Savings'!C8</f>
        <v>504518.35643799999</v>
      </c>
      <c r="C8" s="364"/>
      <c r="D8" s="364"/>
      <c r="E8" s="364">
        <f>$B8*(SUMPRODUCT(E$30:E$32,$C$26:$C$28))/2</f>
        <v>23429.580213802503</v>
      </c>
      <c r="F8" s="364">
        <f t="shared" si="0"/>
        <v>42704.95628069451</v>
      </c>
      <c r="G8" s="364">
        <f t="shared" si="0"/>
        <v>40055.225872682138</v>
      </c>
      <c r="H8" s="364">
        <f t="shared" si="0"/>
        <v>34563.543562854502</v>
      </c>
      <c r="I8" s="364">
        <f t="shared" si="0"/>
        <v>34238.633741308426</v>
      </c>
      <c r="J8" s="364">
        <f t="shared" si="0"/>
        <v>35601.33782204747</v>
      </c>
      <c r="K8" s="364">
        <f t="shared" si="0"/>
        <v>37229.418558272897</v>
      </c>
      <c r="L8" s="364">
        <f t="shared" si="0"/>
        <v>42651.477334912081</v>
      </c>
      <c r="M8" s="364">
        <f t="shared" si="0"/>
        <v>45346.109876647439</v>
      </c>
      <c r="N8" s="365">
        <f t="shared" si="0"/>
        <v>49600.208658132651</v>
      </c>
      <c r="O8" s="378">
        <f t="shared" si="1"/>
        <v>51048.176341109713</v>
      </c>
      <c r="P8" s="379">
        <f t="shared" si="1"/>
        <v>44620.107961733163</v>
      </c>
      <c r="Q8" s="379">
        <f t="shared" si="1"/>
        <v>46859.160427605006</v>
      </c>
      <c r="R8" s="379">
        <f t="shared" si="1"/>
        <v>42704.95628069451</v>
      </c>
      <c r="S8" s="379">
        <f t="shared" si="1"/>
        <v>40055.225872682138</v>
      </c>
      <c r="T8" s="379">
        <f t="shared" si="1"/>
        <v>34563.543562854502</v>
      </c>
      <c r="U8" s="379">
        <f t="shared" si="1"/>
        <v>34238.633741308426</v>
      </c>
      <c r="V8" s="379">
        <f t="shared" si="1"/>
        <v>35601.33782204747</v>
      </c>
      <c r="W8" s="379">
        <f t="shared" si="1"/>
        <v>37229.418558272897</v>
      </c>
      <c r="X8" s="379">
        <f t="shared" si="1"/>
        <v>42651.477334912081</v>
      </c>
      <c r="Y8" s="379">
        <f t="shared" si="1"/>
        <v>45346.109876647439</v>
      </c>
      <c r="Z8" s="380">
        <f t="shared" si="1"/>
        <v>49600.208658132651</v>
      </c>
      <c r="AA8" s="392">
        <f t="shared" si="2"/>
        <v>385420.49192135455</v>
      </c>
      <c r="AB8" s="533">
        <f t="shared" si="3"/>
        <v>504518.35643799999</v>
      </c>
    </row>
    <row r="9" spans="1:28" x14ac:dyDescent="0.25">
      <c r="A9" s="18">
        <v>45383</v>
      </c>
      <c r="B9" s="97">
        <f>'6. 2024 Installed kWh Savings'!B9+'6. 2024 Installed kWh Savings'!C9</f>
        <v>336959.22405999998</v>
      </c>
      <c r="C9" s="364"/>
      <c r="D9" s="364"/>
      <c r="E9" s="364"/>
      <c r="F9" s="364">
        <f>$B9*(SUMPRODUCT(F$30:F$32,$C$26:$C$28))/2</f>
        <v>14260.956760279349</v>
      </c>
      <c r="G9" s="364">
        <f t="shared" si="0"/>
        <v>26752.203675795579</v>
      </c>
      <c r="H9" s="364">
        <f t="shared" si="0"/>
        <v>23084.402521902477</v>
      </c>
      <c r="I9" s="364">
        <f t="shared" si="0"/>
        <v>22867.400781607837</v>
      </c>
      <c r="J9" s="364">
        <f t="shared" si="0"/>
        <v>23777.5276457939</v>
      </c>
      <c r="K9" s="364">
        <f t="shared" si="0"/>
        <v>24864.895061835516</v>
      </c>
      <c r="L9" s="364">
        <f t="shared" si="0"/>
        <v>28486.195842808338</v>
      </c>
      <c r="M9" s="364">
        <f t="shared" si="0"/>
        <v>30285.895058512797</v>
      </c>
      <c r="N9" s="365">
        <f t="shared" si="0"/>
        <v>33127.135235786714</v>
      </c>
      <c r="O9" s="378">
        <f t="shared" si="1"/>
        <v>34094.208208838914</v>
      </c>
      <c r="P9" s="379">
        <f t="shared" si="1"/>
        <v>29801.010735090462</v>
      </c>
      <c r="Q9" s="379">
        <f t="shared" si="1"/>
        <v>31296.435771468739</v>
      </c>
      <c r="R9" s="379">
        <f t="shared" si="1"/>
        <v>28521.913520558697</v>
      </c>
      <c r="S9" s="379">
        <f t="shared" si="1"/>
        <v>26752.203675795579</v>
      </c>
      <c r="T9" s="379">
        <f t="shared" si="1"/>
        <v>23084.402521902477</v>
      </c>
      <c r="U9" s="379">
        <f t="shared" si="1"/>
        <v>22867.400781607837</v>
      </c>
      <c r="V9" s="379">
        <f t="shared" si="1"/>
        <v>23777.5276457939</v>
      </c>
      <c r="W9" s="379">
        <f t="shared" si="1"/>
        <v>24864.895061835516</v>
      </c>
      <c r="X9" s="379">
        <f t="shared" si="1"/>
        <v>28486.195842808338</v>
      </c>
      <c r="Y9" s="379">
        <f t="shared" si="1"/>
        <v>30285.895058512797</v>
      </c>
      <c r="Z9" s="380">
        <f t="shared" si="1"/>
        <v>33127.135235786714</v>
      </c>
      <c r="AA9" s="392">
        <f t="shared" si="2"/>
        <v>227506.61258432252</v>
      </c>
      <c r="AB9" s="533">
        <f t="shared" si="3"/>
        <v>336959.22405999998</v>
      </c>
    </row>
    <row r="10" spans="1:28" x14ac:dyDescent="0.25">
      <c r="A10" s="18">
        <v>45413</v>
      </c>
      <c r="B10" s="97">
        <f>'6. 2024 Installed kWh Savings'!B10+'6. 2024 Installed kWh Savings'!C10</f>
        <v>0</v>
      </c>
      <c r="C10" s="364"/>
      <c r="D10" s="364"/>
      <c r="E10" s="364"/>
      <c r="F10" s="364"/>
      <c r="G10" s="364">
        <f>$B10*(SUMPRODUCT(G$30:G$32,$C$26:$C$28))/2</f>
        <v>0</v>
      </c>
      <c r="H10" s="364">
        <f t="shared" si="0"/>
        <v>0</v>
      </c>
      <c r="I10" s="364">
        <f t="shared" si="0"/>
        <v>0</v>
      </c>
      <c r="J10" s="364">
        <f t="shared" si="0"/>
        <v>0</v>
      </c>
      <c r="K10" s="364">
        <f t="shared" si="0"/>
        <v>0</v>
      </c>
      <c r="L10" s="364">
        <f t="shared" si="0"/>
        <v>0</v>
      </c>
      <c r="M10" s="364">
        <f t="shared" si="0"/>
        <v>0</v>
      </c>
      <c r="N10" s="365">
        <f t="shared" si="0"/>
        <v>0</v>
      </c>
      <c r="O10" s="378">
        <f t="shared" si="1"/>
        <v>0</v>
      </c>
      <c r="P10" s="379">
        <f t="shared" si="1"/>
        <v>0</v>
      </c>
      <c r="Q10" s="379">
        <f t="shared" si="1"/>
        <v>0</v>
      </c>
      <c r="R10" s="379">
        <f t="shared" si="1"/>
        <v>0</v>
      </c>
      <c r="S10" s="379">
        <f t="shared" si="1"/>
        <v>0</v>
      </c>
      <c r="T10" s="379">
        <f t="shared" si="1"/>
        <v>0</v>
      </c>
      <c r="U10" s="379">
        <f t="shared" si="1"/>
        <v>0</v>
      </c>
      <c r="V10" s="379">
        <f t="shared" si="1"/>
        <v>0</v>
      </c>
      <c r="W10" s="379">
        <f t="shared" si="1"/>
        <v>0</v>
      </c>
      <c r="X10" s="379">
        <f t="shared" si="1"/>
        <v>0</v>
      </c>
      <c r="Y10" s="379">
        <f t="shared" si="1"/>
        <v>0</v>
      </c>
      <c r="Z10" s="380">
        <f t="shared" si="1"/>
        <v>0</v>
      </c>
      <c r="AA10" s="392">
        <f t="shared" si="2"/>
        <v>0</v>
      </c>
      <c r="AB10" s="533">
        <f t="shared" si="3"/>
        <v>0</v>
      </c>
    </row>
    <row r="11" spans="1:28" x14ac:dyDescent="0.25">
      <c r="A11" s="18">
        <v>45444</v>
      </c>
      <c r="B11" s="97">
        <f>'6. 2024 Installed kWh Savings'!B11+'6. 2024 Installed kWh Savings'!C11</f>
        <v>1691826.5882999999</v>
      </c>
      <c r="C11" s="364"/>
      <c r="D11" s="364"/>
      <c r="E11" s="364"/>
      <c r="F11" s="364"/>
      <c r="G11" s="364"/>
      <c r="H11" s="364">
        <f>$B11*(SUMPRODUCT(H$30:H$32,$C$26:$C$28))/2</f>
        <v>57951.8279556282</v>
      </c>
      <c r="I11" s="364">
        <f t="shared" si="0"/>
        <v>114814.11958839119</v>
      </c>
      <c r="J11" s="364">
        <f t="shared" si="0"/>
        <v>119383.7432033895</v>
      </c>
      <c r="K11" s="364">
        <f t="shared" si="0"/>
        <v>124843.26760383359</v>
      </c>
      <c r="L11" s="364">
        <f t="shared" si="0"/>
        <v>143025.32794829371</v>
      </c>
      <c r="M11" s="364">
        <f t="shared" si="0"/>
        <v>152061.37375640401</v>
      </c>
      <c r="N11" s="365">
        <f t="shared" si="0"/>
        <v>166326.85554894959</v>
      </c>
      <c r="O11" s="378">
        <f t="shared" si="1"/>
        <v>171182.39785737058</v>
      </c>
      <c r="P11" s="379">
        <f t="shared" si="1"/>
        <v>149626.83529584031</v>
      </c>
      <c r="Q11" s="379">
        <f t="shared" si="1"/>
        <v>157135.1616947157</v>
      </c>
      <c r="R11" s="379">
        <f t="shared" si="1"/>
        <v>143204.66156665349</v>
      </c>
      <c r="S11" s="379">
        <f t="shared" si="1"/>
        <v>134319.18832490192</v>
      </c>
      <c r="T11" s="379">
        <f t="shared" si="1"/>
        <v>115903.6559112564</v>
      </c>
      <c r="U11" s="379">
        <f t="shared" si="1"/>
        <v>114814.11958839119</v>
      </c>
      <c r="V11" s="379">
        <f t="shared" si="1"/>
        <v>119383.7432033895</v>
      </c>
      <c r="W11" s="379">
        <f t="shared" si="1"/>
        <v>124843.26760383359</v>
      </c>
      <c r="X11" s="379">
        <f t="shared" si="1"/>
        <v>143025.32794829371</v>
      </c>
      <c r="Y11" s="379">
        <f t="shared" si="1"/>
        <v>152061.37375640401</v>
      </c>
      <c r="Z11" s="380">
        <f t="shared" si="1"/>
        <v>166326.85554894959</v>
      </c>
      <c r="AA11" s="392">
        <f t="shared" si="2"/>
        <v>878406.51560488984</v>
      </c>
      <c r="AB11" s="533">
        <f t="shared" si="3"/>
        <v>1691826.5883000002</v>
      </c>
    </row>
    <row r="12" spans="1:28" x14ac:dyDescent="0.25">
      <c r="A12" s="18">
        <v>45474</v>
      </c>
      <c r="B12" s="97">
        <f>'6. 2024 Installed kWh Savings'!B12+'6. 2024 Installed kWh Savings'!C12</f>
        <v>0</v>
      </c>
      <c r="C12" s="364"/>
      <c r="D12" s="364"/>
      <c r="E12" s="364"/>
      <c r="F12" s="364"/>
      <c r="G12" s="364"/>
      <c r="H12" s="364"/>
      <c r="I12" s="364">
        <f>$B12*(SUMPRODUCT(I$30:I$32,$C$26:$C$28))/2</f>
        <v>0</v>
      </c>
      <c r="J12" s="364">
        <f>$B12*(SUMPRODUCT(J$30:J$32,$C$26:$C$28))</f>
        <v>0</v>
      </c>
      <c r="K12" s="364">
        <f>$B12*(SUMPRODUCT(K$30:K$32,$C$26:$C$28))</f>
        <v>0</v>
      </c>
      <c r="L12" s="364">
        <f>$B12*(SUMPRODUCT(L$30:L$32,$C$26:$C$28))</f>
        <v>0</v>
      </c>
      <c r="M12" s="364">
        <f>$B12*(SUMPRODUCT(M$30:M$32,$C$26:$C$28))</f>
        <v>0</v>
      </c>
      <c r="N12" s="365">
        <f>$B12*(SUMPRODUCT(N$30:N$32,$C$26:$C$28))</f>
        <v>0</v>
      </c>
      <c r="O12" s="378">
        <f t="shared" si="1"/>
        <v>0</v>
      </c>
      <c r="P12" s="379">
        <f t="shared" si="1"/>
        <v>0</v>
      </c>
      <c r="Q12" s="379">
        <f t="shared" si="1"/>
        <v>0</v>
      </c>
      <c r="R12" s="379">
        <f t="shared" si="1"/>
        <v>0</v>
      </c>
      <c r="S12" s="379">
        <f t="shared" si="1"/>
        <v>0</v>
      </c>
      <c r="T12" s="379">
        <f t="shared" si="1"/>
        <v>0</v>
      </c>
      <c r="U12" s="379">
        <f t="shared" si="1"/>
        <v>0</v>
      </c>
      <c r="V12" s="379">
        <f t="shared" si="1"/>
        <v>0</v>
      </c>
      <c r="W12" s="379">
        <f t="shared" si="1"/>
        <v>0</v>
      </c>
      <c r="X12" s="379">
        <f t="shared" si="1"/>
        <v>0</v>
      </c>
      <c r="Y12" s="379">
        <f t="shared" si="1"/>
        <v>0</v>
      </c>
      <c r="Z12" s="380">
        <f t="shared" si="1"/>
        <v>0</v>
      </c>
      <c r="AA12" s="392">
        <f t="shared" si="2"/>
        <v>0</v>
      </c>
      <c r="AB12" s="533">
        <f t="shared" si="3"/>
        <v>0</v>
      </c>
    </row>
    <row r="13" spans="1:28" x14ac:dyDescent="0.25">
      <c r="A13" s="18">
        <v>45505</v>
      </c>
      <c r="B13" s="97">
        <f>'6. 2024 Installed kWh Savings'!B13+'6. 2024 Installed kWh Savings'!C13</f>
        <v>0</v>
      </c>
      <c r="C13" s="364"/>
      <c r="D13" s="364"/>
      <c r="E13" s="364"/>
      <c r="F13" s="364"/>
      <c r="G13" s="364"/>
      <c r="H13" s="364"/>
      <c r="I13" s="364"/>
      <c r="J13" s="364">
        <f>$B13*(SUMPRODUCT(J$30:J$32,$C$26:$C$28))/2</f>
        <v>0</v>
      </c>
      <c r="K13" s="364">
        <f>$B13*(SUMPRODUCT(K$30:K$32,$C$26:$C$28))</f>
        <v>0</v>
      </c>
      <c r="L13" s="364">
        <f>$B13*(SUMPRODUCT(L$30:L$32,$C$26:$C$28))</f>
        <v>0</v>
      </c>
      <c r="M13" s="364">
        <f>$B13*(SUMPRODUCT(M$30:M$32,$C$26:$C$28))</f>
        <v>0</v>
      </c>
      <c r="N13" s="365">
        <f>$B13*(SUMPRODUCT(N$30:N$32,$C$26:$C$28))</f>
        <v>0</v>
      </c>
      <c r="O13" s="378">
        <f t="shared" si="1"/>
        <v>0</v>
      </c>
      <c r="P13" s="379">
        <f t="shared" si="1"/>
        <v>0</v>
      </c>
      <c r="Q13" s="379">
        <f t="shared" si="1"/>
        <v>0</v>
      </c>
      <c r="R13" s="379">
        <f t="shared" si="1"/>
        <v>0</v>
      </c>
      <c r="S13" s="379">
        <f t="shared" si="1"/>
        <v>0</v>
      </c>
      <c r="T13" s="379">
        <f t="shared" si="1"/>
        <v>0</v>
      </c>
      <c r="U13" s="379">
        <f t="shared" si="1"/>
        <v>0</v>
      </c>
      <c r="V13" s="379">
        <f t="shared" si="1"/>
        <v>0</v>
      </c>
      <c r="W13" s="379">
        <f t="shared" si="1"/>
        <v>0</v>
      </c>
      <c r="X13" s="379">
        <f t="shared" si="1"/>
        <v>0</v>
      </c>
      <c r="Y13" s="379">
        <f t="shared" si="1"/>
        <v>0</v>
      </c>
      <c r="Z13" s="380">
        <f t="shared" si="1"/>
        <v>0</v>
      </c>
      <c r="AA13" s="392">
        <f t="shared" si="2"/>
        <v>0</v>
      </c>
      <c r="AB13" s="533">
        <f t="shared" si="3"/>
        <v>0</v>
      </c>
    </row>
    <row r="14" spans="1:28" x14ac:dyDescent="0.25">
      <c r="A14" s="18">
        <v>45536</v>
      </c>
      <c r="B14" s="97">
        <f>'6. 2024 Installed kWh Savings'!B14+'6. 2024 Installed kWh Savings'!C14</f>
        <v>0</v>
      </c>
      <c r="C14" s="364"/>
      <c r="D14" s="364"/>
      <c r="E14" s="364"/>
      <c r="F14" s="364"/>
      <c r="G14" s="364"/>
      <c r="H14" s="364"/>
      <c r="I14" s="364"/>
      <c r="J14" s="364"/>
      <c r="K14" s="364">
        <f>$B14*(SUMPRODUCT(K$30:K$32,$C$26:$C$28))/2</f>
        <v>0</v>
      </c>
      <c r="L14" s="364">
        <f>$B14*(SUMPRODUCT(L$30:L$32,$C$26:$C$28))</f>
        <v>0</v>
      </c>
      <c r="M14" s="364">
        <f>$B14*(SUMPRODUCT(M$30:M$32,$C$26:$C$28))</f>
        <v>0</v>
      </c>
      <c r="N14" s="365">
        <f>$B14*(SUMPRODUCT(N$30:N$32,$C$26:$C$28))</f>
        <v>0</v>
      </c>
      <c r="O14" s="378">
        <f t="shared" si="1"/>
        <v>0</v>
      </c>
      <c r="P14" s="379">
        <f t="shared" si="1"/>
        <v>0</v>
      </c>
      <c r="Q14" s="379">
        <f t="shared" si="1"/>
        <v>0</v>
      </c>
      <c r="R14" s="379">
        <f t="shared" si="1"/>
        <v>0</v>
      </c>
      <c r="S14" s="379">
        <f t="shared" si="1"/>
        <v>0</v>
      </c>
      <c r="T14" s="379">
        <f t="shared" si="1"/>
        <v>0</v>
      </c>
      <c r="U14" s="379">
        <f t="shared" si="1"/>
        <v>0</v>
      </c>
      <c r="V14" s="379">
        <f t="shared" si="1"/>
        <v>0</v>
      </c>
      <c r="W14" s="379">
        <f t="shared" si="1"/>
        <v>0</v>
      </c>
      <c r="X14" s="379">
        <f t="shared" si="1"/>
        <v>0</v>
      </c>
      <c r="Y14" s="379">
        <f t="shared" si="1"/>
        <v>0</v>
      </c>
      <c r="Z14" s="380">
        <f t="shared" si="1"/>
        <v>0</v>
      </c>
      <c r="AA14" s="392">
        <f t="shared" si="2"/>
        <v>0</v>
      </c>
      <c r="AB14" s="533">
        <f t="shared" si="3"/>
        <v>0</v>
      </c>
    </row>
    <row r="15" spans="1:28" x14ac:dyDescent="0.25">
      <c r="A15" s="18">
        <v>45566</v>
      </c>
      <c r="B15" s="97">
        <f>'6. 2024 Installed kWh Savings'!B15+'6. 2024 Installed kWh Savings'!C15</f>
        <v>716439.78859999997</v>
      </c>
      <c r="C15" s="364"/>
      <c r="D15" s="364"/>
      <c r="E15" s="364"/>
      <c r="F15" s="364"/>
      <c r="G15" s="364"/>
      <c r="H15" s="364"/>
      <c r="I15" s="364"/>
      <c r="J15" s="364"/>
      <c r="K15" s="364"/>
      <c r="L15" s="364">
        <f>$B15*(SUMPRODUCT(L$30:L$32,$C$26:$C$28))/2</f>
        <v>30283.5516442277</v>
      </c>
      <c r="M15" s="364">
        <f>$B15*(SUMPRODUCT(M$30:M$32,$C$26:$C$28))</f>
        <v>64393.608199367998</v>
      </c>
      <c r="N15" s="365">
        <f>$B15*(SUMPRODUCT(N$30:N$32,$C$26:$C$28))</f>
        <v>70434.628496843201</v>
      </c>
      <c r="O15" s="378">
        <f t="shared" si="1"/>
        <v>72490.810690125189</v>
      </c>
      <c r="P15" s="379">
        <f t="shared" si="1"/>
        <v>63362.651343572601</v>
      </c>
      <c r="Q15" s="379">
        <f t="shared" si="1"/>
        <v>66542.211125379399</v>
      </c>
      <c r="R15" s="379">
        <f t="shared" si="1"/>
        <v>60643.045906046995</v>
      </c>
      <c r="S15" s="379">
        <f t="shared" si="1"/>
        <v>56880.304136319799</v>
      </c>
      <c r="T15" s="379">
        <f t="shared" si="1"/>
        <v>49081.857037408794</v>
      </c>
      <c r="U15" s="379">
        <f t="shared" si="1"/>
        <v>48620.469813550393</v>
      </c>
      <c r="V15" s="379">
        <f t="shared" si="1"/>
        <v>50555.573682558999</v>
      </c>
      <c r="W15" s="379">
        <f t="shared" si="1"/>
        <v>52867.524880371195</v>
      </c>
      <c r="X15" s="379">
        <f t="shared" si="1"/>
        <v>60567.103288455401</v>
      </c>
      <c r="Y15" s="379">
        <f t="shared" si="1"/>
        <v>64393.608199367998</v>
      </c>
      <c r="Z15" s="380">
        <f t="shared" si="1"/>
        <v>70434.628496843201</v>
      </c>
      <c r="AA15" s="392">
        <f t="shared" si="2"/>
        <v>165111.78834043891</v>
      </c>
      <c r="AB15" s="533">
        <f t="shared" si="3"/>
        <v>716439.78859999985</v>
      </c>
    </row>
    <row r="16" spans="1:28" x14ac:dyDescent="0.25">
      <c r="A16" s="18">
        <v>45597</v>
      </c>
      <c r="B16" s="97">
        <f>'6. 2024 Installed kWh Savings'!B16+'6. 2024 Installed kWh Savings'!C16</f>
        <v>5580738.0050000008</v>
      </c>
      <c r="C16" s="364"/>
      <c r="D16" s="364"/>
      <c r="E16" s="364"/>
      <c r="F16" s="364"/>
      <c r="G16" s="364"/>
      <c r="H16" s="364"/>
      <c r="I16" s="364"/>
      <c r="J16" s="364"/>
      <c r="K16" s="364"/>
      <c r="L16" s="364"/>
      <c r="M16" s="364">
        <f>$B16*(SUMPRODUCT(M$30:M$32,$C$26:$C$28))/2</f>
        <v>250798.36594470005</v>
      </c>
      <c r="N16" s="365">
        <f>$B16*(SUMPRODUCT(N$30:N$32,$C$26:$C$28))</f>
        <v>548653.51474756002</v>
      </c>
      <c r="O16" s="378">
        <f t="shared" si="1"/>
        <v>564670.23282191006</v>
      </c>
      <c r="P16" s="379">
        <f t="shared" si="1"/>
        <v>493566.04990020511</v>
      </c>
      <c r="Q16" s="379">
        <f t="shared" si="1"/>
        <v>518333.36516639509</v>
      </c>
      <c r="R16" s="379">
        <f t="shared" si="1"/>
        <v>472381.56843322504</v>
      </c>
      <c r="S16" s="379">
        <f t="shared" si="1"/>
        <v>443071.5324309651</v>
      </c>
      <c r="T16" s="379">
        <f t="shared" si="1"/>
        <v>382325.19924654003</v>
      </c>
      <c r="U16" s="379">
        <f t="shared" si="1"/>
        <v>378731.20397132001</v>
      </c>
      <c r="V16" s="379">
        <f t="shared" si="1"/>
        <v>393804.77732282504</v>
      </c>
      <c r="W16" s="379">
        <f t="shared" si="1"/>
        <v>411813.81886496005</v>
      </c>
      <c r="X16" s="379">
        <f t="shared" si="1"/>
        <v>471790.01020469511</v>
      </c>
      <c r="Y16" s="379">
        <f t="shared" si="1"/>
        <v>501596.73188940011</v>
      </c>
      <c r="Z16" s="380">
        <f t="shared" si="1"/>
        <v>548653.51474756002</v>
      </c>
      <c r="AA16" s="392">
        <f t="shared" si="2"/>
        <v>799451.88069226011</v>
      </c>
      <c r="AB16" s="533">
        <f t="shared" si="3"/>
        <v>5580738.0049999999</v>
      </c>
    </row>
    <row r="17" spans="1:28" x14ac:dyDescent="0.25">
      <c r="A17" s="18">
        <v>45627</v>
      </c>
      <c r="B17" s="98">
        <f>'6. 2024 Installed kWh Savings'!B17+'6. 2024 Installed kWh Savings'!C17</f>
        <v>4718351.3380000005</v>
      </c>
      <c r="C17" s="364"/>
      <c r="D17" s="364"/>
      <c r="E17" s="364"/>
      <c r="F17" s="364"/>
      <c r="G17" s="364"/>
      <c r="H17" s="364"/>
      <c r="I17" s="364"/>
      <c r="J17" s="364"/>
      <c r="K17" s="364"/>
      <c r="L17" s="364"/>
      <c r="M17" s="364"/>
      <c r="N17" s="365">
        <f>$B17*(SUMPRODUCT(N$30:N$32,$C$26:$C$28))/2</f>
        <v>231935.27837072802</v>
      </c>
      <c r="O17" s="378">
        <f t="shared" si="1"/>
        <v>477412.22508151602</v>
      </c>
      <c r="P17" s="379">
        <f t="shared" si="1"/>
        <v>417295.71068405808</v>
      </c>
      <c r="Q17" s="379">
        <f t="shared" si="1"/>
        <v>438235.75392210204</v>
      </c>
      <c r="R17" s="379">
        <f t="shared" si="1"/>
        <v>399384.84900501004</v>
      </c>
      <c r="S17" s="379">
        <f t="shared" si="1"/>
        <v>374604.06777783408</v>
      </c>
      <c r="T17" s="379">
        <f t="shared" si="1"/>
        <v>323244.81346370402</v>
      </c>
      <c r="U17" s="379">
        <f t="shared" si="1"/>
        <v>320206.19520203199</v>
      </c>
      <c r="V17" s="379">
        <f t="shared" si="1"/>
        <v>332950.46216597006</v>
      </c>
      <c r="W17" s="379">
        <f t="shared" si="1"/>
        <v>348176.581933696</v>
      </c>
      <c r="X17" s="379">
        <f t="shared" si="1"/>
        <v>398884.70376318204</v>
      </c>
      <c r="Y17" s="379">
        <f t="shared" si="1"/>
        <v>424085.41825944005</v>
      </c>
      <c r="Z17" s="380">
        <f t="shared" si="1"/>
        <v>463870.55674145604</v>
      </c>
      <c r="AA17" s="392">
        <f t="shared" si="2"/>
        <v>231935.27837072802</v>
      </c>
      <c r="AB17" s="533">
        <f t="shared" si="3"/>
        <v>4718351.3379999995</v>
      </c>
    </row>
    <row r="18" spans="1:28" x14ac:dyDescent="0.25">
      <c r="A18" s="18"/>
      <c r="B18" s="20"/>
      <c r="C18" s="363"/>
      <c r="D18" s="364"/>
      <c r="E18" s="364"/>
      <c r="F18" s="364"/>
      <c r="G18" s="364"/>
      <c r="H18" s="364"/>
      <c r="I18" s="364"/>
      <c r="J18" s="364"/>
      <c r="K18" s="364"/>
      <c r="L18" s="364"/>
      <c r="M18" s="364"/>
      <c r="N18" s="365"/>
      <c r="O18" s="378"/>
      <c r="P18" s="379"/>
      <c r="Q18" s="379"/>
      <c r="R18" s="379"/>
      <c r="S18" s="379"/>
      <c r="T18" s="379"/>
      <c r="U18" s="379"/>
      <c r="V18" s="379"/>
      <c r="W18" s="379"/>
      <c r="X18" s="379"/>
      <c r="Y18" s="379"/>
      <c r="Z18" s="380"/>
      <c r="AA18" s="392"/>
      <c r="AB18" s="534"/>
    </row>
    <row r="19" spans="1:28" x14ac:dyDescent="0.25">
      <c r="A19" s="88" t="s">
        <v>35</v>
      </c>
      <c r="B19" s="20">
        <f>SUM(B6:B17)</f>
        <v>13548833.300398</v>
      </c>
      <c r="C19" s="447">
        <f t="shared" ref="C19:AA19" si="4">SUM(C6:C17)</f>
        <v>0</v>
      </c>
      <c r="D19" s="448">
        <f t="shared" si="4"/>
        <v>0</v>
      </c>
      <c r="E19" s="448">
        <f t="shared" si="4"/>
        <v>23429.580213802503</v>
      </c>
      <c r="F19" s="448">
        <f t="shared" si="4"/>
        <v>56965.913040973857</v>
      </c>
      <c r="G19" s="448">
        <f t="shared" si="4"/>
        <v>66807.429548477725</v>
      </c>
      <c r="H19" s="448">
        <f t="shared" si="4"/>
        <v>115599.77404038518</v>
      </c>
      <c r="I19" s="448">
        <f t="shared" si="4"/>
        <v>171920.15411130746</v>
      </c>
      <c r="J19" s="448">
        <f t="shared" si="4"/>
        <v>178762.60867123088</v>
      </c>
      <c r="K19" s="448">
        <f t="shared" si="4"/>
        <v>186937.58122394199</v>
      </c>
      <c r="L19" s="448">
        <f t="shared" si="4"/>
        <v>244446.55277024183</v>
      </c>
      <c r="M19" s="448">
        <f t="shared" si="4"/>
        <v>542885.35283563228</v>
      </c>
      <c r="N19" s="449">
        <f t="shared" si="4"/>
        <v>1100077.6210580003</v>
      </c>
      <c r="O19" s="375">
        <f t="shared" si="4"/>
        <v>1370898.0510008705</v>
      </c>
      <c r="P19" s="376">
        <f t="shared" si="4"/>
        <v>1198272.3659204997</v>
      </c>
      <c r="Q19" s="376">
        <f t="shared" si="4"/>
        <v>1258402.088107666</v>
      </c>
      <c r="R19" s="376">
        <f t="shared" si="4"/>
        <v>1146840.9947121888</v>
      </c>
      <c r="S19" s="376">
        <f t="shared" si="4"/>
        <v>1075682.5222184986</v>
      </c>
      <c r="T19" s="376">
        <f t="shared" si="4"/>
        <v>928203.4717436661</v>
      </c>
      <c r="U19" s="376">
        <f t="shared" si="4"/>
        <v>919478.02309820987</v>
      </c>
      <c r="V19" s="376">
        <f t="shared" si="4"/>
        <v>956073.42184258508</v>
      </c>
      <c r="W19" s="376">
        <f t="shared" si="4"/>
        <v>999795.50690296921</v>
      </c>
      <c r="X19" s="376">
        <f t="shared" si="4"/>
        <v>1145404.8183823468</v>
      </c>
      <c r="Y19" s="376">
        <f t="shared" si="4"/>
        <v>1217769.1370397725</v>
      </c>
      <c r="Z19" s="377">
        <f t="shared" si="4"/>
        <v>1332012.8994287283</v>
      </c>
      <c r="AA19" s="397">
        <f t="shared" si="4"/>
        <v>2687832.5675139939</v>
      </c>
      <c r="AB19" s="536">
        <f t="shared" ref="AB19" si="5">SUM(AB6:AB17)</f>
        <v>13548833.300398</v>
      </c>
    </row>
    <row r="20" spans="1:28" x14ac:dyDescent="0.25">
      <c r="A20" s="88" t="s">
        <v>38</v>
      </c>
      <c r="B20" s="733">
        <f>'Step Adjustments'!$F$7</f>
        <v>0.7</v>
      </c>
      <c r="C20" s="363"/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3"/>
      <c r="P20" s="364"/>
      <c r="Q20" s="364"/>
      <c r="R20" s="364"/>
      <c r="S20" s="364"/>
      <c r="T20" s="364"/>
      <c r="U20" s="364"/>
      <c r="V20" s="364"/>
      <c r="W20" s="364"/>
      <c r="X20" s="364"/>
      <c r="Y20" s="364"/>
      <c r="Z20" s="364"/>
      <c r="AA20" s="400"/>
      <c r="AB20" s="393"/>
    </row>
    <row r="21" spans="1:28" x14ac:dyDescent="0.25">
      <c r="A21" s="88" t="s">
        <v>36</v>
      </c>
      <c r="B21" s="20"/>
      <c r="C21" s="369">
        <f>$G$38</f>
        <v>5.3788442674849862E-2</v>
      </c>
      <c r="D21" s="360">
        <f>$G$38</f>
        <v>5.3788442674849862E-2</v>
      </c>
      <c r="E21" s="360">
        <f>$G$38</f>
        <v>5.3788442674849862E-2</v>
      </c>
      <c r="F21" s="360">
        <f>$G$38</f>
        <v>5.3788442674849862E-2</v>
      </c>
      <c r="G21" s="360">
        <f>$G$38</f>
        <v>5.3788442674849862E-2</v>
      </c>
      <c r="H21" s="360">
        <f>$G$37*0.5+$G$38*0.5</f>
        <v>5.3948442674849863E-2</v>
      </c>
      <c r="I21" s="360">
        <f>$G$37</f>
        <v>5.4108442674849863E-2</v>
      </c>
      <c r="J21" s="360">
        <f>$G$37</f>
        <v>5.4108442674849863E-2</v>
      </c>
      <c r="K21" s="360">
        <f>$G$37</f>
        <v>5.4108442674849863E-2</v>
      </c>
      <c r="L21" s="360">
        <f>$G$37*0.5+$G$38*0.5</f>
        <v>5.3948442674849863E-2</v>
      </c>
      <c r="M21" s="360">
        <f t="shared" ref="M21:S21" si="6">$G$38</f>
        <v>5.3788442674849862E-2</v>
      </c>
      <c r="N21" s="360">
        <f t="shared" si="6"/>
        <v>5.3788442674849862E-2</v>
      </c>
      <c r="O21" s="369">
        <f t="shared" si="6"/>
        <v>5.3788442674849862E-2</v>
      </c>
      <c r="P21" s="360">
        <f t="shared" si="6"/>
        <v>5.3788442674849862E-2</v>
      </c>
      <c r="Q21" s="360">
        <f t="shared" si="6"/>
        <v>5.3788442674849862E-2</v>
      </c>
      <c r="R21" s="360">
        <f t="shared" si="6"/>
        <v>5.3788442674849862E-2</v>
      </c>
      <c r="S21" s="360">
        <f t="shared" si="6"/>
        <v>5.3788442674849862E-2</v>
      </c>
      <c r="T21" s="360">
        <f>$G$37*0.5+$G$38*0.5</f>
        <v>5.3948442674849863E-2</v>
      </c>
      <c r="U21" s="360">
        <f>$G$37</f>
        <v>5.4108442674849863E-2</v>
      </c>
      <c r="V21" s="360">
        <f>$G$37</f>
        <v>5.4108442674849863E-2</v>
      </c>
      <c r="W21" s="360">
        <f>$G$37</f>
        <v>5.4108442674849863E-2</v>
      </c>
      <c r="X21" s="360">
        <f>$G$37*0.5+$G$38*0.5</f>
        <v>5.3948442674849863E-2</v>
      </c>
      <c r="Y21" s="360">
        <f>$G$38</f>
        <v>5.3788442674849862E-2</v>
      </c>
      <c r="Z21" s="360">
        <f>$G$38</f>
        <v>5.3788442674849862E-2</v>
      </c>
      <c r="AA21" s="401"/>
      <c r="AB21" s="395"/>
    </row>
    <row r="22" spans="1:28" x14ac:dyDescent="0.25">
      <c r="A22" s="354" t="s">
        <v>37</v>
      </c>
      <c r="B22" s="21"/>
      <c r="C22" s="371">
        <f>C19*$B$20*C21</f>
        <v>0</v>
      </c>
      <c r="D22" s="372">
        <f t="shared" ref="D22:N22" si="7">D19*$B$20*D21</f>
        <v>0</v>
      </c>
      <c r="E22" s="372">
        <f t="shared" si="7"/>
        <v>882.16844255813862</v>
      </c>
      <c r="F22" s="372">
        <f t="shared" si="7"/>
        <v>2144.8754236174327</v>
      </c>
      <c r="G22" s="372">
        <f t="shared" si="7"/>
        <v>2515.4273161656552</v>
      </c>
      <c r="H22" s="372">
        <f t="shared" si="7"/>
        <v>4365.499448130322</v>
      </c>
      <c r="I22" s="372">
        <f t="shared" si="7"/>
        <v>6511.6322623681235</v>
      </c>
      <c r="J22" s="372">
        <f t="shared" si="7"/>
        <v>6770.7964545857403</v>
      </c>
      <c r="K22" s="372">
        <f t="shared" si="7"/>
        <v>7080.430978201528</v>
      </c>
      <c r="L22" s="372">
        <f t="shared" si="7"/>
        <v>9231.257587433036</v>
      </c>
      <c r="M22" s="372">
        <f t="shared" si="7"/>
        <v>20440.670376010534</v>
      </c>
      <c r="N22" s="373">
        <f t="shared" si="7"/>
        <v>41420.023440714416</v>
      </c>
      <c r="O22" s="537">
        <f>O19*$B$20*O21</f>
        <v>51616.929860526609</v>
      </c>
      <c r="P22" s="538">
        <f t="shared" ref="P22:Z22" si="8">P19*$B$20*P21</f>
        <v>45117.243124220055</v>
      </c>
      <c r="Q22" s="538">
        <f t="shared" si="8"/>
        <v>47381.242004663385</v>
      </c>
      <c r="R22" s="538">
        <f t="shared" si="8"/>
        <v>43180.753770871052</v>
      </c>
      <c r="S22" s="538">
        <f t="shared" si="8"/>
        <v>40501.501377881337</v>
      </c>
      <c r="T22" s="538">
        <f t="shared" si="8"/>
        <v>35052.592250171852</v>
      </c>
      <c r="U22" s="538">
        <f t="shared" si="8"/>
        <v>34826.066732515632</v>
      </c>
      <c r="V22" s="538">
        <f t="shared" si="8"/>
        <v>36212.150757101947</v>
      </c>
      <c r="W22" s="538">
        <f t="shared" si="8"/>
        <v>37868.164510282237</v>
      </c>
      <c r="X22" s="538">
        <f t="shared" si="8"/>
        <v>43254.964328797796</v>
      </c>
      <c r="Y22" s="538">
        <f t="shared" si="8"/>
        <v>45851.333793205631</v>
      </c>
      <c r="Z22" s="539">
        <f t="shared" si="8"/>
        <v>50152.829638157884</v>
      </c>
      <c r="AA22" s="429">
        <f>SUM(C22:N22)</f>
        <v>101362.78172978493</v>
      </c>
      <c r="AB22" s="429">
        <f>SUM(O22:Z22)</f>
        <v>511015.77214839542</v>
      </c>
    </row>
    <row r="23" spans="1:28" x14ac:dyDescent="0.25">
      <c r="A23" s="88"/>
    </row>
    <row r="24" spans="1:28" x14ac:dyDescent="0.25">
      <c r="A24" s="88"/>
      <c r="K24" s="19"/>
      <c r="O24" s="428">
        <f>+AA22/(AA19*$B$20)</f>
        <v>5.3873881747635625E-2</v>
      </c>
    </row>
    <row r="25" spans="1:28" x14ac:dyDescent="0.25">
      <c r="A25" s="445" t="s">
        <v>39</v>
      </c>
      <c r="B25" s="259"/>
      <c r="C25" s="260"/>
      <c r="I25" s="23"/>
    </row>
    <row r="26" spans="1:28" x14ac:dyDescent="0.25">
      <c r="A26" s="356" t="s">
        <v>298</v>
      </c>
      <c r="B26" s="262"/>
      <c r="C26" s="263">
        <v>1</v>
      </c>
      <c r="I26" s="23"/>
    </row>
    <row r="27" spans="1:28" x14ac:dyDescent="0.25">
      <c r="A27" s="357" t="s">
        <v>299</v>
      </c>
      <c r="B27" s="261"/>
      <c r="C27" s="256">
        <v>0</v>
      </c>
      <c r="I27" s="23"/>
    </row>
    <row r="28" spans="1:28" x14ac:dyDescent="0.25">
      <c r="A28" s="358" t="s">
        <v>300</v>
      </c>
      <c r="B28" s="257"/>
      <c r="C28" s="258">
        <v>0</v>
      </c>
    </row>
    <row r="29" spans="1:28" x14ac:dyDescent="0.25">
      <c r="A29" s="88"/>
      <c r="C29" s="27"/>
    </row>
    <row r="30" spans="1:28" x14ac:dyDescent="0.25">
      <c r="A30" s="88" t="s">
        <v>33</v>
      </c>
      <c r="C30" s="223">
        <f t="array" ref="C30:N32">TRANSPOSE('8. Load Shapes'!$B$4:$D$15)</f>
        <v>0.10118199999999999</v>
      </c>
      <c r="D30" s="224">
        <v>8.8441000000000006E-2</v>
      </c>
      <c r="E30" s="224">
        <v>9.2879000000000003E-2</v>
      </c>
      <c r="F30" s="224">
        <v>8.4644999999999998E-2</v>
      </c>
      <c r="G30" s="224">
        <v>7.9393000000000005E-2</v>
      </c>
      <c r="H30" s="224">
        <v>6.8507999999999999E-2</v>
      </c>
      <c r="I30" s="225">
        <v>6.7863999999999994E-2</v>
      </c>
      <c r="J30" s="225">
        <v>7.0565000000000003E-2</v>
      </c>
      <c r="K30" s="225">
        <v>7.3791999999999996E-2</v>
      </c>
      <c r="L30" s="225">
        <v>8.4539000000000003E-2</v>
      </c>
      <c r="M30" s="225">
        <v>8.9880000000000002E-2</v>
      </c>
      <c r="N30" s="226">
        <v>9.8311999999999997E-2</v>
      </c>
      <c r="O30" s="72">
        <f t="array" ref="O30:Z32">TRANSPOSE('8. Load Shapes'!$B$4:$D$15)</f>
        <v>0.10118199999999999</v>
      </c>
      <c r="P30" s="73">
        <v>8.8441000000000006E-2</v>
      </c>
      <c r="Q30" s="73">
        <v>9.2879000000000003E-2</v>
      </c>
      <c r="R30" s="73">
        <v>8.4644999999999998E-2</v>
      </c>
      <c r="S30" s="73">
        <v>7.9393000000000005E-2</v>
      </c>
      <c r="T30" s="73">
        <v>6.8507999999999999E-2</v>
      </c>
      <c r="U30" s="74">
        <v>6.7863999999999994E-2</v>
      </c>
      <c r="V30" s="74">
        <v>7.0565000000000003E-2</v>
      </c>
      <c r="W30" s="74">
        <v>7.3791999999999996E-2</v>
      </c>
      <c r="X30" s="74">
        <v>8.4539000000000003E-2</v>
      </c>
      <c r="Y30" s="74">
        <v>8.9880000000000002E-2</v>
      </c>
      <c r="Z30" s="75">
        <v>9.8311999999999997E-2</v>
      </c>
    </row>
    <row r="31" spans="1:28" x14ac:dyDescent="0.25">
      <c r="A31" s="88" t="s">
        <v>40</v>
      </c>
      <c r="C31" s="227">
        <v>0.21790599999999999</v>
      </c>
      <c r="D31" s="228">
        <v>0.18213499999999999</v>
      </c>
      <c r="E31" s="228">
        <v>0.13483300000000001</v>
      </c>
      <c r="F31" s="228">
        <v>5.8486000000000003E-2</v>
      </c>
      <c r="G31" s="228">
        <v>1.7144E-2</v>
      </c>
      <c r="H31" s="228">
        <v>5.1000000000000004E-4</v>
      </c>
      <c r="I31" s="229">
        <v>6.0000000000000002E-6</v>
      </c>
      <c r="J31" s="229">
        <v>9.0000000000000002E-6</v>
      </c>
      <c r="K31" s="229">
        <v>8.8090000000000009E-3</v>
      </c>
      <c r="L31" s="229">
        <v>5.4961999999999997E-2</v>
      </c>
      <c r="M31" s="229">
        <v>0.115899</v>
      </c>
      <c r="N31" s="230">
        <v>0.20930099999999999</v>
      </c>
      <c r="O31" s="76">
        <v>0.21790599999999999</v>
      </c>
      <c r="P31" s="77">
        <v>0.18213499999999999</v>
      </c>
      <c r="Q31" s="77">
        <v>0.13483300000000001</v>
      </c>
      <c r="R31" s="77">
        <v>5.8486000000000003E-2</v>
      </c>
      <c r="S31" s="77">
        <v>1.7144E-2</v>
      </c>
      <c r="T31" s="77">
        <v>5.1000000000000004E-4</v>
      </c>
      <c r="U31" s="78">
        <v>6.0000000000000002E-6</v>
      </c>
      <c r="V31" s="78">
        <v>9.0000000000000002E-6</v>
      </c>
      <c r="W31" s="78">
        <v>8.8090000000000009E-3</v>
      </c>
      <c r="X31" s="78">
        <v>5.4961999999999997E-2</v>
      </c>
      <c r="Y31" s="78">
        <v>0.115899</v>
      </c>
      <c r="Z31" s="79">
        <v>0.20930099999999999</v>
      </c>
    </row>
    <row r="32" spans="1:28" x14ac:dyDescent="0.25">
      <c r="A32" s="88" t="s">
        <v>41</v>
      </c>
      <c r="C32" s="231">
        <v>1.1999999999999999E-3</v>
      </c>
      <c r="D32" s="232">
        <v>1.1000000000000001E-3</v>
      </c>
      <c r="E32" s="232">
        <v>3.13E-3</v>
      </c>
      <c r="F32" s="232">
        <v>1.5047E-2</v>
      </c>
      <c r="G32" s="232">
        <v>6.5409999999999996E-2</v>
      </c>
      <c r="H32" s="232">
        <v>0.21082300000000001</v>
      </c>
      <c r="I32" s="233">
        <v>0.28478100000000001</v>
      </c>
      <c r="J32" s="233">
        <v>0.27076600000000001</v>
      </c>
      <c r="K32" s="233">
        <v>0.126605</v>
      </c>
      <c r="L32" s="233">
        <v>1.8471999999999999E-2</v>
      </c>
      <c r="M32" s="233">
        <v>1.444E-3</v>
      </c>
      <c r="N32" s="234">
        <v>1.222E-3</v>
      </c>
      <c r="O32" s="80">
        <v>1.1999999999999999E-3</v>
      </c>
      <c r="P32" s="81">
        <v>1.1000000000000001E-3</v>
      </c>
      <c r="Q32" s="81">
        <v>3.13E-3</v>
      </c>
      <c r="R32" s="81">
        <v>1.5047E-2</v>
      </c>
      <c r="S32" s="81">
        <v>6.5409999999999996E-2</v>
      </c>
      <c r="T32" s="81">
        <v>0.21082300000000001</v>
      </c>
      <c r="U32" s="82">
        <v>0.28478100000000001</v>
      </c>
      <c r="V32" s="82">
        <v>0.27076600000000001</v>
      </c>
      <c r="W32" s="82">
        <v>0.126605</v>
      </c>
      <c r="X32" s="82">
        <v>1.8471999999999999E-2</v>
      </c>
      <c r="Y32" s="82">
        <v>1.444E-3</v>
      </c>
      <c r="Z32" s="83">
        <v>1.222E-3</v>
      </c>
    </row>
    <row r="33" spans="1:9" x14ac:dyDescent="0.25">
      <c r="A33" s="88"/>
      <c r="C33" s="24"/>
      <c r="D33" s="24"/>
      <c r="E33" s="24"/>
      <c r="F33" s="24"/>
      <c r="G33" s="24"/>
      <c r="H33" s="24"/>
    </row>
    <row r="34" spans="1:9" x14ac:dyDescent="0.25">
      <c r="A34" s="88"/>
      <c r="C34" s="24"/>
      <c r="D34" s="24"/>
      <c r="E34" s="24"/>
      <c r="F34" s="24"/>
      <c r="G34" s="24"/>
      <c r="H34" s="24"/>
    </row>
    <row r="35" spans="1:9" x14ac:dyDescent="0.25">
      <c r="A35" s="445" t="s">
        <v>92</v>
      </c>
      <c r="B35" s="761" t="s">
        <v>250</v>
      </c>
      <c r="C35" s="761"/>
      <c r="D35" s="761"/>
      <c r="E35" s="761"/>
      <c r="F35" s="761"/>
      <c r="G35" s="762"/>
      <c r="I35" s="23"/>
    </row>
    <row r="36" spans="1:9" x14ac:dyDescent="0.25">
      <c r="A36" s="444"/>
      <c r="B36" s="248" t="s">
        <v>147</v>
      </c>
      <c r="C36" s="248" t="s">
        <v>42</v>
      </c>
      <c r="D36" s="248" t="s">
        <v>156</v>
      </c>
      <c r="E36" s="248" t="s">
        <v>43</v>
      </c>
      <c r="F36" s="248" t="s">
        <v>132</v>
      </c>
      <c r="G36" s="252" t="s">
        <v>44</v>
      </c>
    </row>
    <row r="37" spans="1:9" x14ac:dyDescent="0.25">
      <c r="A37" s="359" t="s">
        <v>45</v>
      </c>
      <c r="B37" s="265">
        <v>8.9980000000000004E-2</v>
      </c>
      <c r="C37" s="254">
        <v>7.0910000000000001E-2</v>
      </c>
      <c r="D37" s="254">
        <v>6.4170000000000005E-2</v>
      </c>
      <c r="E37" s="254">
        <v>8.6999999999999994E-3</v>
      </c>
      <c r="F37" s="255">
        <v>5.0000000000000001E-3</v>
      </c>
      <c r="G37" s="28">
        <f>SUMPRODUCT(B37:D37,B40:D40)-E37-F37*$F$40</f>
        <v>5.4108442674849863E-2</v>
      </c>
    </row>
    <row r="38" spans="1:9" x14ac:dyDescent="0.25">
      <c r="A38" s="359" t="s">
        <v>46</v>
      </c>
      <c r="B38" s="266">
        <v>7.7929999999999999E-2</v>
      </c>
      <c r="C38" s="267">
        <v>6.4360000000000001E-2</v>
      </c>
      <c r="D38" s="267">
        <v>6.3850000000000004E-2</v>
      </c>
      <c r="E38" s="274">
        <f>E37</f>
        <v>8.6999999999999994E-3</v>
      </c>
      <c r="F38" s="275">
        <f>+F37</f>
        <v>5.0000000000000001E-3</v>
      </c>
      <c r="G38" s="28">
        <f>SUMPRODUCT(B38:D38,B41:D41)-E38-F38*$F$40</f>
        <v>5.3788442674849862E-2</v>
      </c>
    </row>
    <row r="39" spans="1:9" x14ac:dyDescent="0.25">
      <c r="A39" s="359"/>
      <c r="B39" s="17"/>
    </row>
    <row r="40" spans="1:9" x14ac:dyDescent="0.25">
      <c r="A40" s="359" t="s">
        <v>45</v>
      </c>
      <c r="B40" s="285">
        <f t="array" ref="B40:D41">TRANSPOSE('Step Adjustments'!B40:C42)</f>
        <v>0</v>
      </c>
      <c r="C40" s="286">
        <v>0</v>
      </c>
      <c r="D40" s="287">
        <v>1</v>
      </c>
      <c r="F40" s="253">
        <v>0.27231146503002779</v>
      </c>
    </row>
    <row r="41" spans="1:9" x14ac:dyDescent="0.25">
      <c r="A41" s="359" t="s">
        <v>46</v>
      </c>
      <c r="B41" s="288">
        <v>0</v>
      </c>
      <c r="C41" s="289">
        <v>0</v>
      </c>
      <c r="D41" s="290">
        <v>1</v>
      </c>
    </row>
  </sheetData>
  <mergeCells count="3">
    <mergeCell ref="C1:N1"/>
    <mergeCell ref="B35:G35"/>
    <mergeCell ref="O1:Z1"/>
  </mergeCells>
  <pageMargins left="0.7" right="0.7" top="0.75" bottom="0.75" header="0.3" footer="0.3"/>
  <pageSetup orientation="portrait" r:id="rId1"/>
  <ignoredErrors>
    <ignoredError sqref="AA2" numberStoredAsText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C45C0-B8A8-43F6-B4E0-20B32A419530}">
  <sheetPr codeName="Sheet18"/>
  <dimension ref="A1:O46"/>
  <sheetViews>
    <sheetView zoomScaleNormal="100" workbookViewId="0">
      <pane xSplit="2" ySplit="5" topLeftCell="C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12.7109375" defaultRowHeight="13.1" x14ac:dyDescent="0.25"/>
  <cols>
    <col min="1" max="1" width="30.7109375" style="22" customWidth="1"/>
    <col min="2" max="2" width="12.7109375" style="22"/>
    <col min="3" max="16384" width="12.7109375" style="17"/>
  </cols>
  <sheetData>
    <row r="1" spans="1:15" x14ac:dyDescent="0.25">
      <c r="A1" s="168" t="str">
        <f>Company_Filing</f>
        <v>2025 MEEIA Filing</v>
      </c>
      <c r="B1" s="272"/>
      <c r="C1" s="760" t="s">
        <v>245</v>
      </c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389" t="s">
        <v>222</v>
      </c>
    </row>
    <row r="2" spans="1:15" x14ac:dyDescent="0.25">
      <c r="A2" s="87" t="s">
        <v>261</v>
      </c>
      <c r="B2" s="273"/>
      <c r="C2" s="215">
        <v>45658</v>
      </c>
      <c r="D2" s="215">
        <v>45689</v>
      </c>
      <c r="E2" s="215">
        <v>45717</v>
      </c>
      <c r="F2" s="215">
        <v>45748</v>
      </c>
      <c r="G2" s="215">
        <v>45778</v>
      </c>
      <c r="H2" s="215">
        <v>45809</v>
      </c>
      <c r="I2" s="215">
        <v>45839</v>
      </c>
      <c r="J2" s="215">
        <v>45870</v>
      </c>
      <c r="K2" s="215">
        <v>45901</v>
      </c>
      <c r="L2" s="215">
        <v>45931</v>
      </c>
      <c r="M2" s="215">
        <v>45962</v>
      </c>
      <c r="N2" s="215">
        <v>45992</v>
      </c>
      <c r="O2" s="402" t="s">
        <v>246</v>
      </c>
    </row>
    <row r="3" spans="1:15" x14ac:dyDescent="0.25">
      <c r="A3" s="88"/>
    </row>
    <row r="4" spans="1:15" x14ac:dyDescent="0.25">
      <c r="A4" s="353" t="s">
        <v>230</v>
      </c>
      <c r="B4" s="271" t="s">
        <v>69</v>
      </c>
    </row>
    <row r="6" spans="1:15" x14ac:dyDescent="0.25">
      <c r="A6" s="18">
        <v>45658</v>
      </c>
      <c r="B6" s="403"/>
      <c r="C6" s="375">
        <f>$B6*(SUMPRODUCT(C$30:C$32,$C$26:$C$28))/2</f>
        <v>0</v>
      </c>
      <c r="D6" s="376">
        <f t="shared" ref="D6:N11" si="0">$B6*(SUMPRODUCT(D$30:D$32,$C$26:$C$28))</f>
        <v>0</v>
      </c>
      <c r="E6" s="376">
        <f t="shared" si="0"/>
        <v>0</v>
      </c>
      <c r="F6" s="376">
        <f t="shared" si="0"/>
        <v>0</v>
      </c>
      <c r="G6" s="376">
        <f t="shared" si="0"/>
        <v>0</v>
      </c>
      <c r="H6" s="376">
        <f t="shared" si="0"/>
        <v>0</v>
      </c>
      <c r="I6" s="376">
        <f t="shared" si="0"/>
        <v>0</v>
      </c>
      <c r="J6" s="376">
        <f t="shared" si="0"/>
        <v>0</v>
      </c>
      <c r="K6" s="376">
        <f t="shared" si="0"/>
        <v>0</v>
      </c>
      <c r="L6" s="376">
        <f t="shared" si="0"/>
        <v>0</v>
      </c>
      <c r="M6" s="376">
        <f t="shared" si="0"/>
        <v>0</v>
      </c>
      <c r="N6" s="377">
        <f t="shared" si="0"/>
        <v>0</v>
      </c>
      <c r="O6" s="391">
        <f t="shared" ref="O6:O17" si="1">SUM(C6:N6)</f>
        <v>0</v>
      </c>
    </row>
    <row r="7" spans="1:15" x14ac:dyDescent="0.25">
      <c r="A7" s="18">
        <v>45689</v>
      </c>
      <c r="B7" s="404"/>
      <c r="C7" s="378"/>
      <c r="D7" s="379">
        <f>$B7*(SUMPRODUCT(D$30:D$32,$C$26:$C$28))/2</f>
        <v>0</v>
      </c>
      <c r="E7" s="379">
        <f t="shared" si="0"/>
        <v>0</v>
      </c>
      <c r="F7" s="379">
        <f t="shared" si="0"/>
        <v>0</v>
      </c>
      <c r="G7" s="379">
        <f t="shared" si="0"/>
        <v>0</v>
      </c>
      <c r="H7" s="379">
        <f t="shared" si="0"/>
        <v>0</v>
      </c>
      <c r="I7" s="379">
        <f t="shared" si="0"/>
        <v>0</v>
      </c>
      <c r="J7" s="379">
        <f t="shared" si="0"/>
        <v>0</v>
      </c>
      <c r="K7" s="379">
        <f t="shared" si="0"/>
        <v>0</v>
      </c>
      <c r="L7" s="379">
        <f t="shared" si="0"/>
        <v>0</v>
      </c>
      <c r="M7" s="379">
        <f t="shared" si="0"/>
        <v>0</v>
      </c>
      <c r="N7" s="380">
        <f t="shared" si="0"/>
        <v>0</v>
      </c>
      <c r="O7" s="392">
        <f t="shared" si="1"/>
        <v>0</v>
      </c>
    </row>
    <row r="8" spans="1:15" x14ac:dyDescent="0.25">
      <c r="A8" s="18">
        <v>45717</v>
      </c>
      <c r="B8" s="404"/>
      <c r="C8" s="378"/>
      <c r="D8" s="379"/>
      <c r="E8" s="379">
        <f>$B8*(SUMPRODUCT(E$30:E$32,$C$26:$C$28))/2</f>
        <v>0</v>
      </c>
      <c r="F8" s="379">
        <f t="shared" si="0"/>
        <v>0</v>
      </c>
      <c r="G8" s="379">
        <f t="shared" si="0"/>
        <v>0</v>
      </c>
      <c r="H8" s="379">
        <f t="shared" si="0"/>
        <v>0</v>
      </c>
      <c r="I8" s="379">
        <f t="shared" si="0"/>
        <v>0</v>
      </c>
      <c r="J8" s="379">
        <f t="shared" si="0"/>
        <v>0</v>
      </c>
      <c r="K8" s="379">
        <f t="shared" si="0"/>
        <v>0</v>
      </c>
      <c r="L8" s="379">
        <f t="shared" si="0"/>
        <v>0</v>
      </c>
      <c r="M8" s="379">
        <f t="shared" si="0"/>
        <v>0</v>
      </c>
      <c r="N8" s="380">
        <f t="shared" si="0"/>
        <v>0</v>
      </c>
      <c r="O8" s="392">
        <f t="shared" si="1"/>
        <v>0</v>
      </c>
    </row>
    <row r="9" spans="1:15" x14ac:dyDescent="0.25">
      <c r="A9" s="18">
        <v>45748</v>
      </c>
      <c r="B9" s="404"/>
      <c r="C9" s="378"/>
      <c r="D9" s="379"/>
      <c r="E9" s="379"/>
      <c r="F9" s="379">
        <f>$B9*(SUMPRODUCT(F$30:F$32,$C$26:$C$28))/2</f>
        <v>0</v>
      </c>
      <c r="G9" s="379">
        <f t="shared" si="0"/>
        <v>0</v>
      </c>
      <c r="H9" s="379">
        <f t="shared" si="0"/>
        <v>0</v>
      </c>
      <c r="I9" s="379">
        <f t="shared" si="0"/>
        <v>0</v>
      </c>
      <c r="J9" s="379">
        <f t="shared" si="0"/>
        <v>0</v>
      </c>
      <c r="K9" s="379">
        <f t="shared" si="0"/>
        <v>0</v>
      </c>
      <c r="L9" s="379">
        <f t="shared" si="0"/>
        <v>0</v>
      </c>
      <c r="M9" s="379">
        <f t="shared" si="0"/>
        <v>0</v>
      </c>
      <c r="N9" s="380">
        <f t="shared" si="0"/>
        <v>0</v>
      </c>
      <c r="O9" s="392">
        <f t="shared" si="1"/>
        <v>0</v>
      </c>
    </row>
    <row r="10" spans="1:15" x14ac:dyDescent="0.25">
      <c r="A10" s="18">
        <v>45778</v>
      </c>
      <c r="B10" s="404"/>
      <c r="C10" s="378"/>
      <c r="D10" s="379"/>
      <c r="E10" s="379"/>
      <c r="F10" s="379"/>
      <c r="G10" s="379">
        <f>$B10*(SUMPRODUCT(G$30:G$32,$C$26:$C$28))/2</f>
        <v>0</v>
      </c>
      <c r="H10" s="379">
        <f t="shared" si="0"/>
        <v>0</v>
      </c>
      <c r="I10" s="379">
        <f t="shared" si="0"/>
        <v>0</v>
      </c>
      <c r="J10" s="379">
        <f t="shared" si="0"/>
        <v>0</v>
      </c>
      <c r="K10" s="379">
        <f t="shared" si="0"/>
        <v>0</v>
      </c>
      <c r="L10" s="379">
        <f t="shared" si="0"/>
        <v>0</v>
      </c>
      <c r="M10" s="379">
        <f t="shared" si="0"/>
        <v>0</v>
      </c>
      <c r="N10" s="380">
        <f t="shared" si="0"/>
        <v>0</v>
      </c>
      <c r="O10" s="392">
        <f t="shared" si="1"/>
        <v>0</v>
      </c>
    </row>
    <row r="11" spans="1:15" x14ac:dyDescent="0.25">
      <c r="A11" s="18">
        <v>45809</v>
      </c>
      <c r="B11" s="404"/>
      <c r="C11" s="378"/>
      <c r="D11" s="379"/>
      <c r="E11" s="379"/>
      <c r="F11" s="379"/>
      <c r="G11" s="379"/>
      <c r="H11" s="379">
        <f>$B11*(SUMPRODUCT(H$30:H$32,$C$26:$C$28))/2</f>
        <v>0</v>
      </c>
      <c r="I11" s="379">
        <f t="shared" si="0"/>
        <v>0</v>
      </c>
      <c r="J11" s="379">
        <f t="shared" si="0"/>
        <v>0</v>
      </c>
      <c r="K11" s="379">
        <f t="shared" si="0"/>
        <v>0</v>
      </c>
      <c r="L11" s="379">
        <f t="shared" si="0"/>
        <v>0</v>
      </c>
      <c r="M11" s="379">
        <f t="shared" si="0"/>
        <v>0</v>
      </c>
      <c r="N11" s="380">
        <f t="shared" si="0"/>
        <v>0</v>
      </c>
      <c r="O11" s="392">
        <f t="shared" si="1"/>
        <v>0</v>
      </c>
    </row>
    <row r="12" spans="1:15" x14ac:dyDescent="0.25">
      <c r="A12" s="18">
        <v>45839</v>
      </c>
      <c r="B12" s="404"/>
      <c r="C12" s="378"/>
      <c r="D12" s="379"/>
      <c r="E12" s="379"/>
      <c r="F12" s="379"/>
      <c r="G12" s="379"/>
      <c r="H12" s="379"/>
      <c r="I12" s="379">
        <f>$B12*(SUMPRODUCT(I$30:I$32,$C$26:$C$28))/2</f>
        <v>0</v>
      </c>
      <c r="J12" s="379">
        <f>$B12*(SUMPRODUCT(J$30:J$32,$C$26:$C$28))</f>
        <v>0</v>
      </c>
      <c r="K12" s="379">
        <f>$B12*(SUMPRODUCT(K$30:K$32,$C$26:$C$28))</f>
        <v>0</v>
      </c>
      <c r="L12" s="379">
        <f>$B12*(SUMPRODUCT(L$30:L$32,$C$26:$C$28))</f>
        <v>0</v>
      </c>
      <c r="M12" s="379">
        <f>$B12*(SUMPRODUCT(M$30:M$32,$C$26:$C$28))</f>
        <v>0</v>
      </c>
      <c r="N12" s="380">
        <f>$B12*(SUMPRODUCT(N$30:N$32,$C$26:$C$28))</f>
        <v>0</v>
      </c>
      <c r="O12" s="392">
        <f t="shared" si="1"/>
        <v>0</v>
      </c>
    </row>
    <row r="13" spans="1:15" x14ac:dyDescent="0.25">
      <c r="A13" s="18">
        <v>45870</v>
      </c>
      <c r="B13" s="404"/>
      <c r="C13" s="378"/>
      <c r="D13" s="379"/>
      <c r="E13" s="379"/>
      <c r="F13" s="379"/>
      <c r="G13" s="379"/>
      <c r="H13" s="379"/>
      <c r="I13" s="379"/>
      <c r="J13" s="379">
        <f>$B13*(SUMPRODUCT(J$30:J$32,$C$26:$C$28))/2</f>
        <v>0</v>
      </c>
      <c r="K13" s="379">
        <f>$B13*(SUMPRODUCT(K$30:K$32,$C$26:$C$28))</f>
        <v>0</v>
      </c>
      <c r="L13" s="379">
        <f>$B13*(SUMPRODUCT(L$30:L$32,$C$26:$C$28))</f>
        <v>0</v>
      </c>
      <c r="M13" s="379">
        <f>$B13*(SUMPRODUCT(M$30:M$32,$C$26:$C$28))</f>
        <v>0</v>
      </c>
      <c r="N13" s="380">
        <f>$B13*(SUMPRODUCT(N$30:N$32,$C$26:$C$28))</f>
        <v>0</v>
      </c>
      <c r="O13" s="392">
        <f t="shared" si="1"/>
        <v>0</v>
      </c>
    </row>
    <row r="14" spans="1:15" x14ac:dyDescent="0.25">
      <c r="A14" s="18">
        <v>45901</v>
      </c>
      <c r="B14" s="404"/>
      <c r="C14" s="378"/>
      <c r="D14" s="379"/>
      <c r="E14" s="379"/>
      <c r="F14" s="379"/>
      <c r="G14" s="379"/>
      <c r="H14" s="379"/>
      <c r="I14" s="379"/>
      <c r="J14" s="379"/>
      <c r="K14" s="379">
        <f>$B14*(SUMPRODUCT(K$30:K$32,$C$26:$C$28))/2</f>
        <v>0</v>
      </c>
      <c r="L14" s="379">
        <f>$B14*(SUMPRODUCT(L$30:L$32,$C$26:$C$28))</f>
        <v>0</v>
      </c>
      <c r="M14" s="379">
        <f>$B14*(SUMPRODUCT(M$30:M$32,$C$26:$C$28))</f>
        <v>0</v>
      </c>
      <c r="N14" s="380">
        <f>$B14*(SUMPRODUCT(N$30:N$32,$C$26:$C$28))</f>
        <v>0</v>
      </c>
      <c r="O14" s="392">
        <f t="shared" si="1"/>
        <v>0</v>
      </c>
    </row>
    <row r="15" spans="1:15" x14ac:dyDescent="0.25">
      <c r="A15" s="18">
        <v>45931</v>
      </c>
      <c r="B15" s="404"/>
      <c r="C15" s="378"/>
      <c r="D15" s="379"/>
      <c r="E15" s="379"/>
      <c r="F15" s="379"/>
      <c r="G15" s="379"/>
      <c r="H15" s="379"/>
      <c r="I15" s="379"/>
      <c r="J15" s="379"/>
      <c r="K15" s="379"/>
      <c r="L15" s="379">
        <f>$B15*(SUMPRODUCT(L$30:L$32,$C$26:$C$28))/2</f>
        <v>0</v>
      </c>
      <c r="M15" s="379">
        <f>$B15*(SUMPRODUCT(M$30:M$32,$C$26:$C$28))</f>
        <v>0</v>
      </c>
      <c r="N15" s="380">
        <f>$B15*(SUMPRODUCT(N$30:N$32,$C$26:$C$28))</f>
        <v>0</v>
      </c>
      <c r="O15" s="392">
        <f t="shared" si="1"/>
        <v>0</v>
      </c>
    </row>
    <row r="16" spans="1:15" x14ac:dyDescent="0.25">
      <c r="A16" s="18">
        <v>45962</v>
      </c>
      <c r="B16" s="404"/>
      <c r="C16" s="378"/>
      <c r="D16" s="379"/>
      <c r="E16" s="379"/>
      <c r="F16" s="379"/>
      <c r="G16" s="379"/>
      <c r="H16" s="379"/>
      <c r="I16" s="379"/>
      <c r="J16" s="379"/>
      <c r="K16" s="379"/>
      <c r="L16" s="379"/>
      <c r="M16" s="379">
        <f>$B16*(SUMPRODUCT(M$30:M$32,$C$26:$C$28))/2</f>
        <v>0</v>
      </c>
      <c r="N16" s="380">
        <f>$B16*(SUMPRODUCT(N$30:N$32,$C$26:$C$28))</f>
        <v>0</v>
      </c>
      <c r="O16" s="392">
        <f t="shared" si="1"/>
        <v>0</v>
      </c>
    </row>
    <row r="17" spans="1:15" x14ac:dyDescent="0.25">
      <c r="A17" s="18">
        <v>45992</v>
      </c>
      <c r="B17" s="405"/>
      <c r="C17" s="378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80">
        <f>$B17*(SUMPRODUCT(N$30:N$32,$C$26:$C$28))/2</f>
        <v>0</v>
      </c>
      <c r="O17" s="392">
        <f t="shared" si="1"/>
        <v>0</v>
      </c>
    </row>
    <row r="18" spans="1:15" x14ac:dyDescent="0.25">
      <c r="A18" s="18"/>
      <c r="B18" s="20"/>
      <c r="C18" s="378"/>
      <c r="D18" s="379"/>
      <c r="E18" s="379"/>
      <c r="F18" s="379"/>
      <c r="G18" s="379"/>
      <c r="H18" s="379"/>
      <c r="I18" s="379"/>
      <c r="J18" s="379"/>
      <c r="K18" s="379"/>
      <c r="L18" s="379"/>
      <c r="M18" s="379"/>
      <c r="N18" s="380"/>
      <c r="O18" s="392"/>
    </row>
    <row r="19" spans="1:15" x14ac:dyDescent="0.25">
      <c r="A19" s="88" t="s">
        <v>35</v>
      </c>
      <c r="B19" s="20">
        <f>SUM(B6:B17)</f>
        <v>0</v>
      </c>
      <c r="C19" s="425">
        <f t="shared" ref="C19:O19" si="2">SUM(C6:C17)</f>
        <v>0</v>
      </c>
      <c r="D19" s="426">
        <f t="shared" si="2"/>
        <v>0</v>
      </c>
      <c r="E19" s="426">
        <f t="shared" si="2"/>
        <v>0</v>
      </c>
      <c r="F19" s="426">
        <f t="shared" si="2"/>
        <v>0</v>
      </c>
      <c r="G19" s="426">
        <f t="shared" si="2"/>
        <v>0</v>
      </c>
      <c r="H19" s="426">
        <f t="shared" si="2"/>
        <v>0</v>
      </c>
      <c r="I19" s="426">
        <f t="shared" si="2"/>
        <v>0</v>
      </c>
      <c r="J19" s="426">
        <f t="shared" si="2"/>
        <v>0</v>
      </c>
      <c r="K19" s="426">
        <f t="shared" si="2"/>
        <v>0</v>
      </c>
      <c r="L19" s="426">
        <f t="shared" si="2"/>
        <v>0</v>
      </c>
      <c r="M19" s="426">
        <f t="shared" si="2"/>
        <v>0</v>
      </c>
      <c r="N19" s="427">
        <f t="shared" si="2"/>
        <v>0</v>
      </c>
      <c r="O19" s="397">
        <f t="shared" si="2"/>
        <v>0</v>
      </c>
    </row>
    <row r="20" spans="1:15" x14ac:dyDescent="0.25">
      <c r="A20" s="88" t="s">
        <v>38</v>
      </c>
      <c r="B20" s="733">
        <v>0.82499999999999996</v>
      </c>
      <c r="C20" s="381"/>
      <c r="D20" s="382"/>
      <c r="E20" s="382"/>
      <c r="F20" s="382"/>
      <c r="G20" s="382"/>
      <c r="H20" s="382"/>
      <c r="I20" s="382"/>
      <c r="J20" s="382"/>
      <c r="K20" s="382"/>
      <c r="L20" s="382"/>
      <c r="M20" s="382"/>
      <c r="N20" s="383"/>
      <c r="O20" s="393"/>
    </row>
    <row r="21" spans="1:15" x14ac:dyDescent="0.25">
      <c r="A21" s="88" t="s">
        <v>36</v>
      </c>
      <c r="B21" s="20"/>
      <c r="C21" s="384">
        <f>$F$38</f>
        <v>0.10241358634724779</v>
      </c>
      <c r="D21" s="374">
        <f t="shared" ref="D21:G21" si="3">$F$38</f>
        <v>0.10241358634724779</v>
      </c>
      <c r="E21" s="374">
        <f t="shared" si="3"/>
        <v>0.10241358634724779</v>
      </c>
      <c r="F21" s="374">
        <f t="shared" si="3"/>
        <v>0.10241358634724779</v>
      </c>
      <c r="G21" s="374">
        <f t="shared" si="3"/>
        <v>0.10241358634724779</v>
      </c>
      <c r="H21" s="374">
        <f>$F$37*0.5+$F$38*0.5</f>
        <v>0.11431358634724779</v>
      </c>
      <c r="I21" s="374">
        <f>$F$37</f>
        <v>0.1262135863472478</v>
      </c>
      <c r="J21" s="374">
        <f t="shared" ref="J21:K21" si="4">$F$37</f>
        <v>0.1262135863472478</v>
      </c>
      <c r="K21" s="374">
        <f t="shared" si="4"/>
        <v>0.1262135863472478</v>
      </c>
      <c r="L21" s="374">
        <f>$F$37*0.5+$F$38*0.5</f>
        <v>0.11431358634724779</v>
      </c>
      <c r="M21" s="374">
        <f>$F$38</f>
        <v>0.10241358634724779</v>
      </c>
      <c r="N21" s="385">
        <f t="shared" ref="N21" si="5">$F$38</f>
        <v>0.10241358634724779</v>
      </c>
      <c r="O21" s="395"/>
    </row>
    <row r="22" spans="1:15" x14ac:dyDescent="0.25">
      <c r="A22" s="354" t="s">
        <v>37</v>
      </c>
      <c r="B22" s="21"/>
      <c r="C22" s="386">
        <f>C19*$B$20*C21</f>
        <v>0</v>
      </c>
      <c r="D22" s="387">
        <f t="shared" ref="D22:N22" si="6">D19*$B$20*D21</f>
        <v>0</v>
      </c>
      <c r="E22" s="387">
        <f t="shared" si="6"/>
        <v>0</v>
      </c>
      <c r="F22" s="387">
        <f t="shared" si="6"/>
        <v>0</v>
      </c>
      <c r="G22" s="387">
        <f t="shared" si="6"/>
        <v>0</v>
      </c>
      <c r="H22" s="387">
        <f t="shared" si="6"/>
        <v>0</v>
      </c>
      <c r="I22" s="387">
        <f t="shared" si="6"/>
        <v>0</v>
      </c>
      <c r="J22" s="387">
        <f t="shared" si="6"/>
        <v>0</v>
      </c>
      <c r="K22" s="387">
        <f t="shared" si="6"/>
        <v>0</v>
      </c>
      <c r="L22" s="387">
        <f t="shared" si="6"/>
        <v>0</v>
      </c>
      <c r="M22" s="387">
        <f t="shared" si="6"/>
        <v>0</v>
      </c>
      <c r="N22" s="388">
        <f t="shared" si="6"/>
        <v>0</v>
      </c>
      <c r="O22" s="429">
        <f>SUM(C22:N22)</f>
        <v>0</v>
      </c>
    </row>
    <row r="23" spans="1:15" x14ac:dyDescent="0.25">
      <c r="A23" s="88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</row>
    <row r="24" spans="1:15" x14ac:dyDescent="0.25">
      <c r="A24" s="88"/>
      <c r="O24" s="428">
        <f>IFERROR(+O22/(O19*$B$20),0)</f>
        <v>0</v>
      </c>
    </row>
    <row r="25" spans="1:15" x14ac:dyDescent="0.25">
      <c r="A25" s="355" t="s">
        <v>39</v>
      </c>
      <c r="B25" s="276"/>
      <c r="C25" s="277"/>
      <c r="I25" s="23"/>
    </row>
    <row r="26" spans="1:15" x14ac:dyDescent="0.25">
      <c r="A26" s="356" t="s">
        <v>298</v>
      </c>
      <c r="B26" s="262"/>
      <c r="C26" s="263">
        <v>1</v>
      </c>
      <c r="I26" s="23"/>
    </row>
    <row r="27" spans="1:15" x14ac:dyDescent="0.25">
      <c r="A27" s="357" t="s">
        <v>299</v>
      </c>
      <c r="B27" s="261"/>
      <c r="C27" s="256">
        <v>0</v>
      </c>
      <c r="I27" s="23"/>
    </row>
    <row r="28" spans="1:15" x14ac:dyDescent="0.25">
      <c r="A28" s="358" t="s">
        <v>300</v>
      </c>
      <c r="B28" s="257"/>
      <c r="C28" s="258">
        <v>0</v>
      </c>
    </row>
    <row r="29" spans="1:15" x14ac:dyDescent="0.25">
      <c r="A29" s="88"/>
      <c r="C29" s="27"/>
    </row>
    <row r="30" spans="1:15" x14ac:dyDescent="0.25">
      <c r="A30" s="88" t="s">
        <v>33</v>
      </c>
      <c r="C30" s="72">
        <f t="array" ref="C30:N32">TRANSPOSE('8. Load Shapes'!$B$4:$D$15)</f>
        <v>0.10118199999999999</v>
      </c>
      <c r="D30" s="73">
        <v>8.8441000000000006E-2</v>
      </c>
      <c r="E30" s="73">
        <v>9.2879000000000003E-2</v>
      </c>
      <c r="F30" s="73">
        <v>8.4644999999999998E-2</v>
      </c>
      <c r="G30" s="73">
        <v>7.9393000000000005E-2</v>
      </c>
      <c r="H30" s="73">
        <v>6.8507999999999999E-2</v>
      </c>
      <c r="I30" s="74">
        <v>6.7863999999999994E-2</v>
      </c>
      <c r="J30" s="74">
        <v>7.0565000000000003E-2</v>
      </c>
      <c r="K30" s="74">
        <v>7.3791999999999996E-2</v>
      </c>
      <c r="L30" s="74">
        <v>8.4539000000000003E-2</v>
      </c>
      <c r="M30" s="74">
        <v>8.9880000000000002E-2</v>
      </c>
      <c r="N30" s="75">
        <v>9.8311999999999997E-2</v>
      </c>
      <c r="O30" s="412"/>
    </row>
    <row r="31" spans="1:15" x14ac:dyDescent="0.25">
      <c r="A31" s="88" t="s">
        <v>40</v>
      </c>
      <c r="C31" s="76">
        <v>0.21790599999999999</v>
      </c>
      <c r="D31" s="77">
        <v>0.18213499999999999</v>
      </c>
      <c r="E31" s="77">
        <v>0.13483300000000001</v>
      </c>
      <c r="F31" s="77">
        <v>5.8486000000000003E-2</v>
      </c>
      <c r="G31" s="77">
        <v>1.7144E-2</v>
      </c>
      <c r="H31" s="77">
        <v>5.1000000000000004E-4</v>
      </c>
      <c r="I31" s="78">
        <v>6.0000000000000002E-6</v>
      </c>
      <c r="J31" s="78">
        <v>9.0000000000000002E-6</v>
      </c>
      <c r="K31" s="78">
        <v>8.8090000000000009E-3</v>
      </c>
      <c r="L31" s="78">
        <v>5.4961999999999997E-2</v>
      </c>
      <c r="M31" s="78">
        <v>0.115899</v>
      </c>
      <c r="N31" s="79">
        <v>0.20930099999999999</v>
      </c>
      <c r="O31" s="412"/>
    </row>
    <row r="32" spans="1:15" x14ac:dyDescent="0.25">
      <c r="A32" s="88" t="s">
        <v>41</v>
      </c>
      <c r="C32" s="80">
        <v>1.1999999999999999E-3</v>
      </c>
      <c r="D32" s="81">
        <v>1.1000000000000001E-3</v>
      </c>
      <c r="E32" s="81">
        <v>3.13E-3</v>
      </c>
      <c r="F32" s="81">
        <v>1.5047E-2</v>
      </c>
      <c r="G32" s="81">
        <v>6.5409999999999996E-2</v>
      </c>
      <c r="H32" s="81">
        <v>0.21082300000000001</v>
      </c>
      <c r="I32" s="82">
        <v>0.28478100000000001</v>
      </c>
      <c r="J32" s="82">
        <v>0.27076600000000001</v>
      </c>
      <c r="K32" s="82">
        <v>0.126605</v>
      </c>
      <c r="L32" s="82">
        <v>1.8471999999999999E-2</v>
      </c>
      <c r="M32" s="82">
        <v>1.444E-3</v>
      </c>
      <c r="N32" s="83">
        <v>1.222E-3</v>
      </c>
      <c r="O32" s="412"/>
    </row>
    <row r="33" spans="1:9" x14ac:dyDescent="0.25">
      <c r="A33" s="88"/>
    </row>
    <row r="34" spans="1:9" x14ac:dyDescent="0.25">
      <c r="A34" s="88"/>
      <c r="C34" s="24"/>
      <c r="D34" s="24"/>
      <c r="E34" s="24"/>
      <c r="F34" s="24"/>
      <c r="G34" s="24"/>
      <c r="H34" s="24"/>
    </row>
    <row r="35" spans="1:9" x14ac:dyDescent="0.25">
      <c r="A35" s="355" t="s">
        <v>150</v>
      </c>
      <c r="B35" s="761" t="s">
        <v>247</v>
      </c>
      <c r="C35" s="761"/>
      <c r="D35" s="761"/>
      <c r="E35" s="761"/>
      <c r="F35" s="761"/>
      <c r="G35" s="762"/>
      <c r="I35" s="23"/>
    </row>
    <row r="36" spans="1:9" x14ac:dyDescent="0.25">
      <c r="A36" s="87"/>
      <c r="B36" s="248" t="s">
        <v>147</v>
      </c>
      <c r="C36" s="248" t="s">
        <v>42</v>
      </c>
      <c r="D36" s="248" t="s">
        <v>43</v>
      </c>
      <c r="E36" s="248" t="s">
        <v>132</v>
      </c>
      <c r="F36" s="157" t="s">
        <v>44</v>
      </c>
      <c r="G36" s="158"/>
    </row>
    <row r="37" spans="1:9" x14ac:dyDescent="0.25">
      <c r="A37" s="359" t="s">
        <v>45</v>
      </c>
      <c r="B37" s="265">
        <v>0.14030999999999999</v>
      </c>
      <c r="C37" s="254">
        <v>0.14030999999999999</v>
      </c>
      <c r="D37" s="254">
        <f>'2. TD Res Lighting install 2022'!N37</f>
        <v>8.6999999999999994E-3</v>
      </c>
      <c r="E37" s="255">
        <v>0.02</v>
      </c>
      <c r="F37" s="28">
        <f>SUMPRODUCT(B37:C37,B40:C40)-D37-E37*$E$40</f>
        <v>0.1262135863472478</v>
      </c>
      <c r="G37" s="60"/>
    </row>
    <row r="38" spans="1:9" x14ac:dyDescent="0.25">
      <c r="A38" s="359" t="s">
        <v>46</v>
      </c>
      <c r="B38" s="266">
        <v>0.14030999999999999</v>
      </c>
      <c r="C38" s="267">
        <v>0.11651</v>
      </c>
      <c r="D38" s="274">
        <f>+D37</f>
        <v>8.6999999999999994E-3</v>
      </c>
      <c r="E38" s="275">
        <f>+E37</f>
        <v>0.02</v>
      </c>
      <c r="F38" s="28">
        <f>SUMPRODUCT(B38:C38,B40:C40)-D38-E38*$E$40</f>
        <v>0.10241358634724779</v>
      </c>
      <c r="G38" s="60"/>
    </row>
    <row r="39" spans="1:9" x14ac:dyDescent="0.25">
      <c r="A39" s="359"/>
      <c r="B39" s="17"/>
    </row>
    <row r="40" spans="1:9" x14ac:dyDescent="0.25">
      <c r="A40" s="88"/>
      <c r="B40" s="279">
        <f t="array" ref="B40:C40">TRANSPOSE('Step Adjustments'!C12:C13)</f>
        <v>0</v>
      </c>
      <c r="C40" s="280">
        <v>1</v>
      </c>
      <c r="E40" s="253">
        <v>0.26982068263761072</v>
      </c>
    </row>
    <row r="41" spans="1:9" x14ac:dyDescent="0.25">
      <c r="A41" s="88"/>
    </row>
    <row r="42" spans="1:9" x14ac:dyDescent="0.25">
      <c r="A42" s="88"/>
    </row>
    <row r="43" spans="1:9" x14ac:dyDescent="0.25">
      <c r="A43" s="88"/>
    </row>
    <row r="44" spans="1:9" x14ac:dyDescent="0.25">
      <c r="A44" s="88"/>
    </row>
    <row r="45" spans="1:9" x14ac:dyDescent="0.25">
      <c r="A45" s="88"/>
    </row>
    <row r="46" spans="1:9" x14ac:dyDescent="0.25">
      <c r="A46" s="88"/>
    </row>
  </sheetData>
  <mergeCells count="2">
    <mergeCell ref="C1:N1"/>
    <mergeCell ref="B35:G3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3C2BE-70E0-409E-8BAF-E3BF7E10FBDE}">
  <sheetPr codeName="Sheet2">
    <tabColor theme="1" tint="0.34998626667073579"/>
  </sheetPr>
  <dimension ref="A1:N42"/>
  <sheetViews>
    <sheetView zoomScaleNormal="100" workbookViewId="0">
      <pane xSplit="1" ySplit="3" topLeftCell="C4" activePane="bottomRight" state="frozen"/>
      <selection pane="topRight" activeCell="B1" sqref="B1"/>
      <selection pane="bottomLeft" activeCell="A4" sqref="A4"/>
      <selection pane="bottomRight"/>
    </sheetView>
  </sheetViews>
  <sheetFormatPr defaultColWidth="16.7109375" defaultRowHeight="12.8" customHeight="1" x14ac:dyDescent="0.25"/>
  <cols>
    <col min="1" max="1" width="24.7109375" style="172" customWidth="1"/>
    <col min="2" max="2" width="24.7109375" style="54" customWidth="1"/>
    <col min="3" max="7" width="16.7109375" style="54"/>
    <col min="8" max="8" width="26.28515625" style="54" customWidth="1"/>
    <col min="9" max="9" width="24.7109375" style="54" customWidth="1"/>
    <col min="10" max="16384" width="16.7109375" style="54"/>
  </cols>
  <sheetData>
    <row r="1" spans="1:14" ht="12.8" customHeight="1" x14ac:dyDescent="0.25">
      <c r="A1" s="168" t="str">
        <f>Company_Filing</f>
        <v>2025 MEEIA Filing</v>
      </c>
      <c r="B1" s="48"/>
      <c r="C1" s="102" t="s">
        <v>20</v>
      </c>
      <c r="D1" s="102" t="s">
        <v>87</v>
      </c>
      <c r="E1" s="52" t="s">
        <v>2</v>
      </c>
      <c r="F1" s="53" t="s">
        <v>3</v>
      </c>
    </row>
    <row r="2" spans="1:14" ht="12.8" customHeight="1" x14ac:dyDescent="0.25">
      <c r="A2" s="169" t="s">
        <v>237</v>
      </c>
      <c r="B2" s="49" t="s">
        <v>20</v>
      </c>
      <c r="C2" s="50" t="s">
        <v>0</v>
      </c>
      <c r="D2" s="50" t="s">
        <v>0</v>
      </c>
      <c r="E2" s="50" t="s">
        <v>0</v>
      </c>
      <c r="F2" s="51" t="s">
        <v>0</v>
      </c>
    </row>
    <row r="4" spans="1:14" ht="12.8" customHeight="1" x14ac:dyDescent="0.25">
      <c r="A4" s="170" t="s">
        <v>64</v>
      </c>
      <c r="H4" s="581" t="s">
        <v>98</v>
      </c>
      <c r="I4" s="581" t="s">
        <v>20</v>
      </c>
      <c r="J4" s="581" t="s">
        <v>99</v>
      </c>
      <c r="K4" s="581" t="s">
        <v>100</v>
      </c>
      <c r="L4" s="581" t="s">
        <v>101</v>
      </c>
      <c r="M4" s="581" t="s">
        <v>102</v>
      </c>
      <c r="N4" s="581" t="s">
        <v>103</v>
      </c>
    </row>
    <row r="5" spans="1:14" ht="12.8" customHeight="1" x14ac:dyDescent="0.25">
      <c r="A5" s="171"/>
      <c r="B5" s="37"/>
      <c r="C5" s="99"/>
      <c r="D5" s="37"/>
      <c r="E5" s="37">
        <f>C5</f>
        <v>0</v>
      </c>
      <c r="F5" s="37"/>
      <c r="G5" s="172">
        <f>SUM(C5:D5)-SUM(E5:F5)</f>
        <v>0</v>
      </c>
      <c r="H5" s="582"/>
      <c r="I5" s="37"/>
      <c r="J5" s="583"/>
      <c r="K5" s="584"/>
      <c r="L5" s="584"/>
      <c r="M5" s="585"/>
      <c r="N5" s="586">
        <f t="shared" ref="N5:N10" si="0">SUM(J5:M5)</f>
        <v>0</v>
      </c>
    </row>
    <row r="6" spans="1:14" ht="12.8" customHeight="1" x14ac:dyDescent="0.25">
      <c r="A6" s="171" t="s">
        <v>2</v>
      </c>
      <c r="B6" s="37" t="s">
        <v>130</v>
      </c>
      <c r="C6" s="100">
        <f t="shared" ref="C6:C10" si="1">N6</f>
        <v>230000</v>
      </c>
      <c r="D6" s="37"/>
      <c r="E6" s="37">
        <f>C6</f>
        <v>230000</v>
      </c>
      <c r="F6" s="37"/>
      <c r="G6" s="172">
        <f t="shared" ref="G6:G18" si="2">SUM(C6:D6)-SUM(E6:F6)</f>
        <v>0</v>
      </c>
      <c r="H6" s="582" t="s">
        <v>2</v>
      </c>
      <c r="I6" s="37" t="s">
        <v>130</v>
      </c>
      <c r="J6" s="587">
        <v>150000</v>
      </c>
      <c r="K6" s="588">
        <v>55000</v>
      </c>
      <c r="L6" s="588">
        <v>25000</v>
      </c>
      <c r="M6" s="589"/>
      <c r="N6" s="586">
        <f t="shared" si="0"/>
        <v>230000</v>
      </c>
    </row>
    <row r="7" spans="1:14" ht="12.8" customHeight="1" x14ac:dyDescent="0.25">
      <c r="A7" s="171" t="s">
        <v>2</v>
      </c>
      <c r="B7" s="37" t="s">
        <v>260</v>
      </c>
      <c r="C7" s="100">
        <f t="shared" si="1"/>
        <v>275000</v>
      </c>
      <c r="D7" s="37"/>
      <c r="E7" s="37">
        <f>C7</f>
        <v>275000</v>
      </c>
      <c r="F7" s="37"/>
      <c r="G7" s="172">
        <f t="shared" si="2"/>
        <v>0</v>
      </c>
      <c r="H7" s="582" t="s">
        <v>2</v>
      </c>
      <c r="I7" s="37" t="s">
        <v>260</v>
      </c>
      <c r="J7" s="587">
        <v>100000</v>
      </c>
      <c r="K7" s="588">
        <v>150000</v>
      </c>
      <c r="L7" s="588">
        <v>25000</v>
      </c>
      <c r="M7" s="589"/>
      <c r="N7" s="586">
        <f t="shared" si="0"/>
        <v>275000</v>
      </c>
    </row>
    <row r="8" spans="1:14" ht="12.8" customHeight="1" x14ac:dyDescent="0.25">
      <c r="A8" s="171" t="s">
        <v>2</v>
      </c>
      <c r="B8" s="37" t="s">
        <v>258</v>
      </c>
      <c r="C8" s="100">
        <f t="shared" si="1"/>
        <v>565707.80999999994</v>
      </c>
      <c r="D8" s="37"/>
      <c r="E8" s="37">
        <f>C8</f>
        <v>565707.80999999994</v>
      </c>
      <c r="F8" s="37"/>
      <c r="G8" s="172">
        <f t="shared" si="2"/>
        <v>0</v>
      </c>
      <c r="H8" s="582" t="s">
        <v>2</v>
      </c>
      <c r="I8" s="37" t="s">
        <v>258</v>
      </c>
      <c r="J8" s="587">
        <v>455707.80999999994</v>
      </c>
      <c r="K8" s="588">
        <v>75000</v>
      </c>
      <c r="L8" s="588">
        <v>35000</v>
      </c>
      <c r="M8" s="589"/>
      <c r="N8" s="586">
        <f t="shared" si="0"/>
        <v>565707.80999999994</v>
      </c>
    </row>
    <row r="9" spans="1:14" ht="12.8" customHeight="1" x14ac:dyDescent="0.25">
      <c r="A9" s="177" t="s">
        <v>3</v>
      </c>
      <c r="B9" s="37" t="s">
        <v>122</v>
      </c>
      <c r="C9" s="100">
        <f t="shared" si="1"/>
        <v>2027395.0463636364</v>
      </c>
      <c r="D9" s="37"/>
      <c r="E9" s="37"/>
      <c r="F9" s="37">
        <f>C9</f>
        <v>2027395.0463636364</v>
      </c>
      <c r="G9" s="172">
        <f t="shared" si="2"/>
        <v>0</v>
      </c>
      <c r="H9" s="177" t="s">
        <v>3</v>
      </c>
      <c r="I9" s="37" t="s">
        <v>122</v>
      </c>
      <c r="J9" s="587">
        <v>1702395.0463636364</v>
      </c>
      <c r="K9" s="588">
        <v>300000</v>
      </c>
      <c r="L9" s="588">
        <v>25000</v>
      </c>
      <c r="M9" s="589"/>
      <c r="N9" s="586">
        <f t="shared" si="0"/>
        <v>2027395.0463636364</v>
      </c>
    </row>
    <row r="10" spans="1:14" ht="12.8" customHeight="1" x14ac:dyDescent="0.25">
      <c r="A10" s="177" t="s">
        <v>3</v>
      </c>
      <c r="B10" s="37" t="s">
        <v>259</v>
      </c>
      <c r="C10" s="101">
        <f t="shared" si="1"/>
        <v>315330</v>
      </c>
      <c r="D10" s="37"/>
      <c r="E10" s="37"/>
      <c r="F10" s="37">
        <f>C10</f>
        <v>315330</v>
      </c>
      <c r="G10" s="172">
        <f t="shared" si="2"/>
        <v>0</v>
      </c>
      <c r="H10" s="177" t="s">
        <v>3</v>
      </c>
      <c r="I10" s="37" t="s">
        <v>259</v>
      </c>
      <c r="J10" s="590">
        <v>225330</v>
      </c>
      <c r="K10" s="591">
        <v>75000</v>
      </c>
      <c r="L10" s="591">
        <v>15000</v>
      </c>
      <c r="M10" s="592"/>
      <c r="N10" s="586">
        <f t="shared" si="0"/>
        <v>315330</v>
      </c>
    </row>
    <row r="11" spans="1:14" ht="12.8" customHeight="1" x14ac:dyDescent="0.25">
      <c r="G11" s="172">
        <f t="shared" si="2"/>
        <v>0</v>
      </c>
      <c r="H11" s="593" t="s">
        <v>22</v>
      </c>
      <c r="J11" s="594">
        <f>SUM(J5:J8)</f>
        <v>705707.80999999994</v>
      </c>
      <c r="K11" s="594">
        <f>SUM(K5:K8)</f>
        <v>280000</v>
      </c>
      <c r="L11" s="594">
        <f>SUM(L5:L8)</f>
        <v>85000</v>
      </c>
      <c r="M11" s="594">
        <f>SUM(M5:M8)</f>
        <v>0</v>
      </c>
      <c r="N11" s="594">
        <f>SUM(N5:N8)</f>
        <v>1070707.81</v>
      </c>
    </row>
    <row r="12" spans="1:14" ht="12.8" customHeight="1" x14ac:dyDescent="0.25">
      <c r="A12" s="170" t="s">
        <v>23</v>
      </c>
      <c r="G12" s="172">
        <f t="shared" si="2"/>
        <v>0</v>
      </c>
      <c r="H12" s="593" t="s">
        <v>171</v>
      </c>
      <c r="J12" s="594">
        <f>SUM(J9:J10)</f>
        <v>1927725.0463636364</v>
      </c>
      <c r="K12" s="594">
        <f>SUM(K9:K10)</f>
        <v>375000</v>
      </c>
      <c r="L12" s="594">
        <f>SUM(L9:L10)</f>
        <v>40000</v>
      </c>
      <c r="M12" s="594">
        <f>SUM(M9:M10)</f>
        <v>0</v>
      </c>
      <c r="N12" s="594">
        <f>SUM(N9:N10)</f>
        <v>2342725.0463636364</v>
      </c>
    </row>
    <row r="13" spans="1:14" ht="12.8" customHeight="1" x14ac:dyDescent="0.25">
      <c r="A13" s="171"/>
      <c r="B13" s="37" t="s">
        <v>79</v>
      </c>
      <c r="D13" s="99">
        <f>N13</f>
        <v>300000</v>
      </c>
      <c r="E13" s="37">
        <f>+D13*$C$31</f>
        <v>132612.99768692101</v>
      </c>
      <c r="F13" s="37">
        <f>+D13*$C$32</f>
        <v>167387.00231307899</v>
      </c>
      <c r="G13" s="172">
        <f t="shared" si="2"/>
        <v>0</v>
      </c>
      <c r="H13" s="582" t="s">
        <v>104</v>
      </c>
      <c r="I13" s="37" t="s">
        <v>79</v>
      </c>
      <c r="J13" s="583"/>
      <c r="K13" s="595">
        <v>300000</v>
      </c>
      <c r="L13" s="595"/>
      <c r="M13" s="596"/>
      <c r="N13" s="586">
        <f>SUM(J13:M13)</f>
        <v>300000</v>
      </c>
    </row>
    <row r="14" spans="1:14" ht="12.8" customHeight="1" x14ac:dyDescent="0.25">
      <c r="A14" s="171"/>
      <c r="B14" s="37" t="s">
        <v>80</v>
      </c>
      <c r="D14" s="100">
        <f>N14</f>
        <v>50000</v>
      </c>
      <c r="E14" s="37">
        <f>+D14*$C$31</f>
        <v>22102.166281153502</v>
      </c>
      <c r="F14" s="37">
        <f>+D14*$C$32</f>
        <v>27897.833718846498</v>
      </c>
      <c r="G14" s="172">
        <f t="shared" si="2"/>
        <v>0</v>
      </c>
      <c r="H14" s="582" t="s">
        <v>104</v>
      </c>
      <c r="I14" s="37" t="s">
        <v>80</v>
      </c>
      <c r="J14" s="587"/>
      <c r="K14" s="597"/>
      <c r="L14" s="597">
        <v>50000</v>
      </c>
      <c r="M14" s="598"/>
      <c r="N14" s="586">
        <f>SUM(J14:M14)</f>
        <v>50000</v>
      </c>
    </row>
    <row r="15" spans="1:14" ht="12.8" customHeight="1" x14ac:dyDescent="0.25">
      <c r="A15" s="171"/>
      <c r="B15" s="37" t="s">
        <v>81</v>
      </c>
      <c r="D15" s="100">
        <f>N15</f>
        <v>185606</v>
      </c>
      <c r="E15" s="37">
        <f>+D15*$C$31</f>
        <v>82045.893495595534</v>
      </c>
      <c r="F15" s="37">
        <f>+D15*$C$32</f>
        <v>103560.10650440447</v>
      </c>
      <c r="G15" s="172">
        <f t="shared" si="2"/>
        <v>0</v>
      </c>
      <c r="H15" s="582" t="s">
        <v>104</v>
      </c>
      <c r="I15" s="37" t="s">
        <v>81</v>
      </c>
      <c r="J15" s="587"/>
      <c r="K15" s="599"/>
      <c r="L15" s="597"/>
      <c r="M15" s="598">
        <v>185606</v>
      </c>
      <c r="N15" s="586">
        <f>SUM(J15:M15)</f>
        <v>185606</v>
      </c>
    </row>
    <row r="16" spans="1:14" ht="12.8" customHeight="1" x14ac:dyDescent="0.25">
      <c r="A16" s="171"/>
      <c r="B16" s="37" t="s">
        <v>82</v>
      </c>
      <c r="D16" s="101">
        <f>N16</f>
        <v>0</v>
      </c>
      <c r="E16" s="37">
        <f>+D16*$C$31</f>
        <v>0</v>
      </c>
      <c r="F16" s="37">
        <f>+D16*$C$32</f>
        <v>0</v>
      </c>
      <c r="G16" s="172">
        <f t="shared" si="2"/>
        <v>0</v>
      </c>
      <c r="H16" s="582" t="s">
        <v>104</v>
      </c>
      <c r="I16" s="37" t="s">
        <v>82</v>
      </c>
      <c r="J16" s="590"/>
      <c r="K16" s="600"/>
      <c r="L16" s="601"/>
      <c r="M16" s="602">
        <v>0</v>
      </c>
      <c r="N16" s="586">
        <f>SUM(J16:M16)</f>
        <v>0</v>
      </c>
    </row>
    <row r="17" spans="1:14" ht="12.8" customHeight="1" x14ac:dyDescent="0.25">
      <c r="G17" s="172"/>
      <c r="H17" s="593" t="s">
        <v>105</v>
      </c>
      <c r="I17" s="593"/>
      <c r="J17" s="594">
        <f>SUM(J13:J16)</f>
        <v>0</v>
      </c>
      <c r="K17" s="594">
        <f>SUM(K13:K16)</f>
        <v>300000</v>
      </c>
      <c r="L17" s="594">
        <f>SUM(L13:L16)</f>
        <v>50000</v>
      </c>
      <c r="M17" s="594">
        <f>SUM(M13:M16)</f>
        <v>185606</v>
      </c>
      <c r="N17" s="594">
        <f>SUM(N13:N16)</f>
        <v>535606</v>
      </c>
    </row>
    <row r="18" spans="1:14" ht="12.8" customHeight="1" thickBot="1" x14ac:dyDescent="0.3">
      <c r="A18" s="173" t="s">
        <v>24</v>
      </c>
      <c r="B18" s="55"/>
      <c r="C18" s="568">
        <f>SUM(C5:C16)</f>
        <v>3413432.8563636364</v>
      </c>
      <c r="D18" s="568">
        <f>SUM(D5:D16)</f>
        <v>535606</v>
      </c>
      <c r="E18" s="568">
        <f>SUM(E5:E16)</f>
        <v>1307468.86746367</v>
      </c>
      <c r="F18" s="568">
        <f>SUM(F5:F16)</f>
        <v>2641569.9888999662</v>
      </c>
      <c r="G18" s="172">
        <f t="shared" si="2"/>
        <v>0</v>
      </c>
      <c r="H18" s="603" t="s">
        <v>24</v>
      </c>
      <c r="I18" s="604"/>
      <c r="J18" s="605">
        <f>SUM(J11,J12,J17)</f>
        <v>2633432.8563636364</v>
      </c>
      <c r="K18" s="605">
        <f>SUM(K11,K12,K17)</f>
        <v>955000</v>
      </c>
      <c r="L18" s="605">
        <f>SUM(L11,L12,L17)</f>
        <v>175000</v>
      </c>
      <c r="M18" s="605">
        <f>SUM(M11,M12,M17)</f>
        <v>185606</v>
      </c>
      <c r="N18" s="606">
        <f>SUM(N11,N12,N17)</f>
        <v>3949038.8563636364</v>
      </c>
    </row>
    <row r="19" spans="1:14" ht="12.8" customHeight="1" thickTop="1" x14ac:dyDescent="0.25"/>
    <row r="20" spans="1:14" ht="12.8" customHeight="1" x14ac:dyDescent="0.25">
      <c r="H20" s="569"/>
      <c r="I20" s="570"/>
      <c r="J20" s="570" t="s">
        <v>95</v>
      </c>
      <c r="K20" s="571"/>
    </row>
    <row r="21" spans="1:14" ht="12.8" customHeight="1" x14ac:dyDescent="0.25">
      <c r="A21" s="174" t="s">
        <v>21</v>
      </c>
      <c r="B21" s="57" t="s">
        <v>25</v>
      </c>
      <c r="C21" s="57" t="s">
        <v>26</v>
      </c>
      <c r="D21" s="58" t="s">
        <v>1</v>
      </c>
    </row>
    <row r="22" spans="1:14" ht="12.8" customHeight="1" x14ac:dyDescent="0.25">
      <c r="H22" s="572" t="str">
        <f>I6</f>
        <v>Thermostats</v>
      </c>
      <c r="I22" s="461"/>
      <c r="J22" s="540">
        <v>2978373.2269484154</v>
      </c>
      <c r="K22" s="462"/>
    </row>
    <row r="23" spans="1:14" ht="12.8" customHeight="1" x14ac:dyDescent="0.25">
      <c r="A23" s="177" t="s">
        <v>2</v>
      </c>
      <c r="B23" s="56"/>
      <c r="C23" s="56">
        <f>$C$26*C31</f>
        <v>236761.05746367003</v>
      </c>
      <c r="D23" s="56">
        <f>SUM(B23:C23)</f>
        <v>236761.05746367003</v>
      </c>
      <c r="E23" s="37"/>
      <c r="F23" s="37"/>
      <c r="G23" s="37"/>
      <c r="H23" s="572" t="str">
        <f>I7</f>
        <v>Residential Demand Response</v>
      </c>
      <c r="I23" s="465"/>
      <c r="J23" s="542">
        <v>0</v>
      </c>
      <c r="K23" s="466"/>
    </row>
    <row r="24" spans="1:14" ht="12.8" customHeight="1" x14ac:dyDescent="0.25">
      <c r="A24" s="177" t="s">
        <v>3</v>
      </c>
      <c r="B24" s="56"/>
      <c r="C24" s="56">
        <f>$C$26*C32</f>
        <v>298844.94253632997</v>
      </c>
      <c r="D24" s="56">
        <f>SUM(B24:C24)</f>
        <v>298844.94253632997</v>
      </c>
      <c r="E24" s="38"/>
      <c r="F24" s="38"/>
      <c r="G24" s="38"/>
      <c r="H24" s="572" t="str">
        <f>I8</f>
        <v>Low Income Weatherization</v>
      </c>
      <c r="I24" s="463"/>
      <c r="J24" s="541">
        <v>193874.73151200006</v>
      </c>
      <c r="K24" s="464"/>
    </row>
    <row r="25" spans="1:14" ht="12.8" customHeight="1" x14ac:dyDescent="0.25">
      <c r="H25" s="573"/>
      <c r="J25" s="550"/>
    </row>
    <row r="26" spans="1:14" ht="12.8" customHeight="1" thickBot="1" x14ac:dyDescent="0.3">
      <c r="A26" s="175" t="s">
        <v>1</v>
      </c>
      <c r="B26" s="42"/>
      <c r="C26" s="42">
        <f>SUM(D13:D16)</f>
        <v>535606</v>
      </c>
      <c r="D26" s="42">
        <f>SUM(D23:D24)</f>
        <v>535606</v>
      </c>
      <c r="H26" s="574" t="s">
        <v>22</v>
      </c>
      <c r="I26" s="575">
        <f>SUM(I22:I24)</f>
        <v>0</v>
      </c>
      <c r="J26" s="576">
        <f>SUM(J22:J24)</f>
        <v>3172247.9584604152</v>
      </c>
      <c r="K26" s="575">
        <f>SUM(K22:K24)</f>
        <v>0</v>
      </c>
    </row>
    <row r="27" spans="1:14" ht="12.8" customHeight="1" thickTop="1" x14ac:dyDescent="0.25">
      <c r="H27" s="573"/>
      <c r="J27" s="550"/>
    </row>
    <row r="28" spans="1:14" ht="12.8" customHeight="1" x14ac:dyDescent="0.25">
      <c r="H28" s="572" t="str">
        <f>I9</f>
        <v>C&amp;I Rebate Program</v>
      </c>
      <c r="I28" s="461"/>
      <c r="J28" s="540">
        <v>9001345.4959603418</v>
      </c>
      <c r="K28" s="462"/>
    </row>
    <row r="29" spans="1:14" ht="12.8" customHeight="1" x14ac:dyDescent="0.25">
      <c r="A29" s="176" t="s">
        <v>21</v>
      </c>
      <c r="B29" s="85" t="s">
        <v>84</v>
      </c>
      <c r="C29" s="59" t="s">
        <v>27</v>
      </c>
      <c r="H29" s="572" t="str">
        <f>I10</f>
        <v>C&amp;I Demand Response</v>
      </c>
      <c r="I29" s="463"/>
      <c r="J29" s="541">
        <v>32369.781041883194</v>
      </c>
      <c r="K29" s="464"/>
    </row>
    <row r="30" spans="1:14" ht="12.8" customHeight="1" x14ac:dyDescent="0.25">
      <c r="A30" s="177"/>
      <c r="B30" s="40"/>
      <c r="C30" s="40"/>
      <c r="H30" s="573"/>
      <c r="J30" s="550"/>
    </row>
    <row r="31" spans="1:14" ht="12.8" customHeight="1" thickBot="1" x14ac:dyDescent="0.3">
      <c r="A31" s="177" t="s">
        <v>2</v>
      </c>
      <c r="B31" s="577">
        <f>'9. Sales Summary'!D4</f>
        <v>1752169810.6883664</v>
      </c>
      <c r="C31" s="578">
        <f>B31/$B$34</f>
        <v>0.44204332562307003</v>
      </c>
      <c r="H31" s="574" t="s">
        <v>171</v>
      </c>
      <c r="I31" s="575">
        <f>SUM(I28:I29)</f>
        <v>0</v>
      </c>
      <c r="J31" s="576">
        <f>SUM(J28:J29)</f>
        <v>9033715.2770022247</v>
      </c>
      <c r="K31" s="575">
        <f>SUM(K28:K29)</f>
        <v>0</v>
      </c>
    </row>
    <row r="32" spans="1:14" ht="12.8" customHeight="1" thickTop="1" x14ac:dyDescent="0.25">
      <c r="A32" s="177" t="s">
        <v>3</v>
      </c>
      <c r="B32" s="579">
        <f>'9. Sales Summary'!D5</f>
        <v>2211626743.0061016</v>
      </c>
      <c r="C32" s="578">
        <f>B32/$B$34</f>
        <v>0.55795667437692997</v>
      </c>
      <c r="H32" s="573"/>
      <c r="J32" s="550"/>
    </row>
    <row r="33" spans="1:11" ht="12.8" customHeight="1" thickBot="1" x14ac:dyDescent="0.3">
      <c r="A33" s="177"/>
      <c r="B33" s="476"/>
      <c r="C33" s="578"/>
      <c r="H33" s="574" t="s">
        <v>1</v>
      </c>
      <c r="I33" s="580">
        <f>I31+I26</f>
        <v>0</v>
      </c>
      <c r="J33" s="90">
        <f>J31+J26</f>
        <v>12205963.235462639</v>
      </c>
      <c r="K33" s="580">
        <f>K31+K26</f>
        <v>0</v>
      </c>
    </row>
    <row r="34" spans="1:11" ht="12.8" customHeight="1" thickTop="1" thickBot="1" x14ac:dyDescent="0.3">
      <c r="A34" s="175" t="s">
        <v>1</v>
      </c>
      <c r="B34" s="43">
        <f>SUM(B31:B32)</f>
        <v>3963796553.694468</v>
      </c>
      <c r="C34" s="44">
        <f>SUM(C31:C32)</f>
        <v>1</v>
      </c>
    </row>
    <row r="35" spans="1:11" ht="12.8" customHeight="1" thickTop="1" x14ac:dyDescent="0.25">
      <c r="B35" s="35"/>
      <c r="C35" s="56"/>
      <c r="H35" s="726" t="s">
        <v>288</v>
      </c>
      <c r="I35" s="726"/>
      <c r="J35" s="726"/>
    </row>
    <row r="36" spans="1:11" ht="12.8" customHeight="1" x14ac:dyDescent="0.25">
      <c r="A36" s="178"/>
      <c r="H36" s="727" t="s">
        <v>287</v>
      </c>
      <c r="I36" s="729" t="s">
        <v>289</v>
      </c>
      <c r="J36" s="729" t="s">
        <v>297</v>
      </c>
    </row>
    <row r="37" spans="1:11" ht="12.8" customHeight="1" x14ac:dyDescent="0.25">
      <c r="H37" s="54" t="s">
        <v>284</v>
      </c>
      <c r="I37" s="728">
        <v>0.23</v>
      </c>
      <c r="J37" s="550">
        <f>SUM($J$28:$J$29)*I37</f>
        <v>2077754.5137105118</v>
      </c>
    </row>
    <row r="38" spans="1:11" ht="12.8" customHeight="1" x14ac:dyDescent="0.25">
      <c r="H38" s="54" t="s">
        <v>285</v>
      </c>
      <c r="I38" s="728">
        <f>1-I37</f>
        <v>0.77</v>
      </c>
      <c r="J38" s="550">
        <f>SUM($J$28:$J$29)*I38</f>
        <v>6955960.7632917129</v>
      </c>
    </row>
    <row r="39" spans="1:11" ht="12.8" customHeight="1" x14ac:dyDescent="0.25">
      <c r="J39" s="550"/>
    </row>
    <row r="40" spans="1:11" ht="12.8" customHeight="1" x14ac:dyDescent="0.25">
      <c r="H40" s="731" t="s">
        <v>1</v>
      </c>
      <c r="I40" s="732">
        <f>SUM(I37:I38)</f>
        <v>1</v>
      </c>
      <c r="J40" s="754">
        <f>SUM(J37:J38)</f>
        <v>9033715.2770022247</v>
      </c>
    </row>
    <row r="42" spans="1:11" ht="12.8" customHeight="1" x14ac:dyDescent="0.25">
      <c r="H42" s="730" t="s">
        <v>290</v>
      </c>
    </row>
  </sheetData>
  <phoneticPr fontId="30" type="noConversion"/>
  <pageMargins left="0.7" right="0.7" top="0.75" bottom="0.75" header="0.3" footer="0.3"/>
  <ignoredErrors>
    <ignoredError sqref="J11:L12" formulaRange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F6117-D71D-4ABB-8308-7377BBCB4BA7}">
  <sheetPr codeName="Sheet19"/>
  <dimension ref="A1:O40"/>
  <sheetViews>
    <sheetView zoomScaleNormal="100" workbookViewId="0">
      <pane xSplit="2" ySplit="5" topLeftCell="C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12.7109375" defaultRowHeight="13.1" x14ac:dyDescent="0.25"/>
  <cols>
    <col min="1" max="1" width="30.7109375" style="22" customWidth="1"/>
    <col min="2" max="2" width="12.7109375" style="22"/>
    <col min="3" max="16384" width="12.7109375" style="17"/>
  </cols>
  <sheetData>
    <row r="1" spans="1:15" x14ac:dyDescent="0.25">
      <c r="A1" s="438" t="str">
        <f>Company_Filing</f>
        <v>2025 MEEIA Filing</v>
      </c>
      <c r="B1" s="272"/>
      <c r="C1" s="760" t="s">
        <v>245</v>
      </c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389" t="s">
        <v>222</v>
      </c>
    </row>
    <row r="2" spans="1:15" x14ac:dyDescent="0.25">
      <c r="A2" s="439" t="s">
        <v>286</v>
      </c>
      <c r="B2" s="273"/>
      <c r="C2" s="215">
        <v>45658</v>
      </c>
      <c r="D2" s="215">
        <v>45689</v>
      </c>
      <c r="E2" s="215">
        <v>45717</v>
      </c>
      <c r="F2" s="215">
        <v>45748</v>
      </c>
      <c r="G2" s="215">
        <v>45778</v>
      </c>
      <c r="H2" s="215">
        <v>45809</v>
      </c>
      <c r="I2" s="215">
        <v>45839</v>
      </c>
      <c r="J2" s="215">
        <v>45870</v>
      </c>
      <c r="K2" s="215">
        <v>45901</v>
      </c>
      <c r="L2" s="215">
        <v>45931</v>
      </c>
      <c r="M2" s="215">
        <v>45962</v>
      </c>
      <c r="N2" s="215">
        <v>45992</v>
      </c>
      <c r="O2" s="402" t="s">
        <v>246</v>
      </c>
    </row>
    <row r="3" spans="1:15" x14ac:dyDescent="0.25">
      <c r="A3" s="440"/>
    </row>
    <row r="4" spans="1:15" x14ac:dyDescent="0.25">
      <c r="A4" s="353" t="s">
        <v>230</v>
      </c>
      <c r="B4" s="271" t="s">
        <v>69</v>
      </c>
    </row>
    <row r="6" spans="1:15" x14ac:dyDescent="0.25">
      <c r="A6" s="18">
        <v>45658</v>
      </c>
      <c r="B6" s="403">
        <f>SUM('1. 2025 Costs &amp; kWh Savings'!$J$22:$J$23)/12</f>
        <v>248197.76891236796</v>
      </c>
      <c r="C6" s="375">
        <f>$B6*(SUMPRODUCT(C$30:C$32,$C$26:$C$28))/2</f>
        <v>13595.405088828324</v>
      </c>
      <c r="D6" s="376">
        <f t="shared" ref="D6:N11" si="0">$B6*(SUMPRODUCT(D$30:D$32,$C$26:$C$28))</f>
        <v>22739.25909332887</v>
      </c>
      <c r="E6" s="376">
        <f t="shared" si="0"/>
        <v>17121.054396228512</v>
      </c>
      <c r="F6" s="376">
        <f t="shared" si="0"/>
        <v>9125.3632707165762</v>
      </c>
      <c r="G6" s="376">
        <f t="shared" si="0"/>
        <v>10244.859307395811</v>
      </c>
      <c r="H6" s="376">
        <f t="shared" si="0"/>
        <v>26226.189548778733</v>
      </c>
      <c r="I6" s="376">
        <f t="shared" si="0"/>
        <v>35341.749007623272</v>
      </c>
      <c r="J6" s="376">
        <f t="shared" si="0"/>
        <v>33602.875438623218</v>
      </c>
      <c r="K6" s="376">
        <f t="shared" si="0"/>
        <v>16804.726339749697</v>
      </c>
      <c r="L6" s="376">
        <f t="shared" si="0"/>
        <v>9113.0774811554147</v>
      </c>
      <c r="M6" s="376">
        <f t="shared" si="0"/>
        <v>14562.135398741997</v>
      </c>
      <c r="N6" s="377">
        <f t="shared" si="0"/>
        <v>26125.669452369217</v>
      </c>
      <c r="O6" s="391">
        <f t="shared" ref="O6:O17" si="1">SUM(C6:N6)</f>
        <v>234602.36382353964</v>
      </c>
    </row>
    <row r="7" spans="1:15" x14ac:dyDescent="0.25">
      <c r="A7" s="18">
        <v>45689</v>
      </c>
      <c r="B7" s="404">
        <f>SUM('1. 2025 Costs &amp; kWh Savings'!$J$22:$J$23)/12</f>
        <v>248197.76891236796</v>
      </c>
      <c r="C7" s="378"/>
      <c r="D7" s="379">
        <f>$B7*(SUMPRODUCT(D$30:D$32,$C$26:$C$28))/2</f>
        <v>11369.629546664435</v>
      </c>
      <c r="E7" s="379">
        <f t="shared" si="0"/>
        <v>17121.054396228512</v>
      </c>
      <c r="F7" s="379">
        <f t="shared" si="0"/>
        <v>9125.3632707165762</v>
      </c>
      <c r="G7" s="379">
        <f t="shared" si="0"/>
        <v>10244.859307395811</v>
      </c>
      <c r="H7" s="379">
        <f t="shared" si="0"/>
        <v>26226.189548778733</v>
      </c>
      <c r="I7" s="379">
        <f t="shared" si="0"/>
        <v>35341.749007623272</v>
      </c>
      <c r="J7" s="379">
        <f t="shared" si="0"/>
        <v>33602.875438623218</v>
      </c>
      <c r="K7" s="379">
        <f t="shared" si="0"/>
        <v>16804.726339749697</v>
      </c>
      <c r="L7" s="379">
        <f t="shared" si="0"/>
        <v>9113.0774811554147</v>
      </c>
      <c r="M7" s="379">
        <f t="shared" si="0"/>
        <v>14562.135398741997</v>
      </c>
      <c r="N7" s="380">
        <f t="shared" si="0"/>
        <v>26125.669452369217</v>
      </c>
      <c r="O7" s="392">
        <f t="shared" si="1"/>
        <v>209637.32918804686</v>
      </c>
    </row>
    <row r="8" spans="1:15" x14ac:dyDescent="0.25">
      <c r="A8" s="18">
        <v>45717</v>
      </c>
      <c r="B8" s="404">
        <f>SUM('1. 2025 Costs &amp; kWh Savings'!$J$22:$J$23)/12</f>
        <v>248197.76891236796</v>
      </c>
      <c r="C8" s="378"/>
      <c r="D8" s="379"/>
      <c r="E8" s="379">
        <f>$B8*(SUMPRODUCT(E$30:E$32,$C$26:$C$28))/2</f>
        <v>8560.527198114256</v>
      </c>
      <c r="F8" s="379">
        <f t="shared" si="0"/>
        <v>9125.3632707165762</v>
      </c>
      <c r="G8" s="379">
        <f t="shared" si="0"/>
        <v>10244.859307395811</v>
      </c>
      <c r="H8" s="379">
        <f t="shared" si="0"/>
        <v>26226.189548778733</v>
      </c>
      <c r="I8" s="379">
        <f t="shared" si="0"/>
        <v>35341.749007623272</v>
      </c>
      <c r="J8" s="379">
        <f t="shared" si="0"/>
        <v>33602.875438623218</v>
      </c>
      <c r="K8" s="379">
        <f t="shared" si="0"/>
        <v>16804.726339749697</v>
      </c>
      <c r="L8" s="379">
        <f t="shared" si="0"/>
        <v>9113.0774811554147</v>
      </c>
      <c r="M8" s="379">
        <f t="shared" si="0"/>
        <v>14562.135398741997</v>
      </c>
      <c r="N8" s="380">
        <f t="shared" si="0"/>
        <v>26125.669452369217</v>
      </c>
      <c r="O8" s="392">
        <f t="shared" si="1"/>
        <v>189707.17244326818</v>
      </c>
    </row>
    <row r="9" spans="1:15" x14ac:dyDescent="0.25">
      <c r="A9" s="18">
        <v>45748</v>
      </c>
      <c r="B9" s="404">
        <f>SUM('1. 2025 Costs &amp; kWh Savings'!$J$22:$J$23)/12</f>
        <v>248197.76891236796</v>
      </c>
      <c r="C9" s="378"/>
      <c r="D9" s="379"/>
      <c r="E9" s="379"/>
      <c r="F9" s="379">
        <f>$B9*(SUMPRODUCT(F$30:F$32,$C$26:$C$28))/2</f>
        <v>4562.6816353582881</v>
      </c>
      <c r="G9" s="379">
        <f t="shared" si="0"/>
        <v>10244.859307395811</v>
      </c>
      <c r="H9" s="379">
        <f t="shared" si="0"/>
        <v>26226.189548778733</v>
      </c>
      <c r="I9" s="379">
        <f t="shared" si="0"/>
        <v>35341.749007623272</v>
      </c>
      <c r="J9" s="379">
        <f t="shared" si="0"/>
        <v>33602.875438623218</v>
      </c>
      <c r="K9" s="379">
        <f t="shared" si="0"/>
        <v>16804.726339749697</v>
      </c>
      <c r="L9" s="379">
        <f t="shared" si="0"/>
        <v>9113.0774811554147</v>
      </c>
      <c r="M9" s="379">
        <f t="shared" si="0"/>
        <v>14562.135398741997</v>
      </c>
      <c r="N9" s="380">
        <f t="shared" si="0"/>
        <v>26125.669452369217</v>
      </c>
      <c r="O9" s="392">
        <f t="shared" si="1"/>
        <v>176583.96360979561</v>
      </c>
    </row>
    <row r="10" spans="1:15" x14ac:dyDescent="0.25">
      <c r="A10" s="18">
        <v>45778</v>
      </c>
      <c r="B10" s="404">
        <f>SUM('1. 2025 Costs &amp; kWh Savings'!$J$22:$J$23)/12</f>
        <v>248197.76891236796</v>
      </c>
      <c r="C10" s="378"/>
      <c r="D10" s="379"/>
      <c r="E10" s="379"/>
      <c r="F10" s="379"/>
      <c r="G10" s="379">
        <f>$B10*(SUMPRODUCT(G$30:G$32,$C$26:$C$28))/2</f>
        <v>5122.4296536979055</v>
      </c>
      <c r="H10" s="379">
        <f t="shared" si="0"/>
        <v>26226.189548778733</v>
      </c>
      <c r="I10" s="379">
        <f t="shared" si="0"/>
        <v>35341.749007623272</v>
      </c>
      <c r="J10" s="379">
        <f t="shared" si="0"/>
        <v>33602.875438623218</v>
      </c>
      <c r="K10" s="379">
        <f t="shared" si="0"/>
        <v>16804.726339749697</v>
      </c>
      <c r="L10" s="379">
        <f t="shared" si="0"/>
        <v>9113.0774811554147</v>
      </c>
      <c r="M10" s="379">
        <f t="shared" si="0"/>
        <v>14562.135398741997</v>
      </c>
      <c r="N10" s="380">
        <f t="shared" si="0"/>
        <v>26125.669452369217</v>
      </c>
      <c r="O10" s="392">
        <f t="shared" si="1"/>
        <v>166898.85232073945</v>
      </c>
    </row>
    <row r="11" spans="1:15" x14ac:dyDescent="0.25">
      <c r="A11" s="18">
        <v>45809</v>
      </c>
      <c r="B11" s="404">
        <f>SUM('1. 2025 Costs &amp; kWh Savings'!$J$22:$J$23)/12</f>
        <v>248197.76891236796</v>
      </c>
      <c r="C11" s="378"/>
      <c r="D11" s="379"/>
      <c r="E11" s="379"/>
      <c r="F11" s="379"/>
      <c r="G11" s="379"/>
      <c r="H11" s="379">
        <f>$B11*(SUMPRODUCT(H$30:H$32,$C$26:$C$28))/2</f>
        <v>13113.094774389367</v>
      </c>
      <c r="I11" s="379">
        <f t="shared" si="0"/>
        <v>35341.749007623272</v>
      </c>
      <c r="J11" s="379">
        <f t="shared" si="0"/>
        <v>33602.875438623218</v>
      </c>
      <c r="K11" s="379">
        <f t="shared" si="0"/>
        <v>16804.726339749697</v>
      </c>
      <c r="L11" s="379">
        <f t="shared" si="0"/>
        <v>9113.0774811554147</v>
      </c>
      <c r="M11" s="379">
        <f t="shared" si="0"/>
        <v>14562.135398741997</v>
      </c>
      <c r="N11" s="380">
        <f t="shared" si="0"/>
        <v>26125.669452369217</v>
      </c>
      <c r="O11" s="392">
        <f t="shared" si="1"/>
        <v>148663.32789265219</v>
      </c>
    </row>
    <row r="12" spans="1:15" x14ac:dyDescent="0.25">
      <c r="A12" s="18">
        <v>45839</v>
      </c>
      <c r="B12" s="404">
        <f>SUM('1. 2025 Costs &amp; kWh Savings'!$J$22:$J$23)/12</f>
        <v>248197.76891236796</v>
      </c>
      <c r="C12" s="378"/>
      <c r="D12" s="379"/>
      <c r="E12" s="379"/>
      <c r="F12" s="379"/>
      <c r="G12" s="379"/>
      <c r="H12" s="379"/>
      <c r="I12" s="379">
        <f>$B12*(SUMPRODUCT(I$30:I$32,$C$26:$C$28))/2</f>
        <v>17670.874503811636</v>
      </c>
      <c r="J12" s="379">
        <f>$B12*(SUMPRODUCT(J$30:J$32,$C$26:$C$28))</f>
        <v>33602.875438623218</v>
      </c>
      <c r="K12" s="379">
        <f>$B12*(SUMPRODUCT(K$30:K$32,$C$26:$C$28))</f>
        <v>16804.726339749697</v>
      </c>
      <c r="L12" s="379">
        <f>$B12*(SUMPRODUCT(L$30:L$32,$C$26:$C$28))</f>
        <v>9113.0774811554147</v>
      </c>
      <c r="M12" s="379">
        <f>$B12*(SUMPRODUCT(M$30:M$32,$C$26:$C$28))</f>
        <v>14562.135398741997</v>
      </c>
      <c r="N12" s="380">
        <f>$B12*(SUMPRODUCT(N$30:N$32,$C$26:$C$28))</f>
        <v>26125.669452369217</v>
      </c>
      <c r="O12" s="392">
        <f t="shared" si="1"/>
        <v>117879.35861445118</v>
      </c>
    </row>
    <row r="13" spans="1:15" x14ac:dyDescent="0.25">
      <c r="A13" s="18">
        <v>45870</v>
      </c>
      <c r="B13" s="404">
        <f>SUM('1. 2025 Costs &amp; kWh Savings'!$J$22:$J$23)/12</f>
        <v>248197.76891236796</v>
      </c>
      <c r="C13" s="378"/>
      <c r="D13" s="379"/>
      <c r="E13" s="379"/>
      <c r="F13" s="379"/>
      <c r="G13" s="379"/>
      <c r="H13" s="379"/>
      <c r="I13" s="379"/>
      <c r="J13" s="379">
        <f>$B13*(SUMPRODUCT(J$30:J$32,$C$26:$C$28))/2</f>
        <v>16801.437719311609</v>
      </c>
      <c r="K13" s="379">
        <f>$B13*(SUMPRODUCT(K$30:K$32,$C$26:$C$28))</f>
        <v>16804.726339749697</v>
      </c>
      <c r="L13" s="379">
        <f>$B13*(SUMPRODUCT(L$30:L$32,$C$26:$C$28))</f>
        <v>9113.0774811554147</v>
      </c>
      <c r="M13" s="379">
        <f>$B13*(SUMPRODUCT(M$30:M$32,$C$26:$C$28))</f>
        <v>14562.135398741997</v>
      </c>
      <c r="N13" s="380">
        <f>$B13*(SUMPRODUCT(N$30:N$32,$C$26:$C$28))</f>
        <v>26125.669452369217</v>
      </c>
      <c r="O13" s="392">
        <f t="shared" si="1"/>
        <v>83407.046391327938</v>
      </c>
    </row>
    <row r="14" spans="1:15" x14ac:dyDescent="0.25">
      <c r="A14" s="18">
        <v>45901</v>
      </c>
      <c r="B14" s="404">
        <f>SUM('1. 2025 Costs &amp; kWh Savings'!$J$22:$J$23)/12</f>
        <v>248197.76891236796</v>
      </c>
      <c r="C14" s="378"/>
      <c r="D14" s="379"/>
      <c r="E14" s="379"/>
      <c r="F14" s="379"/>
      <c r="G14" s="379"/>
      <c r="H14" s="379"/>
      <c r="I14" s="379"/>
      <c r="J14" s="379"/>
      <c r="K14" s="379">
        <f>$B14*(SUMPRODUCT(K$30:K$32,$C$26:$C$28))/2</f>
        <v>8402.3631698748486</v>
      </c>
      <c r="L14" s="379">
        <f>$B14*(SUMPRODUCT(L$30:L$32,$C$26:$C$28))</f>
        <v>9113.0774811554147</v>
      </c>
      <c r="M14" s="379">
        <f>$B14*(SUMPRODUCT(M$30:M$32,$C$26:$C$28))</f>
        <v>14562.135398741997</v>
      </c>
      <c r="N14" s="380">
        <f>$B14*(SUMPRODUCT(N$30:N$32,$C$26:$C$28))</f>
        <v>26125.669452369217</v>
      </c>
      <c r="O14" s="392">
        <f t="shared" si="1"/>
        <v>58203.245502141479</v>
      </c>
    </row>
    <row r="15" spans="1:15" x14ac:dyDescent="0.25">
      <c r="A15" s="18">
        <v>45931</v>
      </c>
      <c r="B15" s="404">
        <f>SUM('1. 2025 Costs &amp; kWh Savings'!$J$22:$J$23)/12</f>
        <v>248197.76891236796</v>
      </c>
      <c r="C15" s="378"/>
      <c r="D15" s="379"/>
      <c r="E15" s="379"/>
      <c r="F15" s="379"/>
      <c r="G15" s="379"/>
      <c r="H15" s="379"/>
      <c r="I15" s="379"/>
      <c r="J15" s="379"/>
      <c r="K15" s="379"/>
      <c r="L15" s="379">
        <f>$B15*(SUMPRODUCT(L$30:L$32,$C$26:$C$28))/2</f>
        <v>4556.5387405777074</v>
      </c>
      <c r="M15" s="379">
        <f>$B15*(SUMPRODUCT(M$30:M$32,$C$26:$C$28))</f>
        <v>14562.135398741997</v>
      </c>
      <c r="N15" s="380">
        <f>$B15*(SUMPRODUCT(N$30:N$32,$C$26:$C$28))</f>
        <v>26125.669452369217</v>
      </c>
      <c r="O15" s="392">
        <f t="shared" si="1"/>
        <v>45244.343591688921</v>
      </c>
    </row>
    <row r="16" spans="1:15" x14ac:dyDescent="0.25">
      <c r="A16" s="18">
        <v>45962</v>
      </c>
      <c r="B16" s="404">
        <f>SUM('1. 2025 Costs &amp; kWh Savings'!$J$22:$J$23)/12</f>
        <v>248197.76891236796</v>
      </c>
      <c r="C16" s="378"/>
      <c r="D16" s="379"/>
      <c r="E16" s="379"/>
      <c r="F16" s="379"/>
      <c r="G16" s="379"/>
      <c r="H16" s="379"/>
      <c r="I16" s="379"/>
      <c r="J16" s="379"/>
      <c r="K16" s="379"/>
      <c r="L16" s="379"/>
      <c r="M16" s="379">
        <f>$B16*(SUMPRODUCT(M$30:M$32,$C$26:$C$28))/2</f>
        <v>7281.0676993709985</v>
      </c>
      <c r="N16" s="380">
        <f>$B16*(SUMPRODUCT(N$30:N$32,$C$26:$C$28))</f>
        <v>26125.669452369217</v>
      </c>
      <c r="O16" s="392">
        <f t="shared" si="1"/>
        <v>33406.737151740213</v>
      </c>
    </row>
    <row r="17" spans="1:15" x14ac:dyDescent="0.25">
      <c r="A17" s="18">
        <v>45992</v>
      </c>
      <c r="B17" s="405">
        <f>SUM('1. 2025 Costs &amp; kWh Savings'!$J$22:$J$23)/12</f>
        <v>248197.76891236796</v>
      </c>
      <c r="C17" s="378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80">
        <f>$B17*(SUMPRODUCT(N$30:N$32,$C$26:$C$28))/2</f>
        <v>13062.834726184608</v>
      </c>
      <c r="O17" s="392">
        <f t="shared" si="1"/>
        <v>13062.834726184608</v>
      </c>
    </row>
    <row r="18" spans="1:15" x14ac:dyDescent="0.25">
      <c r="A18" s="18"/>
      <c r="B18" s="20"/>
      <c r="C18" s="378"/>
      <c r="D18" s="379"/>
      <c r="E18" s="379"/>
      <c r="F18" s="379"/>
      <c r="G18" s="379"/>
      <c r="H18" s="379"/>
      <c r="I18" s="379"/>
      <c r="J18" s="379"/>
      <c r="K18" s="379"/>
      <c r="L18" s="379"/>
      <c r="M18" s="379"/>
      <c r="N18" s="380"/>
      <c r="O18" s="392"/>
    </row>
    <row r="19" spans="1:15" x14ac:dyDescent="0.25">
      <c r="A19" s="440" t="s">
        <v>35</v>
      </c>
      <c r="B19" s="20">
        <f>SUM(B6:B17)</f>
        <v>2978373.2269484154</v>
      </c>
      <c r="C19" s="425">
        <f t="shared" ref="C19:O19" si="2">SUM(C6:C17)</f>
        <v>13595.405088828324</v>
      </c>
      <c r="D19" s="426">
        <f t="shared" si="2"/>
        <v>34108.888639993304</v>
      </c>
      <c r="E19" s="426">
        <f t="shared" si="2"/>
        <v>42802.635990571282</v>
      </c>
      <c r="F19" s="426">
        <f t="shared" si="2"/>
        <v>31938.771447508017</v>
      </c>
      <c r="G19" s="426">
        <f t="shared" si="2"/>
        <v>46101.866883281153</v>
      </c>
      <c r="H19" s="426">
        <f t="shared" si="2"/>
        <v>144244.04251828304</v>
      </c>
      <c r="I19" s="426">
        <f t="shared" si="2"/>
        <v>229721.36854955126</v>
      </c>
      <c r="J19" s="426">
        <f t="shared" si="2"/>
        <v>252021.56578967412</v>
      </c>
      <c r="K19" s="426">
        <f t="shared" si="2"/>
        <v>142840.17388787243</v>
      </c>
      <c r="L19" s="426">
        <f t="shared" si="2"/>
        <v>86574.236070976447</v>
      </c>
      <c r="M19" s="426">
        <f t="shared" si="2"/>
        <v>152902.42168679097</v>
      </c>
      <c r="N19" s="427">
        <f t="shared" si="2"/>
        <v>300445.19870224601</v>
      </c>
      <c r="O19" s="397">
        <f t="shared" si="2"/>
        <v>1477296.5752555761</v>
      </c>
    </row>
    <row r="20" spans="1:15" x14ac:dyDescent="0.25">
      <c r="A20" s="440" t="s">
        <v>38</v>
      </c>
      <c r="B20" s="733">
        <v>0.82499999999999996</v>
      </c>
      <c r="C20" s="381"/>
      <c r="D20" s="382"/>
      <c r="E20" s="382"/>
      <c r="F20" s="382"/>
      <c r="G20" s="382"/>
      <c r="H20" s="382"/>
      <c r="I20" s="382"/>
      <c r="J20" s="382"/>
      <c r="K20" s="382"/>
      <c r="L20" s="382"/>
      <c r="M20" s="382"/>
      <c r="N20" s="383"/>
      <c r="O20" s="393"/>
    </row>
    <row r="21" spans="1:15" x14ac:dyDescent="0.25">
      <c r="A21" s="440" t="s">
        <v>36</v>
      </c>
      <c r="B21" s="20"/>
      <c r="C21" s="384">
        <f>$F$38</f>
        <v>0.10241358634724779</v>
      </c>
      <c r="D21" s="374">
        <f t="shared" ref="D21:G21" si="3">$F$38</f>
        <v>0.10241358634724779</v>
      </c>
      <c r="E21" s="374">
        <f t="shared" si="3"/>
        <v>0.10241358634724779</v>
      </c>
      <c r="F21" s="374">
        <f t="shared" si="3"/>
        <v>0.10241358634724779</v>
      </c>
      <c r="G21" s="374">
        <f t="shared" si="3"/>
        <v>0.10241358634724779</v>
      </c>
      <c r="H21" s="374">
        <f>$F$37*0.5+$F$38*0.5</f>
        <v>0.11431358634724779</v>
      </c>
      <c r="I21" s="374">
        <f>$F$37</f>
        <v>0.1262135863472478</v>
      </c>
      <c r="J21" s="374">
        <f t="shared" ref="J21:K21" si="4">$F$37</f>
        <v>0.1262135863472478</v>
      </c>
      <c r="K21" s="374">
        <f t="shared" si="4"/>
        <v>0.1262135863472478</v>
      </c>
      <c r="L21" s="374">
        <f>$F$37*0.5+$F$38*0.5</f>
        <v>0.11431358634724779</v>
      </c>
      <c r="M21" s="374">
        <f>$F$38</f>
        <v>0.10241358634724779</v>
      </c>
      <c r="N21" s="385">
        <f t="shared" ref="N21" si="5">$F$38</f>
        <v>0.10241358634724779</v>
      </c>
      <c r="O21" s="395"/>
    </row>
    <row r="22" spans="1:15" x14ac:dyDescent="0.25">
      <c r="A22" s="441" t="s">
        <v>37</v>
      </c>
      <c r="B22" s="21"/>
      <c r="C22" s="386">
        <f>C19*$B$20*C21</f>
        <v>1148.6922092171885</v>
      </c>
      <c r="D22" s="387">
        <f t="shared" ref="D22:N22" si="6">D19*$B$20*D21</f>
        <v>2881.9012298510056</v>
      </c>
      <c r="E22" s="387">
        <f t="shared" si="6"/>
        <v>3616.4464519509047</v>
      </c>
      <c r="F22" s="387">
        <f t="shared" si="6"/>
        <v>2698.5454051581091</v>
      </c>
      <c r="G22" s="387">
        <f t="shared" si="6"/>
        <v>3895.2024579766958</v>
      </c>
      <c r="H22" s="387">
        <f t="shared" si="6"/>
        <v>13603.469392829109</v>
      </c>
      <c r="I22" s="387">
        <f t="shared" si="6"/>
        <v>23920.015172820298</v>
      </c>
      <c r="J22" s="387">
        <f t="shared" si="6"/>
        <v>26242.050165509991</v>
      </c>
      <c r="K22" s="387">
        <f t="shared" si="6"/>
        <v>14873.405762203623</v>
      </c>
      <c r="L22" s="387">
        <f t="shared" si="6"/>
        <v>8164.7044137009289</v>
      </c>
      <c r="M22" s="387">
        <f t="shared" si="6"/>
        <v>12918.910427051853</v>
      </c>
      <c r="N22" s="388">
        <f t="shared" si="6"/>
        <v>25384.977997424503</v>
      </c>
      <c r="O22" s="429">
        <f>SUM(C22:N22)</f>
        <v>139348.32108569419</v>
      </c>
    </row>
    <row r="23" spans="1:15" x14ac:dyDescent="0.25">
      <c r="A23" s="440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</row>
    <row r="24" spans="1:15" x14ac:dyDescent="0.25">
      <c r="A24" s="440"/>
      <c r="O24" s="428">
        <f>+O22/(O19*$B$20)</f>
        <v>0.11433523822542278</v>
      </c>
    </row>
    <row r="25" spans="1:15" x14ac:dyDescent="0.25">
      <c r="A25" s="442" t="s">
        <v>39</v>
      </c>
      <c r="B25" s="276"/>
      <c r="C25" s="277"/>
      <c r="I25" s="23"/>
    </row>
    <row r="26" spans="1:15" x14ac:dyDescent="0.25">
      <c r="A26" s="356" t="s">
        <v>298</v>
      </c>
      <c r="B26" s="262"/>
      <c r="C26" s="263">
        <v>0</v>
      </c>
      <c r="I26" s="23"/>
    </row>
    <row r="27" spans="1:15" x14ac:dyDescent="0.25">
      <c r="A27" s="357" t="s">
        <v>299</v>
      </c>
      <c r="B27" s="261"/>
      <c r="C27" s="256">
        <v>0.5</v>
      </c>
      <c r="I27" s="23"/>
    </row>
    <row r="28" spans="1:15" x14ac:dyDescent="0.25">
      <c r="A28" s="358" t="s">
        <v>300</v>
      </c>
      <c r="B28" s="257"/>
      <c r="C28" s="258">
        <v>0.5</v>
      </c>
    </row>
    <row r="29" spans="1:15" x14ac:dyDescent="0.25">
      <c r="A29" s="440"/>
      <c r="C29" s="27"/>
    </row>
    <row r="30" spans="1:15" x14ac:dyDescent="0.25">
      <c r="A30" s="440" t="s">
        <v>33</v>
      </c>
      <c r="C30" s="223">
        <f t="array" ref="C30:N32">TRANSPOSE('8. Load Shapes'!$B$4:$D$15)</f>
        <v>0.10118199999999999</v>
      </c>
      <c r="D30" s="224">
        <v>8.8441000000000006E-2</v>
      </c>
      <c r="E30" s="224">
        <v>9.2879000000000003E-2</v>
      </c>
      <c r="F30" s="224">
        <v>8.4644999999999998E-2</v>
      </c>
      <c r="G30" s="224">
        <v>7.9393000000000005E-2</v>
      </c>
      <c r="H30" s="224">
        <v>6.8507999999999999E-2</v>
      </c>
      <c r="I30" s="225">
        <v>6.7863999999999994E-2</v>
      </c>
      <c r="J30" s="225">
        <v>7.0565000000000003E-2</v>
      </c>
      <c r="K30" s="225">
        <v>7.3791999999999996E-2</v>
      </c>
      <c r="L30" s="225">
        <v>8.4539000000000003E-2</v>
      </c>
      <c r="M30" s="225">
        <v>8.9880000000000002E-2</v>
      </c>
      <c r="N30" s="226">
        <v>9.8311999999999997E-2</v>
      </c>
      <c r="O30" s="412"/>
    </row>
    <row r="31" spans="1:15" x14ac:dyDescent="0.25">
      <c r="A31" s="440" t="s">
        <v>40</v>
      </c>
      <c r="C31" s="227">
        <v>0.21790599999999999</v>
      </c>
      <c r="D31" s="228">
        <v>0.18213499999999999</v>
      </c>
      <c r="E31" s="228">
        <v>0.13483300000000001</v>
      </c>
      <c r="F31" s="228">
        <v>5.8486000000000003E-2</v>
      </c>
      <c r="G31" s="228">
        <v>1.7144E-2</v>
      </c>
      <c r="H31" s="228">
        <v>5.1000000000000004E-4</v>
      </c>
      <c r="I31" s="229">
        <v>6.0000000000000002E-6</v>
      </c>
      <c r="J31" s="229">
        <v>9.0000000000000002E-6</v>
      </c>
      <c r="K31" s="229">
        <v>8.8090000000000009E-3</v>
      </c>
      <c r="L31" s="229">
        <v>5.4961999999999997E-2</v>
      </c>
      <c r="M31" s="229">
        <v>0.115899</v>
      </c>
      <c r="N31" s="230">
        <v>0.20930099999999999</v>
      </c>
      <c r="O31" s="412"/>
    </row>
    <row r="32" spans="1:15" x14ac:dyDescent="0.25">
      <c r="A32" s="440" t="s">
        <v>41</v>
      </c>
      <c r="C32" s="231">
        <v>1.1999999999999999E-3</v>
      </c>
      <c r="D32" s="232">
        <v>1.1000000000000001E-3</v>
      </c>
      <c r="E32" s="232">
        <v>3.13E-3</v>
      </c>
      <c r="F32" s="232">
        <v>1.5047E-2</v>
      </c>
      <c r="G32" s="232">
        <v>6.5409999999999996E-2</v>
      </c>
      <c r="H32" s="232">
        <v>0.21082300000000001</v>
      </c>
      <c r="I32" s="233">
        <v>0.28478100000000001</v>
      </c>
      <c r="J32" s="233">
        <v>0.27076600000000001</v>
      </c>
      <c r="K32" s="233">
        <v>0.126605</v>
      </c>
      <c r="L32" s="233">
        <v>1.8471999999999999E-2</v>
      </c>
      <c r="M32" s="233">
        <v>1.444E-3</v>
      </c>
      <c r="N32" s="234">
        <v>1.222E-3</v>
      </c>
      <c r="O32" s="412"/>
    </row>
    <row r="33" spans="1:9" x14ac:dyDescent="0.25">
      <c r="A33" s="440"/>
    </row>
    <row r="34" spans="1:9" x14ac:dyDescent="0.25">
      <c r="A34" s="440"/>
      <c r="C34" s="24"/>
      <c r="D34" s="24"/>
      <c r="E34" s="24"/>
      <c r="F34" s="24"/>
      <c r="G34" s="24"/>
      <c r="H34" s="24"/>
    </row>
    <row r="35" spans="1:9" x14ac:dyDescent="0.25">
      <c r="A35" s="442" t="s">
        <v>150</v>
      </c>
      <c r="B35" s="761" t="s">
        <v>247</v>
      </c>
      <c r="C35" s="761"/>
      <c r="D35" s="761"/>
      <c r="E35" s="761"/>
      <c r="F35" s="761"/>
      <c r="G35" s="762"/>
      <c r="I35" s="23"/>
    </row>
    <row r="36" spans="1:9" x14ac:dyDescent="0.25">
      <c r="A36" s="439"/>
      <c r="B36" s="248" t="s">
        <v>147</v>
      </c>
      <c r="C36" s="248" t="s">
        <v>42</v>
      </c>
      <c r="D36" s="248" t="s">
        <v>43</v>
      </c>
      <c r="E36" s="248" t="s">
        <v>132</v>
      </c>
      <c r="F36" s="157" t="s">
        <v>44</v>
      </c>
      <c r="G36" s="158"/>
    </row>
    <row r="37" spans="1:9" x14ac:dyDescent="0.25">
      <c r="A37" s="443" t="s">
        <v>45</v>
      </c>
      <c r="B37" s="265">
        <v>0.14030999999999999</v>
      </c>
      <c r="C37" s="254">
        <v>0.14030999999999999</v>
      </c>
      <c r="D37" s="254">
        <f>'2. TD Res Lighting install 2022'!N37</f>
        <v>8.6999999999999994E-3</v>
      </c>
      <c r="E37" s="255">
        <v>0.02</v>
      </c>
      <c r="F37" s="28">
        <f>SUMPRODUCT(B37:C37,B40:C40)-D37-E37*$E$40</f>
        <v>0.1262135863472478</v>
      </c>
      <c r="G37" s="60"/>
    </row>
    <row r="38" spans="1:9" x14ac:dyDescent="0.25">
      <c r="A38" s="443" t="s">
        <v>46</v>
      </c>
      <c r="B38" s="266">
        <v>0.14030999999999999</v>
      </c>
      <c r="C38" s="267">
        <v>0.11651</v>
      </c>
      <c r="D38" s="274">
        <f>+D37</f>
        <v>8.6999999999999994E-3</v>
      </c>
      <c r="E38" s="275">
        <f>+E37</f>
        <v>0.02</v>
      </c>
      <c r="F38" s="28">
        <f>SUMPRODUCT(B38:C38,B40:C40)-D38-E38*$E$40</f>
        <v>0.10241358634724779</v>
      </c>
      <c r="G38" s="60"/>
    </row>
    <row r="39" spans="1:9" x14ac:dyDescent="0.25">
      <c r="A39" s="26"/>
      <c r="B39" s="17"/>
    </row>
    <row r="40" spans="1:9" x14ac:dyDescent="0.25">
      <c r="B40" s="279">
        <f t="array" ref="B40:C40">TRANSPOSE('Step Adjustments'!C12:C13)</f>
        <v>0</v>
      </c>
      <c r="C40" s="280">
        <v>1</v>
      </c>
      <c r="E40" s="253">
        <f>'2. TD Res Lighting install 2024'!E40</f>
        <v>0.26982068263761072</v>
      </c>
    </row>
  </sheetData>
  <mergeCells count="2">
    <mergeCell ref="C1:N1"/>
    <mergeCell ref="B35:G35"/>
  </mergeCell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385A7-7CF0-413A-B84D-E05AF9A46415}">
  <sheetPr codeName="Sheet20"/>
  <dimension ref="A1:O40"/>
  <sheetViews>
    <sheetView zoomScaleNormal="100" workbookViewId="0">
      <pane xSplit="2" ySplit="5" topLeftCell="C19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12.7109375" defaultRowHeight="13.1" x14ac:dyDescent="0.25"/>
  <cols>
    <col min="1" max="1" width="30.7109375" style="22" customWidth="1"/>
    <col min="2" max="2" width="12.7109375" style="22"/>
    <col min="3" max="16384" width="12.7109375" style="17"/>
  </cols>
  <sheetData>
    <row r="1" spans="1:15" x14ac:dyDescent="0.25">
      <c r="A1" s="168" t="str">
        <f>Company_Filing</f>
        <v>2025 MEEIA Filing</v>
      </c>
      <c r="B1" s="272"/>
      <c r="C1" s="760" t="s">
        <v>245</v>
      </c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389" t="s">
        <v>222</v>
      </c>
    </row>
    <row r="2" spans="1:15" x14ac:dyDescent="0.25">
      <c r="A2" s="87" t="s">
        <v>291</v>
      </c>
      <c r="B2" s="273"/>
      <c r="C2" s="215">
        <v>45658</v>
      </c>
      <c r="D2" s="215">
        <v>45689</v>
      </c>
      <c r="E2" s="215">
        <v>45717</v>
      </c>
      <c r="F2" s="215">
        <v>45748</v>
      </c>
      <c r="G2" s="215">
        <v>45778</v>
      </c>
      <c r="H2" s="215">
        <v>45809</v>
      </c>
      <c r="I2" s="215">
        <v>45839</v>
      </c>
      <c r="J2" s="215">
        <v>45870</v>
      </c>
      <c r="K2" s="215">
        <v>45901</v>
      </c>
      <c r="L2" s="215">
        <v>45931</v>
      </c>
      <c r="M2" s="215">
        <v>45962</v>
      </c>
      <c r="N2" s="215">
        <v>45992</v>
      </c>
      <c r="O2" s="402" t="s">
        <v>246</v>
      </c>
    </row>
    <row r="3" spans="1:15" x14ac:dyDescent="0.25">
      <c r="A3" s="88"/>
    </row>
    <row r="4" spans="1:15" x14ac:dyDescent="0.25">
      <c r="A4" s="353" t="s">
        <v>230</v>
      </c>
      <c r="B4" s="271" t="s">
        <v>69</v>
      </c>
    </row>
    <row r="6" spans="1:15" x14ac:dyDescent="0.25">
      <c r="A6" s="18">
        <v>45658</v>
      </c>
      <c r="B6" s="96">
        <f>'1. 2025 Costs &amp; kWh Savings'!$J$37/12</f>
        <v>173146.20947587598</v>
      </c>
      <c r="C6" s="376">
        <f>$B6*(SUMPRODUCT(C$30:C$32,$C$26:$C$28))/2</f>
        <v>9484.34334335532</v>
      </c>
      <c r="D6" s="376">
        <f t="shared" ref="D6:N11" si="0">$B6*(SUMPRODUCT(D$30:D$32,$C$26:$C$28))</f>
        <v>15863.222846656066</v>
      </c>
      <c r="E6" s="376">
        <f t="shared" si="0"/>
        <v>11943.88524896014</v>
      </c>
      <c r="F6" s="376">
        <f t="shared" si="0"/>
        <v>6365.9801106947943</v>
      </c>
      <c r="G6" s="376">
        <f t="shared" si="0"/>
        <v>7146.9560885357314</v>
      </c>
      <c r="H6" s="376">
        <f t="shared" si="0"/>
        <v>18295.753943582651</v>
      </c>
      <c r="I6" s="376">
        <f t="shared" si="0"/>
        <v>24654.894779003149</v>
      </c>
      <c r="J6" s="376">
        <f t="shared" si="0"/>
        <v>23441.832435415159</v>
      </c>
      <c r="K6" s="376">
        <f t="shared" si="0"/>
        <v>11723.210404983136</v>
      </c>
      <c r="L6" s="376">
        <f t="shared" si="0"/>
        <v>6357.4093733257378</v>
      </c>
      <c r="M6" s="376">
        <f t="shared" si="0"/>
        <v>10158.747829263857</v>
      </c>
      <c r="N6" s="377">
        <f t="shared" si="0"/>
        <v>18225.62972874492</v>
      </c>
      <c r="O6" s="391">
        <f t="shared" ref="O6:O17" si="1">SUM(C6:N6)</f>
        <v>163661.86613252066</v>
      </c>
    </row>
    <row r="7" spans="1:15" x14ac:dyDescent="0.25">
      <c r="A7" s="18">
        <v>45689</v>
      </c>
      <c r="B7" s="97">
        <f>'1. 2025 Costs &amp; kWh Savings'!$J$37/12</f>
        <v>173146.20947587598</v>
      </c>
      <c r="C7" s="379"/>
      <c r="D7" s="379">
        <f>$B7*(SUMPRODUCT(D$30:D$32,$C$26:$C$28))/2</f>
        <v>7931.6114233280332</v>
      </c>
      <c r="E7" s="379">
        <f t="shared" si="0"/>
        <v>11943.88524896014</v>
      </c>
      <c r="F7" s="379">
        <f t="shared" si="0"/>
        <v>6365.9801106947943</v>
      </c>
      <c r="G7" s="379">
        <f t="shared" si="0"/>
        <v>7146.9560885357314</v>
      </c>
      <c r="H7" s="379">
        <f t="shared" si="0"/>
        <v>18295.753943582651</v>
      </c>
      <c r="I7" s="379">
        <f t="shared" si="0"/>
        <v>24654.894779003149</v>
      </c>
      <c r="J7" s="379">
        <f t="shared" si="0"/>
        <v>23441.832435415159</v>
      </c>
      <c r="K7" s="379">
        <f t="shared" si="0"/>
        <v>11723.210404983136</v>
      </c>
      <c r="L7" s="379">
        <f t="shared" si="0"/>
        <v>6357.4093733257378</v>
      </c>
      <c r="M7" s="379">
        <f t="shared" si="0"/>
        <v>10158.747829263857</v>
      </c>
      <c r="N7" s="380">
        <f t="shared" si="0"/>
        <v>18225.62972874492</v>
      </c>
      <c r="O7" s="392">
        <f t="shared" si="1"/>
        <v>146245.9113658373</v>
      </c>
    </row>
    <row r="8" spans="1:15" x14ac:dyDescent="0.25">
      <c r="A8" s="18">
        <v>45717</v>
      </c>
      <c r="B8" s="97">
        <f>'1. 2025 Costs &amp; kWh Savings'!$J$37/12</f>
        <v>173146.20947587598</v>
      </c>
      <c r="C8" s="379"/>
      <c r="D8" s="379"/>
      <c r="E8" s="379">
        <f>$B8*(SUMPRODUCT(E$30:E$32,$C$26:$C$28))/2</f>
        <v>5971.9426244800698</v>
      </c>
      <c r="F8" s="379">
        <f t="shared" si="0"/>
        <v>6365.9801106947943</v>
      </c>
      <c r="G8" s="379">
        <f t="shared" si="0"/>
        <v>7146.9560885357314</v>
      </c>
      <c r="H8" s="379">
        <f t="shared" si="0"/>
        <v>18295.753943582651</v>
      </c>
      <c r="I8" s="379">
        <f t="shared" si="0"/>
        <v>24654.894779003149</v>
      </c>
      <c r="J8" s="379">
        <f t="shared" si="0"/>
        <v>23441.832435415159</v>
      </c>
      <c r="K8" s="379">
        <f t="shared" si="0"/>
        <v>11723.210404983136</v>
      </c>
      <c r="L8" s="379">
        <f t="shared" si="0"/>
        <v>6357.4093733257378</v>
      </c>
      <c r="M8" s="379">
        <f t="shared" si="0"/>
        <v>10158.747829263857</v>
      </c>
      <c r="N8" s="380">
        <f t="shared" si="0"/>
        <v>18225.62972874492</v>
      </c>
      <c r="O8" s="392">
        <f t="shared" si="1"/>
        <v>132342.35731802919</v>
      </c>
    </row>
    <row r="9" spans="1:15" x14ac:dyDescent="0.25">
      <c r="A9" s="18">
        <v>45748</v>
      </c>
      <c r="B9" s="97">
        <f>'1. 2025 Costs &amp; kWh Savings'!$J$37/12</f>
        <v>173146.20947587598</v>
      </c>
      <c r="C9" s="379"/>
      <c r="D9" s="379"/>
      <c r="E9" s="379"/>
      <c r="F9" s="379">
        <f>$B9*(SUMPRODUCT(F$30:F$32,$C$26:$C$28))/2</f>
        <v>3182.9900553473972</v>
      </c>
      <c r="G9" s="379">
        <f t="shared" si="0"/>
        <v>7146.9560885357314</v>
      </c>
      <c r="H9" s="379">
        <f t="shared" si="0"/>
        <v>18295.753943582651</v>
      </c>
      <c r="I9" s="379">
        <f t="shared" si="0"/>
        <v>24654.894779003149</v>
      </c>
      <c r="J9" s="379">
        <f t="shared" si="0"/>
        <v>23441.832435415159</v>
      </c>
      <c r="K9" s="379">
        <f t="shared" si="0"/>
        <v>11723.210404983136</v>
      </c>
      <c r="L9" s="379">
        <f t="shared" si="0"/>
        <v>6357.4093733257378</v>
      </c>
      <c r="M9" s="379">
        <f t="shared" si="0"/>
        <v>10158.747829263857</v>
      </c>
      <c r="N9" s="380">
        <f t="shared" si="0"/>
        <v>18225.62972874492</v>
      </c>
      <c r="O9" s="392">
        <f t="shared" si="1"/>
        <v>123187.42463820174</v>
      </c>
    </row>
    <row r="10" spans="1:15" x14ac:dyDescent="0.25">
      <c r="A10" s="18">
        <v>45778</v>
      </c>
      <c r="B10" s="97">
        <f>'1. 2025 Costs &amp; kWh Savings'!$J$37/12</f>
        <v>173146.20947587598</v>
      </c>
      <c r="C10" s="379"/>
      <c r="D10" s="379"/>
      <c r="E10" s="379"/>
      <c r="F10" s="379"/>
      <c r="G10" s="379">
        <f>$B10*(SUMPRODUCT(G$30:G$32,$C$26:$C$28))/2</f>
        <v>3573.4780442678657</v>
      </c>
      <c r="H10" s="379">
        <f t="shared" si="0"/>
        <v>18295.753943582651</v>
      </c>
      <c r="I10" s="379">
        <f t="shared" si="0"/>
        <v>24654.894779003149</v>
      </c>
      <c r="J10" s="379">
        <f t="shared" si="0"/>
        <v>23441.832435415159</v>
      </c>
      <c r="K10" s="379">
        <f t="shared" si="0"/>
        <v>11723.210404983136</v>
      </c>
      <c r="L10" s="379">
        <f t="shared" si="0"/>
        <v>6357.4093733257378</v>
      </c>
      <c r="M10" s="379">
        <f t="shared" si="0"/>
        <v>10158.747829263857</v>
      </c>
      <c r="N10" s="380">
        <f t="shared" si="0"/>
        <v>18225.62972874492</v>
      </c>
      <c r="O10" s="392">
        <f t="shared" si="1"/>
        <v>116430.95653858647</v>
      </c>
    </row>
    <row r="11" spans="1:15" x14ac:dyDescent="0.25">
      <c r="A11" s="18">
        <v>45809</v>
      </c>
      <c r="B11" s="97">
        <f>'1. 2025 Costs &amp; kWh Savings'!$J$37/12</f>
        <v>173146.20947587598</v>
      </c>
      <c r="C11" s="379"/>
      <c r="D11" s="379"/>
      <c r="E11" s="379"/>
      <c r="F11" s="379"/>
      <c r="G11" s="379"/>
      <c r="H11" s="379">
        <f>$B11*(SUMPRODUCT(H$30:H$32,$C$26:$C$28))/2</f>
        <v>9147.8769717913256</v>
      </c>
      <c r="I11" s="379">
        <f t="shared" si="0"/>
        <v>24654.894779003149</v>
      </c>
      <c r="J11" s="379">
        <f t="shared" si="0"/>
        <v>23441.832435415159</v>
      </c>
      <c r="K11" s="379">
        <f t="shared" si="0"/>
        <v>11723.210404983136</v>
      </c>
      <c r="L11" s="379">
        <f t="shared" si="0"/>
        <v>6357.4093733257378</v>
      </c>
      <c r="M11" s="379">
        <f t="shared" si="0"/>
        <v>10158.747829263857</v>
      </c>
      <c r="N11" s="380">
        <f t="shared" si="0"/>
        <v>18225.62972874492</v>
      </c>
      <c r="O11" s="392">
        <f t="shared" si="1"/>
        <v>103709.60152252729</v>
      </c>
    </row>
    <row r="12" spans="1:15" x14ac:dyDescent="0.25">
      <c r="A12" s="18">
        <v>45839</v>
      </c>
      <c r="B12" s="97">
        <f>'1. 2025 Costs &amp; kWh Savings'!$J$37/12</f>
        <v>173146.20947587598</v>
      </c>
      <c r="C12" s="379"/>
      <c r="D12" s="379"/>
      <c r="E12" s="379"/>
      <c r="F12" s="379"/>
      <c r="G12" s="379"/>
      <c r="H12" s="379"/>
      <c r="I12" s="379">
        <f>$B12*(SUMPRODUCT(I$30:I$32,$C$26:$C$28))/2</f>
        <v>12327.447389501574</v>
      </c>
      <c r="J12" s="379">
        <f>$B12*(SUMPRODUCT(J$30:J$32,$C$26:$C$28))</f>
        <v>23441.832435415159</v>
      </c>
      <c r="K12" s="379">
        <f>$B12*(SUMPRODUCT(K$30:K$32,$C$26:$C$28))</f>
        <v>11723.210404983136</v>
      </c>
      <c r="L12" s="379">
        <f>$B12*(SUMPRODUCT(L$30:L$32,$C$26:$C$28))</f>
        <v>6357.4093733257378</v>
      </c>
      <c r="M12" s="379">
        <f>$B12*(SUMPRODUCT(M$30:M$32,$C$26:$C$28))</f>
        <v>10158.747829263857</v>
      </c>
      <c r="N12" s="380">
        <f>$B12*(SUMPRODUCT(N$30:N$32,$C$26:$C$28))</f>
        <v>18225.62972874492</v>
      </c>
      <c r="O12" s="392">
        <f t="shared" si="1"/>
        <v>82234.277161234379</v>
      </c>
    </row>
    <row r="13" spans="1:15" x14ac:dyDescent="0.25">
      <c r="A13" s="18">
        <v>45870</v>
      </c>
      <c r="B13" s="97">
        <f>'1. 2025 Costs &amp; kWh Savings'!$J$37/12</f>
        <v>173146.20947587598</v>
      </c>
      <c r="C13" s="379"/>
      <c r="D13" s="379"/>
      <c r="E13" s="379"/>
      <c r="F13" s="379"/>
      <c r="G13" s="379"/>
      <c r="H13" s="379"/>
      <c r="I13" s="379"/>
      <c r="J13" s="379">
        <f>$B13*(SUMPRODUCT(J$30:J$32,$C$26:$C$28))/2</f>
        <v>11720.91621770758</v>
      </c>
      <c r="K13" s="379">
        <f>$B13*(SUMPRODUCT(K$30:K$32,$C$26:$C$28))</f>
        <v>11723.210404983136</v>
      </c>
      <c r="L13" s="379">
        <f>$B13*(SUMPRODUCT(L$30:L$32,$C$26:$C$28))</f>
        <v>6357.4093733257378</v>
      </c>
      <c r="M13" s="379">
        <f>$B13*(SUMPRODUCT(M$30:M$32,$C$26:$C$28))</f>
        <v>10158.747829263857</v>
      </c>
      <c r="N13" s="380">
        <f>$B13*(SUMPRODUCT(N$30:N$32,$C$26:$C$28))</f>
        <v>18225.62972874492</v>
      </c>
      <c r="O13" s="392">
        <f t="shared" si="1"/>
        <v>58185.913554025232</v>
      </c>
    </row>
    <row r="14" spans="1:15" x14ac:dyDescent="0.25">
      <c r="A14" s="18">
        <v>45901</v>
      </c>
      <c r="B14" s="97">
        <f>'1. 2025 Costs &amp; kWh Savings'!$J$37/12</f>
        <v>173146.20947587598</v>
      </c>
      <c r="C14" s="379"/>
      <c r="D14" s="379"/>
      <c r="E14" s="379"/>
      <c r="F14" s="379"/>
      <c r="G14" s="379"/>
      <c r="H14" s="379"/>
      <c r="I14" s="379"/>
      <c r="J14" s="379"/>
      <c r="K14" s="379">
        <f>$B14*(SUMPRODUCT(K$30:K$32,$C$26:$C$28))/2</f>
        <v>5861.605202491568</v>
      </c>
      <c r="L14" s="379">
        <f>$B14*(SUMPRODUCT(L$30:L$32,$C$26:$C$28))</f>
        <v>6357.4093733257378</v>
      </c>
      <c r="M14" s="379">
        <f>$B14*(SUMPRODUCT(M$30:M$32,$C$26:$C$28))</f>
        <v>10158.747829263857</v>
      </c>
      <c r="N14" s="380">
        <f>$B14*(SUMPRODUCT(N$30:N$32,$C$26:$C$28))</f>
        <v>18225.62972874492</v>
      </c>
      <c r="O14" s="392">
        <f t="shared" si="1"/>
        <v>40603.392133826084</v>
      </c>
    </row>
    <row r="15" spans="1:15" x14ac:dyDescent="0.25">
      <c r="A15" s="18">
        <v>45931</v>
      </c>
      <c r="B15" s="97">
        <f>'1. 2025 Costs &amp; kWh Savings'!$J$37/12</f>
        <v>173146.20947587598</v>
      </c>
      <c r="C15" s="379"/>
      <c r="D15" s="379"/>
      <c r="E15" s="379"/>
      <c r="F15" s="379"/>
      <c r="G15" s="379"/>
      <c r="H15" s="379"/>
      <c r="I15" s="379"/>
      <c r="J15" s="379"/>
      <c r="K15" s="379"/>
      <c r="L15" s="379">
        <f>$B15*(SUMPRODUCT(L$30:L$32,$C$26:$C$28))/2</f>
        <v>3178.7046866628689</v>
      </c>
      <c r="M15" s="379">
        <f>$B15*(SUMPRODUCT(M$30:M$32,$C$26:$C$28))</f>
        <v>10158.747829263857</v>
      </c>
      <c r="N15" s="380">
        <f>$B15*(SUMPRODUCT(N$30:N$32,$C$26:$C$28))</f>
        <v>18225.62972874492</v>
      </c>
      <c r="O15" s="392">
        <f t="shared" si="1"/>
        <v>31563.082244671645</v>
      </c>
    </row>
    <row r="16" spans="1:15" x14ac:dyDescent="0.25">
      <c r="A16" s="18">
        <v>45962</v>
      </c>
      <c r="B16" s="97">
        <f>'1. 2025 Costs &amp; kWh Savings'!$J$37/12</f>
        <v>173146.20947587598</v>
      </c>
      <c r="C16" s="379"/>
      <c r="D16" s="379"/>
      <c r="E16" s="379"/>
      <c r="F16" s="379"/>
      <c r="G16" s="379"/>
      <c r="H16" s="379"/>
      <c r="I16" s="379"/>
      <c r="J16" s="379"/>
      <c r="K16" s="379"/>
      <c r="L16" s="379"/>
      <c r="M16" s="379">
        <f>$B16*(SUMPRODUCT(M$30:M$32,$C$26:$C$28))/2</f>
        <v>5079.3739146319285</v>
      </c>
      <c r="N16" s="380">
        <f>$B16*(SUMPRODUCT(N$30:N$32,$C$26:$C$28))</f>
        <v>18225.62972874492</v>
      </c>
      <c r="O16" s="392">
        <f t="shared" si="1"/>
        <v>23305.003643376847</v>
      </c>
    </row>
    <row r="17" spans="1:15" x14ac:dyDescent="0.25">
      <c r="A17" s="18">
        <v>45992</v>
      </c>
      <c r="B17" s="98">
        <f>'1. 2025 Costs &amp; kWh Savings'!$J$37/12</f>
        <v>173146.20947587598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80">
        <f>$B17*(SUMPRODUCT(N$30:N$32,$C$26:$C$28))/2</f>
        <v>9112.8148643724599</v>
      </c>
      <c r="O17" s="392">
        <f t="shared" si="1"/>
        <v>9112.8148643724599</v>
      </c>
    </row>
    <row r="18" spans="1:15" x14ac:dyDescent="0.25">
      <c r="A18" s="18"/>
      <c r="B18" s="20">
        <f>+B19+'2. TD C&amp;I RebateLGS install2025'!B19-'1. 2025 Costs &amp; kWh Savings'!J37-'1. 2025 Costs &amp; kWh Savings'!J38</f>
        <v>0</v>
      </c>
      <c r="C18" s="378"/>
      <c r="D18" s="379"/>
      <c r="E18" s="379"/>
      <c r="F18" s="379"/>
      <c r="G18" s="379"/>
      <c r="H18" s="379"/>
      <c r="I18" s="379"/>
      <c r="J18" s="379"/>
      <c r="K18" s="379"/>
      <c r="L18" s="379"/>
      <c r="M18" s="379"/>
      <c r="N18" s="380"/>
      <c r="O18" s="392"/>
    </row>
    <row r="19" spans="1:15" x14ac:dyDescent="0.25">
      <c r="A19" s="88" t="s">
        <v>34</v>
      </c>
      <c r="B19" s="20">
        <f>SUM(B6:B17)</f>
        <v>2077754.5137105121</v>
      </c>
      <c r="C19" s="425">
        <f t="shared" ref="C19:O19" si="2">SUM(C6:C17)</f>
        <v>9484.34334335532</v>
      </c>
      <c r="D19" s="426">
        <f t="shared" si="2"/>
        <v>23794.834269984101</v>
      </c>
      <c r="E19" s="426">
        <f t="shared" si="2"/>
        <v>29859.71312240035</v>
      </c>
      <c r="F19" s="426">
        <f t="shared" si="2"/>
        <v>22280.930387431781</v>
      </c>
      <c r="G19" s="426">
        <f t="shared" si="2"/>
        <v>32161.302398410793</v>
      </c>
      <c r="H19" s="426">
        <f t="shared" si="2"/>
        <v>100626.64668970458</v>
      </c>
      <c r="I19" s="426">
        <f t="shared" si="2"/>
        <v>160256.81606352047</v>
      </c>
      <c r="J19" s="426">
        <f t="shared" si="2"/>
        <v>175813.74326561371</v>
      </c>
      <c r="K19" s="426">
        <f t="shared" si="2"/>
        <v>99647.288442356672</v>
      </c>
      <c r="L19" s="426">
        <f t="shared" si="2"/>
        <v>60395.389046594515</v>
      </c>
      <c r="M19" s="426">
        <f t="shared" si="2"/>
        <v>106666.85220727049</v>
      </c>
      <c r="N19" s="427">
        <f t="shared" si="2"/>
        <v>209594.74188056652</v>
      </c>
      <c r="O19" s="397">
        <f t="shared" si="2"/>
        <v>1030582.6011172093</v>
      </c>
    </row>
    <row r="20" spans="1:15" x14ac:dyDescent="0.25">
      <c r="A20" s="88" t="s">
        <v>38</v>
      </c>
      <c r="B20" s="733">
        <f>'Step Adjustments'!$F$7</f>
        <v>0.7</v>
      </c>
      <c r="C20" s="378"/>
      <c r="D20" s="379"/>
      <c r="E20" s="379"/>
      <c r="F20" s="379"/>
      <c r="G20" s="379"/>
      <c r="H20" s="379"/>
      <c r="I20" s="379"/>
      <c r="J20" s="379"/>
      <c r="K20" s="379"/>
      <c r="L20" s="379"/>
      <c r="M20" s="379"/>
      <c r="N20" s="380"/>
      <c r="O20" s="393"/>
    </row>
    <row r="21" spans="1:15" x14ac:dyDescent="0.25">
      <c r="A21" s="88" t="s">
        <v>36</v>
      </c>
      <c r="B21" s="20"/>
      <c r="C21" s="384">
        <f>$F$38</f>
        <v>0.11245222420482009</v>
      </c>
      <c r="D21" s="374">
        <f t="shared" ref="D21:F21" si="3">$F$38</f>
        <v>0.11245222420482009</v>
      </c>
      <c r="E21" s="374">
        <f t="shared" si="3"/>
        <v>0.11245222420482009</v>
      </c>
      <c r="F21" s="374">
        <f t="shared" si="3"/>
        <v>0.11245222420482009</v>
      </c>
      <c r="G21" s="374">
        <f>$F$38</f>
        <v>0.11245222420482009</v>
      </c>
      <c r="H21" s="374">
        <f>$F$37*0.5+$F$38*0.5</f>
        <v>0.11879222420482011</v>
      </c>
      <c r="I21" s="374">
        <f>$F$37</f>
        <v>0.12513222420482012</v>
      </c>
      <c r="J21" s="374">
        <f t="shared" ref="J21:K21" si="4">$F$37</f>
        <v>0.12513222420482012</v>
      </c>
      <c r="K21" s="374">
        <f t="shared" si="4"/>
        <v>0.12513222420482012</v>
      </c>
      <c r="L21" s="374">
        <f>$F$37*0.5+$F$38*0.5</f>
        <v>0.11879222420482011</v>
      </c>
      <c r="M21" s="374">
        <f>$F$38</f>
        <v>0.11245222420482009</v>
      </c>
      <c r="N21" s="385">
        <f t="shared" ref="N21" si="5">$F$38</f>
        <v>0.11245222420482009</v>
      </c>
      <c r="O21" s="395"/>
    </row>
    <row r="22" spans="1:15" x14ac:dyDescent="0.25">
      <c r="A22" s="354" t="s">
        <v>37</v>
      </c>
      <c r="B22" s="21"/>
      <c r="C22" s="386">
        <f>C19*$B$20*C21</f>
        <v>746.57485285773976</v>
      </c>
      <c r="D22" s="387">
        <f t="shared" ref="D22:N22" si="6">D19*$B$20*D21</f>
        <v>1873.0474267713521</v>
      </c>
      <c r="E22" s="387">
        <f t="shared" si="6"/>
        <v>2350.4538083122407</v>
      </c>
      <c r="F22" s="387">
        <f t="shared" si="6"/>
        <v>1753.8781255936271</v>
      </c>
      <c r="G22" s="387">
        <f t="shared" si="6"/>
        <v>2531.6269916175761</v>
      </c>
      <c r="H22" s="387">
        <f t="shared" si="6"/>
        <v>8367.5642221798225</v>
      </c>
      <c r="I22" s="387">
        <f t="shared" si="6"/>
        <v>14037.304286607743</v>
      </c>
      <c r="J22" s="387">
        <f t="shared" si="6"/>
        <v>15399.97531842102</v>
      </c>
      <c r="K22" s="387">
        <f t="shared" si="6"/>
        <v>8728.3607871399472</v>
      </c>
      <c r="L22" s="387">
        <f t="shared" si="6"/>
        <v>5022.1518175922738</v>
      </c>
      <c r="M22" s="387">
        <f t="shared" si="6"/>
        <v>8396.4473457440727</v>
      </c>
      <c r="N22" s="388">
        <f t="shared" si="6"/>
        <v>16498.576434273404</v>
      </c>
      <c r="O22" s="429">
        <f>SUM(C22:N22)</f>
        <v>85705.961417110811</v>
      </c>
    </row>
    <row r="23" spans="1:15" x14ac:dyDescent="0.25">
      <c r="A23" s="88"/>
    </row>
    <row r="24" spans="1:15" x14ac:dyDescent="0.25">
      <c r="A24" s="88"/>
      <c r="O24" s="428">
        <f>+O22/(O19*$B$20)</f>
        <v>0.11880375974327635</v>
      </c>
    </row>
    <row r="25" spans="1:15" x14ac:dyDescent="0.25">
      <c r="A25" s="353" t="s">
        <v>39</v>
      </c>
      <c r="B25" s="269"/>
      <c r="C25" s="270"/>
      <c r="I25" s="23"/>
    </row>
    <row r="26" spans="1:15" x14ac:dyDescent="0.25">
      <c r="A26" s="356" t="s">
        <v>298</v>
      </c>
      <c r="B26" s="262"/>
      <c r="C26" s="263">
        <v>0</v>
      </c>
      <c r="I26" s="23"/>
    </row>
    <row r="27" spans="1:15" x14ac:dyDescent="0.25">
      <c r="A27" s="357" t="s">
        <v>299</v>
      </c>
      <c r="B27" s="261"/>
      <c r="C27" s="256">
        <v>0.5</v>
      </c>
      <c r="I27" s="23"/>
    </row>
    <row r="28" spans="1:15" x14ac:dyDescent="0.25">
      <c r="A28" s="358" t="s">
        <v>300</v>
      </c>
      <c r="B28" s="257"/>
      <c r="C28" s="258">
        <v>0.5</v>
      </c>
    </row>
    <row r="29" spans="1:15" x14ac:dyDescent="0.25">
      <c r="A29" s="88"/>
      <c r="C29" s="27"/>
    </row>
    <row r="30" spans="1:15" x14ac:dyDescent="0.25">
      <c r="A30" s="88" t="s">
        <v>33</v>
      </c>
      <c r="C30" s="72">
        <f t="array" ref="C30:N32">TRANSPOSE('8. Load Shapes'!$B$4:$D$15)</f>
        <v>0.10118199999999999</v>
      </c>
      <c r="D30" s="73">
        <v>8.8441000000000006E-2</v>
      </c>
      <c r="E30" s="73">
        <v>9.2879000000000003E-2</v>
      </c>
      <c r="F30" s="73">
        <v>8.4644999999999998E-2</v>
      </c>
      <c r="G30" s="73">
        <v>7.9393000000000005E-2</v>
      </c>
      <c r="H30" s="73">
        <v>6.8507999999999999E-2</v>
      </c>
      <c r="I30" s="74">
        <v>6.7863999999999994E-2</v>
      </c>
      <c r="J30" s="74">
        <v>7.0565000000000003E-2</v>
      </c>
      <c r="K30" s="74">
        <v>7.3791999999999996E-2</v>
      </c>
      <c r="L30" s="74">
        <v>8.4539000000000003E-2</v>
      </c>
      <c r="M30" s="74">
        <v>8.9880000000000002E-2</v>
      </c>
      <c r="N30" s="75">
        <v>9.8311999999999997E-2</v>
      </c>
      <c r="O30" s="412"/>
    </row>
    <row r="31" spans="1:15" x14ac:dyDescent="0.25">
      <c r="A31" s="88" t="s">
        <v>40</v>
      </c>
      <c r="C31" s="76">
        <v>0.21790599999999999</v>
      </c>
      <c r="D31" s="77">
        <v>0.18213499999999999</v>
      </c>
      <c r="E31" s="77">
        <v>0.13483300000000001</v>
      </c>
      <c r="F31" s="77">
        <v>5.8486000000000003E-2</v>
      </c>
      <c r="G31" s="77">
        <v>1.7144E-2</v>
      </c>
      <c r="H31" s="77">
        <v>5.1000000000000004E-4</v>
      </c>
      <c r="I31" s="78">
        <v>6.0000000000000002E-6</v>
      </c>
      <c r="J31" s="78">
        <v>9.0000000000000002E-6</v>
      </c>
      <c r="K31" s="78">
        <v>8.8090000000000009E-3</v>
      </c>
      <c r="L31" s="78">
        <v>5.4961999999999997E-2</v>
      </c>
      <c r="M31" s="78">
        <v>0.115899</v>
      </c>
      <c r="N31" s="79">
        <v>0.20930099999999999</v>
      </c>
      <c r="O31" s="412"/>
    </row>
    <row r="32" spans="1:15" x14ac:dyDescent="0.25">
      <c r="A32" s="88" t="s">
        <v>41</v>
      </c>
      <c r="C32" s="80">
        <v>1.1999999999999999E-3</v>
      </c>
      <c r="D32" s="81">
        <v>1.1000000000000001E-3</v>
      </c>
      <c r="E32" s="81">
        <v>3.13E-3</v>
      </c>
      <c r="F32" s="81">
        <v>1.5047E-2</v>
      </c>
      <c r="G32" s="81">
        <v>6.5409999999999996E-2</v>
      </c>
      <c r="H32" s="81">
        <v>0.21082300000000001</v>
      </c>
      <c r="I32" s="82">
        <v>0.28478100000000001</v>
      </c>
      <c r="J32" s="82">
        <v>0.27076600000000001</v>
      </c>
      <c r="K32" s="82">
        <v>0.126605</v>
      </c>
      <c r="L32" s="82">
        <v>1.8471999999999999E-2</v>
      </c>
      <c r="M32" s="82">
        <v>1.444E-3</v>
      </c>
      <c r="N32" s="83">
        <v>1.222E-3</v>
      </c>
      <c r="O32" s="412"/>
    </row>
    <row r="33" spans="1:9" x14ac:dyDescent="0.25">
      <c r="A33" s="88"/>
      <c r="C33" s="24"/>
      <c r="D33" s="24"/>
      <c r="E33" s="24"/>
      <c r="F33" s="24"/>
      <c r="G33" s="24"/>
      <c r="H33" s="24"/>
    </row>
    <row r="34" spans="1:9" x14ac:dyDescent="0.25">
      <c r="A34" s="88"/>
      <c r="C34" s="24"/>
      <c r="D34" s="24"/>
      <c r="E34" s="24"/>
      <c r="F34" s="24"/>
      <c r="G34" s="24"/>
      <c r="H34" s="24"/>
    </row>
    <row r="35" spans="1:9" x14ac:dyDescent="0.25">
      <c r="A35" s="355" t="s">
        <v>91</v>
      </c>
      <c r="B35" s="761" t="s">
        <v>247</v>
      </c>
      <c r="C35" s="761"/>
      <c r="D35" s="761"/>
      <c r="E35" s="761"/>
      <c r="F35" s="761"/>
      <c r="G35" s="762"/>
      <c r="I35" s="23"/>
    </row>
    <row r="36" spans="1:9" x14ac:dyDescent="0.25">
      <c r="A36" s="87"/>
      <c r="B36" s="157" t="s">
        <v>147</v>
      </c>
      <c r="C36" s="157" t="s">
        <v>42</v>
      </c>
      <c r="D36" s="157" t="s">
        <v>43</v>
      </c>
      <c r="E36" s="157" t="s">
        <v>132</v>
      </c>
      <c r="F36" s="157" t="s">
        <v>44</v>
      </c>
      <c r="G36" s="158"/>
    </row>
    <row r="37" spans="1:9" x14ac:dyDescent="0.25">
      <c r="A37" s="359" t="s">
        <v>45</v>
      </c>
      <c r="B37" s="265">
        <f>'2. TD Sm C&amp;I HVAC install 2022'!L37</f>
        <v>0.13891999999999999</v>
      </c>
      <c r="C37" s="254">
        <f>'2. TD Sm C&amp;I HVAC install 2022'!M37</f>
        <v>0.13891999999999999</v>
      </c>
      <c r="D37" s="254">
        <f>'2. TD Sm C&amp;I HVAC install 2022'!N37</f>
        <v>8.6999999999999994E-3</v>
      </c>
      <c r="E37" s="255">
        <f>'2. TD Sm C&amp;I HVAC install 2022'!O37</f>
        <v>0.02</v>
      </c>
      <c r="F37" s="28">
        <f>SUMPRODUCT(B37:C37,B40:C40)-D37-E37*$E$40</f>
        <v>0.12513222420482012</v>
      </c>
      <c r="G37" s="60"/>
    </row>
    <row r="38" spans="1:9" x14ac:dyDescent="0.25">
      <c r="A38" s="359" t="s">
        <v>46</v>
      </c>
      <c r="B38" s="266">
        <f>'2. TD Sm C&amp;I HVAC install 2022'!L38</f>
        <v>0.13891999999999999</v>
      </c>
      <c r="C38" s="267">
        <f>'2. TD Sm C&amp;I HVAC install 2022'!M38</f>
        <v>0.12623999999999999</v>
      </c>
      <c r="D38" s="267">
        <f>'2. TD Sm C&amp;I HVAC install 2022'!N38</f>
        <v>8.6999999999999994E-3</v>
      </c>
      <c r="E38" s="268">
        <f>'2. TD Sm C&amp;I HVAC install 2022'!O38</f>
        <v>0.02</v>
      </c>
      <c r="F38" s="28">
        <f>SUMPRODUCT(B38:C38,B40:C40)-D38-E38*$E$40</f>
        <v>0.11245222420482009</v>
      </c>
      <c r="G38" s="60"/>
    </row>
    <row r="39" spans="1:9" x14ac:dyDescent="0.25">
      <c r="A39" s="26"/>
      <c r="B39" s="17"/>
    </row>
    <row r="40" spans="1:9" x14ac:dyDescent="0.25">
      <c r="B40" s="279">
        <f t="array" ref="B40:C40">TRANSPOSE('Step Adjustments'!C24:C25)</f>
        <v>0</v>
      </c>
      <c r="C40" s="280">
        <v>1</v>
      </c>
      <c r="E40" s="253">
        <v>0.25438878975899448</v>
      </c>
    </row>
  </sheetData>
  <mergeCells count="2">
    <mergeCell ref="C1:N1"/>
    <mergeCell ref="B35:G35"/>
  </mergeCell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B68F6-70B7-4349-A705-D2DCD0A75499}">
  <sheetPr codeName="Sheet21"/>
  <dimension ref="A1:O41"/>
  <sheetViews>
    <sheetView zoomScaleNormal="100" workbookViewId="0">
      <pane xSplit="2" ySplit="5" topLeftCell="C22" activePane="bottomRight" state="frozen"/>
      <selection activeCell="B6" sqref="B6"/>
      <selection pane="topRight" activeCell="B6" sqref="B6"/>
      <selection pane="bottomLeft" activeCell="B6" sqref="B6"/>
      <selection pane="bottomRight" activeCell="A26" sqref="A26"/>
    </sheetView>
  </sheetViews>
  <sheetFormatPr defaultColWidth="12.7109375" defaultRowHeight="13.1" x14ac:dyDescent="0.25"/>
  <cols>
    <col min="1" max="1" width="30.7109375" style="22" customWidth="1"/>
    <col min="2" max="2" width="12.7109375" style="22"/>
    <col min="3" max="16384" width="12.7109375" style="17"/>
  </cols>
  <sheetData>
    <row r="1" spans="1:15" x14ac:dyDescent="0.25">
      <c r="A1" s="168" t="str">
        <f>Company_Filing</f>
        <v>2025 MEEIA Filing</v>
      </c>
      <c r="B1" s="249"/>
      <c r="C1" s="760" t="s">
        <v>228</v>
      </c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389" t="s">
        <v>222</v>
      </c>
    </row>
    <row r="2" spans="1:15" x14ac:dyDescent="0.25">
      <c r="A2" s="444" t="s">
        <v>292</v>
      </c>
      <c r="B2" s="250"/>
      <c r="C2" s="251">
        <v>45658</v>
      </c>
      <c r="D2" s="251">
        <v>45689</v>
      </c>
      <c r="E2" s="251">
        <v>45717</v>
      </c>
      <c r="F2" s="251">
        <v>45748</v>
      </c>
      <c r="G2" s="251">
        <v>45778</v>
      </c>
      <c r="H2" s="251">
        <v>45809</v>
      </c>
      <c r="I2" s="251">
        <v>45839</v>
      </c>
      <c r="J2" s="251">
        <v>45870</v>
      </c>
      <c r="K2" s="251">
        <v>45901</v>
      </c>
      <c r="L2" s="251">
        <v>45931</v>
      </c>
      <c r="M2" s="251">
        <v>45962</v>
      </c>
      <c r="N2" s="251">
        <v>45992</v>
      </c>
      <c r="O2" s="402" t="s">
        <v>246</v>
      </c>
    </row>
    <row r="3" spans="1:15" x14ac:dyDescent="0.25">
      <c r="A3" s="88"/>
    </row>
    <row r="4" spans="1:15" x14ac:dyDescent="0.25">
      <c r="A4" s="353" t="s">
        <v>230</v>
      </c>
      <c r="B4" s="271" t="s">
        <v>69</v>
      </c>
    </row>
    <row r="6" spans="1:15" x14ac:dyDescent="0.25">
      <c r="A6" s="18">
        <v>45658</v>
      </c>
      <c r="B6" s="96">
        <f>'1. 2025 Costs &amp; kWh Savings'!$J$38/12</f>
        <v>579663.39694097603</v>
      </c>
      <c r="C6" s="376">
        <f>$B6*(SUMPRODUCT(C$30:C$32,$C$26:$C$28))/2</f>
        <v>30538.841488589143</v>
      </c>
      <c r="D6" s="376">
        <f t="shared" ref="D6:N11" si="0">$B6*(SUMPRODUCT(D$30:D$32,$C$26:$C$28))</f>
        <v>52186.660879048366</v>
      </c>
      <c r="E6" s="376">
        <f t="shared" si="0"/>
        <v>46912.303630282433</v>
      </c>
      <c r="F6" s="376">
        <f t="shared" si="0"/>
        <v>35188.901258849655</v>
      </c>
      <c r="G6" s="376">
        <f t="shared" si="0"/>
        <v>34973.991054433791</v>
      </c>
      <c r="H6" s="376">
        <f t="shared" si="0"/>
        <v>50481.291165248018</v>
      </c>
      <c r="I6" s="376">
        <f t="shared" si="0"/>
        <v>60939.28834115863</v>
      </c>
      <c r="J6" s="376">
        <f t="shared" si="0"/>
        <v>59691.562879243189</v>
      </c>
      <c r="K6" s="376">
        <f t="shared" si="0"/>
        <v>41010.895501875581</v>
      </c>
      <c r="L6" s="376">
        <f t="shared" si="0"/>
        <v>35143.832429737493</v>
      </c>
      <c r="M6" s="376">
        <f t="shared" si="0"/>
        <v>43054.933555338699</v>
      </c>
      <c r="N6" s="377">
        <f t="shared" si="0"/>
        <v>59002.053268581891</v>
      </c>
      <c r="O6" s="391">
        <f t="shared" ref="O6:O17" si="1">SUM(C6:N6)</f>
        <v>549124.55545238685</v>
      </c>
    </row>
    <row r="7" spans="1:15" x14ac:dyDescent="0.25">
      <c r="A7" s="18">
        <v>45689</v>
      </c>
      <c r="B7" s="97">
        <f>'1. 2025 Costs &amp; kWh Savings'!$J$38/12</f>
        <v>579663.39694097603</v>
      </c>
      <c r="C7" s="379"/>
      <c r="D7" s="379">
        <f>$B7*(SUMPRODUCT(D$30:D$32,$C$26:$C$28))/2</f>
        <v>26093.330439524183</v>
      </c>
      <c r="E7" s="379">
        <f t="shared" si="0"/>
        <v>46912.303630282433</v>
      </c>
      <c r="F7" s="379">
        <f t="shared" si="0"/>
        <v>35188.901258849655</v>
      </c>
      <c r="G7" s="379">
        <f t="shared" si="0"/>
        <v>34973.991054433791</v>
      </c>
      <c r="H7" s="379">
        <f t="shared" si="0"/>
        <v>50481.291165248018</v>
      </c>
      <c r="I7" s="379">
        <f t="shared" si="0"/>
        <v>60939.28834115863</v>
      </c>
      <c r="J7" s="379">
        <f t="shared" si="0"/>
        <v>59691.562879243189</v>
      </c>
      <c r="K7" s="379">
        <f t="shared" si="0"/>
        <v>41010.895501875581</v>
      </c>
      <c r="L7" s="379">
        <f t="shared" si="0"/>
        <v>35143.832429737493</v>
      </c>
      <c r="M7" s="379">
        <f t="shared" si="0"/>
        <v>43054.933555338699</v>
      </c>
      <c r="N7" s="380">
        <f t="shared" si="0"/>
        <v>59002.053268581891</v>
      </c>
      <c r="O7" s="392">
        <f t="shared" si="1"/>
        <v>492492.38352427352</v>
      </c>
    </row>
    <row r="8" spans="1:15" x14ac:dyDescent="0.25">
      <c r="A8" s="18">
        <v>45717</v>
      </c>
      <c r="B8" s="97">
        <f>'1. 2025 Costs &amp; kWh Savings'!$J$38/12</f>
        <v>579663.39694097603</v>
      </c>
      <c r="C8" s="379"/>
      <c r="D8" s="379"/>
      <c r="E8" s="379">
        <f>$B8*(SUMPRODUCT(E$30:E$32,$C$26:$C$28))/2</f>
        <v>23456.151815141217</v>
      </c>
      <c r="F8" s="379">
        <f t="shared" si="0"/>
        <v>35188.901258849655</v>
      </c>
      <c r="G8" s="379">
        <f t="shared" si="0"/>
        <v>34973.991054433791</v>
      </c>
      <c r="H8" s="379">
        <f t="shared" si="0"/>
        <v>50481.291165248018</v>
      </c>
      <c r="I8" s="379">
        <f t="shared" si="0"/>
        <v>60939.28834115863</v>
      </c>
      <c r="J8" s="379">
        <f t="shared" si="0"/>
        <v>59691.562879243189</v>
      </c>
      <c r="K8" s="379">
        <f t="shared" si="0"/>
        <v>41010.895501875581</v>
      </c>
      <c r="L8" s="379">
        <f t="shared" si="0"/>
        <v>35143.832429737493</v>
      </c>
      <c r="M8" s="379">
        <f t="shared" si="0"/>
        <v>43054.933555338699</v>
      </c>
      <c r="N8" s="380">
        <f t="shared" si="0"/>
        <v>59002.053268581891</v>
      </c>
      <c r="O8" s="392">
        <f t="shared" si="1"/>
        <v>442942.90126960818</v>
      </c>
    </row>
    <row r="9" spans="1:15" x14ac:dyDescent="0.25">
      <c r="A9" s="18">
        <v>45748</v>
      </c>
      <c r="B9" s="97">
        <f>'1. 2025 Costs &amp; kWh Savings'!$J$38/12</f>
        <v>579663.39694097603</v>
      </c>
      <c r="C9" s="379"/>
      <c r="D9" s="379"/>
      <c r="E9" s="379"/>
      <c r="F9" s="379">
        <f>$B9*(SUMPRODUCT(F$30:F$32,$C$26:$C$28))/2</f>
        <v>17594.450629424828</v>
      </c>
      <c r="G9" s="379">
        <f t="shared" si="0"/>
        <v>34973.991054433791</v>
      </c>
      <c r="H9" s="379">
        <f t="shared" si="0"/>
        <v>50481.291165248018</v>
      </c>
      <c r="I9" s="379">
        <f t="shared" si="0"/>
        <v>60939.28834115863</v>
      </c>
      <c r="J9" s="379">
        <f t="shared" si="0"/>
        <v>59691.562879243189</v>
      </c>
      <c r="K9" s="379">
        <f t="shared" si="0"/>
        <v>41010.895501875581</v>
      </c>
      <c r="L9" s="379">
        <f t="shared" si="0"/>
        <v>35143.832429737493</v>
      </c>
      <c r="M9" s="379">
        <f t="shared" si="0"/>
        <v>43054.933555338699</v>
      </c>
      <c r="N9" s="380">
        <f t="shared" si="0"/>
        <v>59002.053268581891</v>
      </c>
      <c r="O9" s="392">
        <f t="shared" si="1"/>
        <v>401892.29882504209</v>
      </c>
    </row>
    <row r="10" spans="1:15" x14ac:dyDescent="0.25">
      <c r="A10" s="18">
        <v>45778</v>
      </c>
      <c r="B10" s="97">
        <f>'1. 2025 Costs &amp; kWh Savings'!$J$38/12</f>
        <v>579663.39694097603</v>
      </c>
      <c r="C10" s="379"/>
      <c r="D10" s="379"/>
      <c r="E10" s="379"/>
      <c r="F10" s="379"/>
      <c r="G10" s="379">
        <f>$B10*(SUMPRODUCT(G$30:G$32,$C$26:$C$28))/2</f>
        <v>17486.995527216895</v>
      </c>
      <c r="H10" s="379">
        <f t="shared" si="0"/>
        <v>50481.291165248018</v>
      </c>
      <c r="I10" s="379">
        <f t="shared" si="0"/>
        <v>60939.28834115863</v>
      </c>
      <c r="J10" s="379">
        <f t="shared" si="0"/>
        <v>59691.562879243189</v>
      </c>
      <c r="K10" s="379">
        <f t="shared" si="0"/>
        <v>41010.895501875581</v>
      </c>
      <c r="L10" s="379">
        <f t="shared" si="0"/>
        <v>35143.832429737493</v>
      </c>
      <c r="M10" s="379">
        <f t="shared" si="0"/>
        <v>43054.933555338699</v>
      </c>
      <c r="N10" s="380">
        <f t="shared" si="0"/>
        <v>59002.053268581891</v>
      </c>
      <c r="O10" s="392">
        <f t="shared" si="1"/>
        <v>366810.85266840039</v>
      </c>
    </row>
    <row r="11" spans="1:15" x14ac:dyDescent="0.25">
      <c r="A11" s="18">
        <v>45809</v>
      </c>
      <c r="B11" s="97">
        <f>'1. 2025 Costs &amp; kWh Savings'!$J$38/12</f>
        <v>579663.39694097603</v>
      </c>
      <c r="C11" s="379"/>
      <c r="D11" s="379"/>
      <c r="E11" s="379"/>
      <c r="F11" s="379"/>
      <c r="G11" s="379"/>
      <c r="H11" s="379">
        <f>$B11*(SUMPRODUCT(H$30:H$32,$C$26:$C$28))/2</f>
        <v>25240.645582624009</v>
      </c>
      <c r="I11" s="379">
        <f t="shared" si="0"/>
        <v>60939.28834115863</v>
      </c>
      <c r="J11" s="379">
        <f t="shared" si="0"/>
        <v>59691.562879243189</v>
      </c>
      <c r="K11" s="379">
        <f t="shared" si="0"/>
        <v>41010.895501875581</v>
      </c>
      <c r="L11" s="379">
        <f t="shared" si="0"/>
        <v>35143.832429737493</v>
      </c>
      <c r="M11" s="379">
        <f t="shared" si="0"/>
        <v>43054.933555338699</v>
      </c>
      <c r="N11" s="380">
        <f t="shared" si="0"/>
        <v>59002.053268581891</v>
      </c>
      <c r="O11" s="392">
        <f t="shared" si="1"/>
        <v>324083.21155855944</v>
      </c>
    </row>
    <row r="12" spans="1:15" x14ac:dyDescent="0.25">
      <c r="A12" s="18">
        <v>45839</v>
      </c>
      <c r="B12" s="97">
        <f>'1. 2025 Costs &amp; kWh Savings'!$J$38/12</f>
        <v>579663.39694097603</v>
      </c>
      <c r="C12" s="379"/>
      <c r="D12" s="379"/>
      <c r="E12" s="379"/>
      <c r="F12" s="379"/>
      <c r="G12" s="379"/>
      <c r="H12" s="379"/>
      <c r="I12" s="379">
        <f>$B12*(SUMPRODUCT(I$30:I$32,$C$26:$C$28))/2</f>
        <v>30469.644170579315</v>
      </c>
      <c r="J12" s="379">
        <f>$B12*(SUMPRODUCT(J$30:J$32,$C$26:$C$28))</f>
        <v>59691.562879243189</v>
      </c>
      <c r="K12" s="379">
        <f>$B12*(SUMPRODUCT(K$30:K$32,$C$26:$C$28))</f>
        <v>41010.895501875581</v>
      </c>
      <c r="L12" s="379">
        <f>$B12*(SUMPRODUCT(L$30:L$32,$C$26:$C$28))</f>
        <v>35143.832429737493</v>
      </c>
      <c r="M12" s="379">
        <f>$B12*(SUMPRODUCT(M$30:M$32,$C$26:$C$28))</f>
        <v>43054.933555338699</v>
      </c>
      <c r="N12" s="380">
        <f>$B12*(SUMPRODUCT(N$30:N$32,$C$26:$C$28))</f>
        <v>59002.053268581891</v>
      </c>
      <c r="O12" s="392">
        <f t="shared" si="1"/>
        <v>268372.92180535616</v>
      </c>
    </row>
    <row r="13" spans="1:15" x14ac:dyDescent="0.25">
      <c r="A13" s="18">
        <v>45870</v>
      </c>
      <c r="B13" s="97">
        <f>'1. 2025 Costs &amp; kWh Savings'!$J$38/12</f>
        <v>579663.39694097603</v>
      </c>
      <c r="C13" s="379"/>
      <c r="D13" s="379"/>
      <c r="E13" s="379"/>
      <c r="F13" s="379"/>
      <c r="G13" s="379"/>
      <c r="H13" s="379"/>
      <c r="I13" s="379"/>
      <c r="J13" s="379">
        <f>$B13*(SUMPRODUCT(J$30:J$32,$C$26:$C$28))/2</f>
        <v>29845.781439621594</v>
      </c>
      <c r="K13" s="379">
        <f>$B13*(SUMPRODUCT(K$30:K$32,$C$26:$C$28))</f>
        <v>41010.895501875581</v>
      </c>
      <c r="L13" s="379">
        <f>$B13*(SUMPRODUCT(L$30:L$32,$C$26:$C$28))</f>
        <v>35143.832429737493</v>
      </c>
      <c r="M13" s="379">
        <f>$B13*(SUMPRODUCT(M$30:M$32,$C$26:$C$28))</f>
        <v>43054.933555338699</v>
      </c>
      <c r="N13" s="380">
        <f>$B13*(SUMPRODUCT(N$30:N$32,$C$26:$C$28))</f>
        <v>59002.053268581891</v>
      </c>
      <c r="O13" s="392">
        <f t="shared" si="1"/>
        <v>208057.49619515525</v>
      </c>
    </row>
    <row r="14" spans="1:15" x14ac:dyDescent="0.25">
      <c r="A14" s="18">
        <v>45901</v>
      </c>
      <c r="B14" s="97">
        <f>'1. 2025 Costs &amp; kWh Savings'!$J$38/12</f>
        <v>579663.39694097603</v>
      </c>
      <c r="C14" s="379"/>
      <c r="D14" s="379"/>
      <c r="E14" s="379"/>
      <c r="F14" s="379"/>
      <c r="G14" s="379"/>
      <c r="H14" s="379"/>
      <c r="I14" s="379"/>
      <c r="J14" s="379"/>
      <c r="K14" s="379">
        <f>$B14*(SUMPRODUCT(K$30:K$32,$C$26:$C$28))/2</f>
        <v>20505.44775093779</v>
      </c>
      <c r="L14" s="379">
        <f>$B14*(SUMPRODUCT(L$30:L$32,$C$26:$C$28))</f>
        <v>35143.832429737493</v>
      </c>
      <c r="M14" s="379">
        <f>$B14*(SUMPRODUCT(M$30:M$32,$C$26:$C$28))</f>
        <v>43054.933555338699</v>
      </c>
      <c r="N14" s="380">
        <f>$B14*(SUMPRODUCT(N$30:N$32,$C$26:$C$28))</f>
        <v>59002.053268581891</v>
      </c>
      <c r="O14" s="392">
        <f t="shared" si="1"/>
        <v>157706.26700459587</v>
      </c>
    </row>
    <row r="15" spans="1:15" x14ac:dyDescent="0.25">
      <c r="A15" s="18">
        <v>45931</v>
      </c>
      <c r="B15" s="97">
        <f>'1. 2025 Costs &amp; kWh Savings'!$J$38/12</f>
        <v>579663.39694097603</v>
      </c>
      <c r="C15" s="379"/>
      <c r="D15" s="379"/>
      <c r="E15" s="379"/>
      <c r="F15" s="379"/>
      <c r="G15" s="379"/>
      <c r="H15" s="379"/>
      <c r="I15" s="379"/>
      <c r="J15" s="379"/>
      <c r="K15" s="379"/>
      <c r="L15" s="379">
        <f>$B15*(SUMPRODUCT(L$30:L$32,$C$26:$C$28))/2</f>
        <v>17571.916214868746</v>
      </c>
      <c r="M15" s="379">
        <f>$B15*(SUMPRODUCT(M$30:M$32,$C$26:$C$28))</f>
        <v>43054.933555338699</v>
      </c>
      <c r="N15" s="380">
        <f>$B15*(SUMPRODUCT(N$30:N$32,$C$26:$C$28))</f>
        <v>59002.053268581891</v>
      </c>
      <c r="O15" s="392">
        <f t="shared" si="1"/>
        <v>119628.90303878934</v>
      </c>
    </row>
    <row r="16" spans="1:15" x14ac:dyDescent="0.25">
      <c r="A16" s="18">
        <v>45962</v>
      </c>
      <c r="B16" s="97">
        <f>'1. 2025 Costs &amp; kWh Savings'!$J$38/12</f>
        <v>579663.39694097603</v>
      </c>
      <c r="C16" s="379"/>
      <c r="D16" s="379"/>
      <c r="E16" s="379"/>
      <c r="F16" s="379"/>
      <c r="G16" s="379"/>
      <c r="H16" s="379"/>
      <c r="I16" s="379"/>
      <c r="J16" s="379"/>
      <c r="K16" s="379"/>
      <c r="L16" s="379"/>
      <c r="M16" s="379">
        <f>$B16*(SUMPRODUCT(M$30:M$32,$C$26:$C$28))/2</f>
        <v>21527.46677766935</v>
      </c>
      <c r="N16" s="380">
        <f>$B16*(SUMPRODUCT(N$30:N$32,$C$26:$C$28))</f>
        <v>59002.053268581891</v>
      </c>
      <c r="O16" s="392">
        <f t="shared" si="1"/>
        <v>80529.520046251244</v>
      </c>
    </row>
    <row r="17" spans="1:15" x14ac:dyDescent="0.25">
      <c r="A17" s="18">
        <v>45992</v>
      </c>
      <c r="B17" s="98">
        <f>'1. 2025 Costs &amp; kWh Savings'!$J$38/12</f>
        <v>579663.39694097603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80">
        <f>$B17*(SUMPRODUCT(N$30:N$32,$C$26:$C$28))/2</f>
        <v>29501.026634290945</v>
      </c>
      <c r="O17" s="392">
        <f t="shared" si="1"/>
        <v>29501.026634290945</v>
      </c>
    </row>
    <row r="18" spans="1:15" x14ac:dyDescent="0.25">
      <c r="A18" s="18"/>
      <c r="B18" s="20"/>
      <c r="C18" s="378"/>
      <c r="D18" s="379"/>
      <c r="E18" s="379"/>
      <c r="F18" s="379"/>
      <c r="G18" s="379"/>
      <c r="H18" s="379"/>
      <c r="I18" s="379"/>
      <c r="J18" s="379"/>
      <c r="K18" s="379"/>
      <c r="L18" s="379"/>
      <c r="M18" s="379"/>
      <c r="N18" s="380"/>
      <c r="O18" s="392"/>
    </row>
    <row r="19" spans="1:15" x14ac:dyDescent="0.25">
      <c r="A19" s="88" t="s">
        <v>35</v>
      </c>
      <c r="B19" s="20">
        <f>SUM(B6:B17)</f>
        <v>6955960.7632917138</v>
      </c>
      <c r="C19" s="425">
        <f t="shared" ref="C19:O19" si="2">SUM(C6:C17)</f>
        <v>30538.841488589143</v>
      </c>
      <c r="D19" s="426">
        <f t="shared" si="2"/>
        <v>78279.991318572545</v>
      </c>
      <c r="E19" s="426">
        <f t="shared" si="2"/>
        <v>117280.75907570608</v>
      </c>
      <c r="F19" s="426">
        <f t="shared" si="2"/>
        <v>123161.15440597379</v>
      </c>
      <c r="G19" s="426">
        <f t="shared" si="2"/>
        <v>157382.95974495207</v>
      </c>
      <c r="H19" s="426">
        <f t="shared" si="2"/>
        <v>277647.10140886408</v>
      </c>
      <c r="I19" s="426">
        <f t="shared" si="2"/>
        <v>396105.37421753112</v>
      </c>
      <c r="J19" s="426">
        <f t="shared" si="2"/>
        <v>447686.72159432387</v>
      </c>
      <c r="K19" s="426">
        <f t="shared" si="2"/>
        <v>348592.61176594242</v>
      </c>
      <c r="L19" s="426">
        <f t="shared" si="2"/>
        <v>333866.40808250615</v>
      </c>
      <c r="M19" s="426">
        <f t="shared" si="2"/>
        <v>452076.80233105633</v>
      </c>
      <c r="N19" s="427">
        <f t="shared" si="2"/>
        <v>678523.61258869153</v>
      </c>
      <c r="O19" s="397">
        <f t="shared" si="2"/>
        <v>3441142.3380227094</v>
      </c>
    </row>
    <row r="20" spans="1:15" x14ac:dyDescent="0.25">
      <c r="A20" s="88" t="s">
        <v>38</v>
      </c>
      <c r="B20" s="733">
        <f>'Step Adjustments'!$F$7</f>
        <v>0.7</v>
      </c>
      <c r="C20" s="378"/>
      <c r="D20" s="379"/>
      <c r="E20" s="379"/>
      <c r="F20" s="379"/>
      <c r="G20" s="379"/>
      <c r="H20" s="379"/>
      <c r="I20" s="379"/>
      <c r="J20" s="379"/>
      <c r="K20" s="379"/>
      <c r="L20" s="379"/>
      <c r="M20" s="379"/>
      <c r="N20" s="380"/>
      <c r="O20" s="393"/>
    </row>
    <row r="21" spans="1:15" x14ac:dyDescent="0.25">
      <c r="A21" s="88" t="s">
        <v>36</v>
      </c>
      <c r="B21" s="20"/>
      <c r="C21" s="384">
        <f>$G$38</f>
        <v>5.3788442674849862E-2</v>
      </c>
      <c r="D21" s="374">
        <f>$G$38</f>
        <v>5.3788442674849862E-2</v>
      </c>
      <c r="E21" s="374">
        <f>$G$38</f>
        <v>5.3788442674849862E-2</v>
      </c>
      <c r="F21" s="374">
        <f>$G$38</f>
        <v>5.3788442674849862E-2</v>
      </c>
      <c r="G21" s="374">
        <f>$G$38</f>
        <v>5.3788442674849862E-2</v>
      </c>
      <c r="H21" s="374">
        <f>$G$37*0.5+$G$38*0.5</f>
        <v>5.3948442674849863E-2</v>
      </c>
      <c r="I21" s="374">
        <f>$G$37</f>
        <v>5.4108442674849863E-2</v>
      </c>
      <c r="J21" s="374">
        <f>$G$37</f>
        <v>5.4108442674849863E-2</v>
      </c>
      <c r="K21" s="374">
        <f>$G$37</f>
        <v>5.4108442674849863E-2</v>
      </c>
      <c r="L21" s="374">
        <f>$G$37*0.5+$G$38*0.5</f>
        <v>5.3948442674849863E-2</v>
      </c>
      <c r="M21" s="374">
        <f>$G$38</f>
        <v>5.3788442674849862E-2</v>
      </c>
      <c r="N21" s="385">
        <f>$G$38</f>
        <v>5.3788442674849862E-2</v>
      </c>
      <c r="O21" s="395"/>
    </row>
    <row r="22" spans="1:15" x14ac:dyDescent="0.25">
      <c r="A22" s="354" t="s">
        <v>37</v>
      </c>
      <c r="B22" s="21"/>
      <c r="C22" s="386">
        <f>C19*$B$20*C21</f>
        <v>1149.8457073357126</v>
      </c>
      <c r="D22" s="387">
        <f t="shared" ref="D22:N22" si="3">D19*$B$20*D21</f>
        <v>2947.391177938749</v>
      </c>
      <c r="E22" s="387">
        <f t="shared" si="3"/>
        <v>4415.8445704845453</v>
      </c>
      <c r="F22" s="387">
        <f t="shared" si="3"/>
        <v>4637.252685473838</v>
      </c>
      <c r="G22" s="387">
        <f t="shared" si="3"/>
        <v>5925.7690157676898</v>
      </c>
      <c r="H22" s="387">
        <f t="shared" si="3"/>
        <v>10485.040113936029</v>
      </c>
      <c r="I22" s="387">
        <f t="shared" si="3"/>
        <v>15002.851453834463</v>
      </c>
      <c r="J22" s="387">
        <f t="shared" si="3"/>
        <v>16956.54191817456</v>
      </c>
      <c r="K22" s="387">
        <f t="shared" si="3"/>
        <v>13203.262345429581</v>
      </c>
      <c r="L22" s="387">
        <f t="shared" si="3"/>
        <v>12608.100944247979</v>
      </c>
      <c r="M22" s="387">
        <f t="shared" si="3"/>
        <v>17021.555016769416</v>
      </c>
      <c r="N22" s="388">
        <f t="shared" si="3"/>
        <v>25547.70990748121</v>
      </c>
      <c r="O22" s="429">
        <f>SUM(C22:N22)</f>
        <v>129901.16485687379</v>
      </c>
    </row>
    <row r="23" spans="1:15" x14ac:dyDescent="0.25">
      <c r="A23" s="88"/>
    </row>
    <row r="24" spans="1:15" x14ac:dyDescent="0.25">
      <c r="A24" s="88"/>
      <c r="K24" s="19"/>
      <c r="O24" s="428">
        <f>+O22/(O19*$B$20)</f>
        <v>5.3927758408072041E-2</v>
      </c>
    </row>
    <row r="25" spans="1:15" x14ac:dyDescent="0.25">
      <c r="A25" s="445" t="s">
        <v>39</v>
      </c>
      <c r="B25" s="259"/>
      <c r="C25" s="260"/>
      <c r="I25" s="23"/>
    </row>
    <row r="26" spans="1:15" x14ac:dyDescent="0.25">
      <c r="A26" s="356" t="s">
        <v>298</v>
      </c>
      <c r="B26" s="262"/>
      <c r="C26" s="263">
        <v>0.5</v>
      </c>
      <c r="I26" s="23"/>
    </row>
    <row r="27" spans="1:15" x14ac:dyDescent="0.25">
      <c r="A27" s="357" t="s">
        <v>299</v>
      </c>
      <c r="B27" s="261"/>
      <c r="C27" s="256">
        <v>0.25</v>
      </c>
      <c r="I27" s="23"/>
    </row>
    <row r="28" spans="1:15" x14ac:dyDescent="0.25">
      <c r="A28" s="358" t="s">
        <v>300</v>
      </c>
      <c r="B28" s="257"/>
      <c r="C28" s="258">
        <v>0.25</v>
      </c>
    </row>
    <row r="29" spans="1:15" x14ac:dyDescent="0.25">
      <c r="A29" s="88"/>
      <c r="C29" s="27"/>
    </row>
    <row r="30" spans="1:15" x14ac:dyDescent="0.25">
      <c r="A30" s="88" t="s">
        <v>33</v>
      </c>
      <c r="C30" s="223">
        <f t="array" ref="C30:N32">TRANSPOSE('8. Load Shapes'!$B$4:$D$15)</f>
        <v>0.10118199999999999</v>
      </c>
      <c r="D30" s="224">
        <v>8.8441000000000006E-2</v>
      </c>
      <c r="E30" s="224">
        <v>9.2879000000000003E-2</v>
      </c>
      <c r="F30" s="224">
        <v>8.4644999999999998E-2</v>
      </c>
      <c r="G30" s="224">
        <v>7.9393000000000005E-2</v>
      </c>
      <c r="H30" s="224">
        <v>6.8507999999999999E-2</v>
      </c>
      <c r="I30" s="225">
        <v>6.7863999999999994E-2</v>
      </c>
      <c r="J30" s="225">
        <v>7.0565000000000003E-2</v>
      </c>
      <c r="K30" s="225">
        <v>7.3791999999999996E-2</v>
      </c>
      <c r="L30" s="225">
        <v>8.4539000000000003E-2</v>
      </c>
      <c r="M30" s="225">
        <v>8.9880000000000002E-2</v>
      </c>
      <c r="N30" s="226">
        <v>9.8311999999999997E-2</v>
      </c>
      <c r="O30" s="412"/>
    </row>
    <row r="31" spans="1:15" x14ac:dyDescent="0.25">
      <c r="A31" s="88" t="s">
        <v>40</v>
      </c>
      <c r="C31" s="227">
        <v>0.21790599999999999</v>
      </c>
      <c r="D31" s="228">
        <v>0.18213499999999999</v>
      </c>
      <c r="E31" s="228">
        <v>0.13483300000000001</v>
      </c>
      <c r="F31" s="228">
        <v>5.8486000000000003E-2</v>
      </c>
      <c r="G31" s="228">
        <v>1.7144E-2</v>
      </c>
      <c r="H31" s="228">
        <v>5.1000000000000004E-4</v>
      </c>
      <c r="I31" s="229">
        <v>6.0000000000000002E-6</v>
      </c>
      <c r="J31" s="229">
        <v>9.0000000000000002E-6</v>
      </c>
      <c r="K31" s="229">
        <v>8.8090000000000009E-3</v>
      </c>
      <c r="L31" s="229">
        <v>5.4961999999999997E-2</v>
      </c>
      <c r="M31" s="229">
        <v>0.115899</v>
      </c>
      <c r="N31" s="230">
        <v>0.20930099999999999</v>
      </c>
      <c r="O31" s="412"/>
    </row>
    <row r="32" spans="1:15" x14ac:dyDescent="0.25">
      <c r="A32" s="88" t="s">
        <v>41</v>
      </c>
      <c r="C32" s="231">
        <v>1.1999999999999999E-3</v>
      </c>
      <c r="D32" s="232">
        <v>1.1000000000000001E-3</v>
      </c>
      <c r="E32" s="232">
        <v>3.13E-3</v>
      </c>
      <c r="F32" s="232">
        <v>1.5047E-2</v>
      </c>
      <c r="G32" s="232">
        <v>6.5409999999999996E-2</v>
      </c>
      <c r="H32" s="232">
        <v>0.21082300000000001</v>
      </c>
      <c r="I32" s="233">
        <v>0.28478100000000001</v>
      </c>
      <c r="J32" s="233">
        <v>0.27076600000000001</v>
      </c>
      <c r="K32" s="233">
        <v>0.126605</v>
      </c>
      <c r="L32" s="233">
        <v>1.8471999999999999E-2</v>
      </c>
      <c r="M32" s="233">
        <v>1.444E-3</v>
      </c>
      <c r="N32" s="234">
        <v>1.222E-3</v>
      </c>
      <c r="O32" s="412"/>
    </row>
    <row r="33" spans="1:9" x14ac:dyDescent="0.25">
      <c r="A33" s="88"/>
      <c r="C33" s="24"/>
      <c r="D33" s="24"/>
      <c r="E33" s="24"/>
      <c r="F33" s="24"/>
      <c r="G33" s="24"/>
      <c r="H33" s="24"/>
    </row>
    <row r="34" spans="1:9" x14ac:dyDescent="0.25">
      <c r="A34" s="88"/>
      <c r="C34" s="24"/>
      <c r="D34" s="24"/>
      <c r="E34" s="24"/>
      <c r="F34" s="24"/>
      <c r="G34" s="24"/>
      <c r="H34" s="24"/>
    </row>
    <row r="35" spans="1:9" x14ac:dyDescent="0.25">
      <c r="A35" s="445" t="s">
        <v>92</v>
      </c>
      <c r="B35" s="764" t="s">
        <v>247</v>
      </c>
      <c r="C35" s="764"/>
      <c r="D35" s="764"/>
      <c r="E35" s="764"/>
      <c r="F35" s="764"/>
      <c r="G35" s="765"/>
      <c r="I35" s="23"/>
    </row>
    <row r="36" spans="1:9" x14ac:dyDescent="0.25">
      <c r="A36" s="444"/>
      <c r="B36" s="248" t="s">
        <v>147</v>
      </c>
      <c r="C36" s="248" t="s">
        <v>42</v>
      </c>
      <c r="D36" s="248" t="s">
        <v>156</v>
      </c>
      <c r="E36" s="248" t="s">
        <v>43</v>
      </c>
      <c r="F36" s="248" t="s">
        <v>132</v>
      </c>
      <c r="G36" s="252" t="s">
        <v>44</v>
      </c>
    </row>
    <row r="37" spans="1:9" x14ac:dyDescent="0.25">
      <c r="A37" s="359" t="s">
        <v>45</v>
      </c>
      <c r="B37" s="265">
        <v>8.9980000000000004E-2</v>
      </c>
      <c r="C37" s="254">
        <v>7.0910000000000001E-2</v>
      </c>
      <c r="D37" s="254">
        <v>6.4170000000000005E-2</v>
      </c>
      <c r="E37" s="254">
        <v>8.6999999999999994E-3</v>
      </c>
      <c r="F37" s="255">
        <v>5.0000000000000001E-3</v>
      </c>
      <c r="G37" s="28">
        <f>SUMPRODUCT(B37:D37,B40:D40)-E37-F37*$F$40</f>
        <v>5.4108442674849863E-2</v>
      </c>
    </row>
    <row r="38" spans="1:9" x14ac:dyDescent="0.25">
      <c r="A38" s="359" t="s">
        <v>46</v>
      </c>
      <c r="B38" s="266">
        <v>7.7929999999999999E-2</v>
      </c>
      <c r="C38" s="267">
        <v>6.4360000000000001E-2</v>
      </c>
      <c r="D38" s="267">
        <v>6.3850000000000004E-2</v>
      </c>
      <c r="E38" s="274">
        <f>E37</f>
        <v>8.6999999999999994E-3</v>
      </c>
      <c r="F38" s="275">
        <f>+F37</f>
        <v>5.0000000000000001E-3</v>
      </c>
      <c r="G38" s="28">
        <f>SUMPRODUCT(B38:D38,B41:D41)-E38-F38*$F$40</f>
        <v>5.3788442674849862E-2</v>
      </c>
    </row>
    <row r="39" spans="1:9" x14ac:dyDescent="0.25">
      <c r="A39" s="359"/>
      <c r="B39" s="17"/>
    </row>
    <row r="40" spans="1:9" x14ac:dyDescent="0.25">
      <c r="A40" s="359" t="s">
        <v>45</v>
      </c>
      <c r="B40" s="285">
        <f t="array" ref="B40:D41">TRANSPOSE('Step Adjustments'!B40:C42)</f>
        <v>0</v>
      </c>
      <c r="C40" s="286">
        <v>0</v>
      </c>
      <c r="D40" s="287">
        <v>1</v>
      </c>
      <c r="F40" s="253">
        <v>0.27231146503002779</v>
      </c>
    </row>
    <row r="41" spans="1:9" x14ac:dyDescent="0.25">
      <c r="A41" s="359" t="s">
        <v>46</v>
      </c>
      <c r="B41" s="288">
        <v>0</v>
      </c>
      <c r="C41" s="289">
        <v>0</v>
      </c>
      <c r="D41" s="290">
        <v>1</v>
      </c>
    </row>
  </sheetData>
  <mergeCells count="2">
    <mergeCell ref="C1:N1"/>
    <mergeCell ref="B35:G35"/>
  </mergeCell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AAF43-1FE8-4175-A1B1-935406CEAA8A}">
  <sheetPr codeName="Sheet22"/>
  <dimension ref="A1:D51"/>
  <sheetViews>
    <sheetView zoomScaleNormal="100" workbookViewId="0"/>
  </sheetViews>
  <sheetFormatPr defaultRowHeight="13.1" x14ac:dyDescent="0.25"/>
  <cols>
    <col min="1" max="1" width="43.140625" style="14" customWidth="1"/>
    <col min="2" max="4" width="18.28515625" customWidth="1"/>
    <col min="5" max="8" width="15.28515625" customWidth="1"/>
  </cols>
  <sheetData>
    <row r="1" spans="1:4" x14ac:dyDescent="0.25">
      <c r="A1" s="168"/>
      <c r="B1" s="1"/>
    </row>
    <row r="2" spans="1:4" x14ac:dyDescent="0.25">
      <c r="A2" s="212" t="s">
        <v>62</v>
      </c>
      <c r="B2" s="2"/>
    </row>
    <row r="4" spans="1:4" x14ac:dyDescent="0.25">
      <c r="A4" s="174" t="s">
        <v>63</v>
      </c>
      <c r="B4" s="47"/>
    </row>
    <row r="5" spans="1:4" ht="15.05" x14ac:dyDescent="0.3">
      <c r="A5" s="14" t="s">
        <v>64</v>
      </c>
      <c r="B5" s="4"/>
      <c r="D5" s="496"/>
    </row>
    <row r="6" spans="1:4" x14ac:dyDescent="0.25">
      <c r="A6" s="14" t="s">
        <v>65</v>
      </c>
      <c r="B6" s="5"/>
    </row>
    <row r="7" spans="1:4" ht="13.75" thickBot="1" x14ac:dyDescent="0.3">
      <c r="A7" s="497" t="s">
        <v>66</v>
      </c>
      <c r="B7" s="39">
        <v>0</v>
      </c>
    </row>
    <row r="8" spans="1:4" ht="13.75" thickTop="1" x14ac:dyDescent="0.25"/>
    <row r="9" spans="1:4" x14ac:dyDescent="0.25">
      <c r="A9" s="174" t="s">
        <v>67</v>
      </c>
      <c r="B9" s="47"/>
    </row>
    <row r="10" spans="1:4" x14ac:dyDescent="0.25">
      <c r="A10" s="14" t="s">
        <v>2</v>
      </c>
      <c r="B10" s="137">
        <f>+C16*B7</f>
        <v>0</v>
      </c>
    </row>
    <row r="11" spans="1:4" x14ac:dyDescent="0.25">
      <c r="A11" s="14" t="s">
        <v>3</v>
      </c>
      <c r="B11" s="138">
        <f>+C17*B7</f>
        <v>0</v>
      </c>
    </row>
    <row r="12" spans="1:4" ht="13.75" thickBot="1" x14ac:dyDescent="0.3">
      <c r="A12" s="497" t="s">
        <v>66</v>
      </c>
      <c r="B12" s="43">
        <f>SUM(B10:B11)</f>
        <v>0</v>
      </c>
    </row>
    <row r="13" spans="1:4" ht="13.75" thickTop="1" x14ac:dyDescent="0.25"/>
    <row r="15" spans="1:4" x14ac:dyDescent="0.25">
      <c r="A15" s="174" t="s">
        <v>68</v>
      </c>
      <c r="B15" s="45" t="s">
        <v>69</v>
      </c>
      <c r="C15" s="46" t="s">
        <v>70</v>
      </c>
    </row>
    <row r="16" spans="1:4" x14ac:dyDescent="0.25">
      <c r="A16" s="498" t="s">
        <v>2</v>
      </c>
      <c r="B16" s="41">
        <f>'9. Sales Summary'!D31</f>
        <v>1792994878.831372</v>
      </c>
      <c r="C16" s="92">
        <f>+B16/B18</f>
        <v>0.46212546270466764</v>
      </c>
    </row>
    <row r="17" spans="1:3" x14ac:dyDescent="0.25">
      <c r="A17" s="498" t="s">
        <v>3</v>
      </c>
      <c r="B17" s="41">
        <f>'9. Sales Summary'!D32</f>
        <v>2086892778.3809476</v>
      </c>
      <c r="C17" s="92">
        <f>+B17/B18</f>
        <v>0.53787453729533241</v>
      </c>
    </row>
    <row r="18" spans="1:3" ht="13.75" thickBot="1" x14ac:dyDescent="0.3">
      <c r="A18" s="175" t="s">
        <v>1</v>
      </c>
      <c r="B18" s="43">
        <f>SUM(B16:B17)</f>
        <v>3879887657.2123194</v>
      </c>
      <c r="C18" s="481">
        <f>SUM(C16:C17)</f>
        <v>1</v>
      </c>
    </row>
    <row r="19" spans="1:3" ht="13.75" thickTop="1" x14ac:dyDescent="0.25"/>
    <row r="50" hidden="1" x14ac:dyDescent="0.25"/>
    <row r="51" hidden="1" x14ac:dyDescent="0.25"/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FD191-DBAE-458A-917D-36066B00F9BE}">
  <sheetPr codeName="Sheet23">
    <tabColor theme="1" tint="0.34998626667073579"/>
  </sheetPr>
  <dimension ref="A1"/>
  <sheetViews>
    <sheetView showGridLines="0" zoomScaleNormal="100" workbookViewId="0"/>
  </sheetViews>
  <sheetFormatPr defaultRowHeight="13.1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6B460-AF97-4D0F-8C3C-B646CBB8F36A}">
  <sheetPr codeName="Sheet26"/>
  <dimension ref="A1:N64"/>
  <sheetViews>
    <sheetView zoomScaleNormal="100" workbookViewId="0"/>
  </sheetViews>
  <sheetFormatPr defaultColWidth="16.7109375" defaultRowHeight="12.8" customHeight="1" x14ac:dyDescent="0.25"/>
  <cols>
    <col min="1" max="1" width="30.7109375" style="105" customWidth="1"/>
    <col min="2" max="16384" width="16.7109375" style="105"/>
  </cols>
  <sheetData>
    <row r="1" spans="1:9" ht="12.8" customHeight="1" x14ac:dyDescent="0.25">
      <c r="A1" s="103"/>
      <c r="B1" s="766" t="s">
        <v>2</v>
      </c>
      <c r="C1" s="766"/>
      <c r="D1" s="766"/>
      <c r="E1" s="767" t="s">
        <v>3</v>
      </c>
      <c r="F1" s="767"/>
      <c r="G1" s="767"/>
      <c r="H1" s="104"/>
    </row>
    <row r="2" spans="1:9" ht="12.8" customHeight="1" x14ac:dyDescent="0.25">
      <c r="A2" s="106" t="s">
        <v>240</v>
      </c>
      <c r="B2" s="107" t="s">
        <v>153</v>
      </c>
      <c r="C2" s="107" t="s">
        <v>154</v>
      </c>
      <c r="D2" s="107" t="s">
        <v>1</v>
      </c>
      <c r="E2" s="107" t="s">
        <v>153</v>
      </c>
      <c r="F2" s="107" t="s">
        <v>154</v>
      </c>
      <c r="G2" s="107" t="s">
        <v>1</v>
      </c>
      <c r="H2" s="108" t="s">
        <v>1</v>
      </c>
    </row>
    <row r="3" spans="1:9" ht="12.8" customHeight="1" x14ac:dyDescent="0.25">
      <c r="A3" s="87" t="s">
        <v>64</v>
      </c>
      <c r="B3" s="109" t="s">
        <v>64</v>
      </c>
      <c r="C3" s="109" t="s">
        <v>23</v>
      </c>
      <c r="D3" s="109" t="s">
        <v>2</v>
      </c>
      <c r="E3" s="109" t="s">
        <v>64</v>
      </c>
      <c r="F3" s="109" t="s">
        <v>23</v>
      </c>
      <c r="G3" s="109" t="s">
        <v>3</v>
      </c>
      <c r="H3" s="110" t="s">
        <v>89</v>
      </c>
    </row>
    <row r="4" spans="1:9" ht="12.8" customHeight="1" x14ac:dyDescent="0.25">
      <c r="B4" s="111"/>
    </row>
    <row r="5" spans="1:9" ht="12.8" customHeight="1" x14ac:dyDescent="0.25">
      <c r="A5" s="112">
        <v>45292</v>
      </c>
      <c r="B5" s="113">
        <f t="array" ref="B5:B16">TRANSPOSE(B50:M50)</f>
        <v>2322.5</v>
      </c>
      <c r="C5" s="114">
        <f>C25</f>
        <v>4079.6178521753131</v>
      </c>
      <c r="D5" s="114">
        <f>SUM(B5:C5)</f>
        <v>6402.1178521753136</v>
      </c>
      <c r="E5" s="113">
        <f t="array" ref="E5:E16">TRANSPOSE(B55:M55)</f>
        <v>0</v>
      </c>
      <c r="F5" s="114">
        <f>D25</f>
        <v>5149.3821478246864</v>
      </c>
      <c r="G5" s="114">
        <f>SUM(E5:F5)</f>
        <v>5149.3821478246864</v>
      </c>
      <c r="H5" s="114">
        <f>+D5+G5</f>
        <v>11551.5</v>
      </c>
      <c r="I5" s="15">
        <f>+H5-SUM(B5,E5,B25)</f>
        <v>0</v>
      </c>
    </row>
    <row r="6" spans="1:9" ht="12.8" customHeight="1" x14ac:dyDescent="0.25">
      <c r="A6" s="112">
        <f t="shared" ref="A6:A16" si="0">EOMONTH(A5,1)</f>
        <v>45351</v>
      </c>
      <c r="B6" s="115">
        <v>165</v>
      </c>
      <c r="C6" s="116">
        <f>C26</f>
        <v>21996.517926329587</v>
      </c>
      <c r="D6" s="116">
        <f>SUM(B6:C6)</f>
        <v>22161.517926329587</v>
      </c>
      <c r="E6" s="115">
        <v>0</v>
      </c>
      <c r="F6" s="116">
        <f>D26</f>
        <v>27764.482073670413</v>
      </c>
      <c r="G6" s="116">
        <f>SUM(E6:F6)</f>
        <v>27764.482073670413</v>
      </c>
      <c r="H6" s="116">
        <f>+D6+G6</f>
        <v>49926</v>
      </c>
      <c r="I6" s="15">
        <f t="shared" ref="I6:I15" si="1">+H6-SUM(B6,E6,B26)</f>
        <v>0</v>
      </c>
    </row>
    <row r="7" spans="1:9" ht="12.8" customHeight="1" x14ac:dyDescent="0.25">
      <c r="A7" s="112">
        <f t="shared" si="0"/>
        <v>45382</v>
      </c>
      <c r="B7" s="115">
        <v>21213</v>
      </c>
      <c r="C7" s="116">
        <f t="shared" ref="C7:C16" si="2">C27</f>
        <v>13627.753685633626</v>
      </c>
      <c r="D7" s="116">
        <f t="shared" ref="D7:D16" si="3">SUM(B7:C7)</f>
        <v>34840.753685633623</v>
      </c>
      <c r="E7" s="115">
        <v>47841</v>
      </c>
      <c r="F7" s="116">
        <f t="shared" ref="F7:F16" si="4">D27</f>
        <v>17201.246314366374</v>
      </c>
      <c r="G7" s="116">
        <f t="shared" ref="G7:G16" si="5">SUM(E7:F7)</f>
        <v>65042.246314366377</v>
      </c>
      <c r="H7" s="116">
        <f t="shared" ref="H7:H16" si="6">+D7+G7</f>
        <v>99883</v>
      </c>
      <c r="I7" s="15">
        <f t="shared" si="1"/>
        <v>0</v>
      </c>
    </row>
    <row r="8" spans="1:9" ht="12.8" customHeight="1" x14ac:dyDescent="0.25">
      <c r="A8" s="112">
        <f t="shared" si="0"/>
        <v>45412</v>
      </c>
      <c r="B8" s="115">
        <v>24720</v>
      </c>
      <c r="C8" s="116">
        <f t="shared" si="2"/>
        <v>12760.464680761163</v>
      </c>
      <c r="D8" s="116">
        <f t="shared" si="3"/>
        <v>37480.464680761164</v>
      </c>
      <c r="E8" s="115">
        <v>82441</v>
      </c>
      <c r="F8" s="116">
        <f t="shared" si="4"/>
        <v>16106.535319238837</v>
      </c>
      <c r="G8" s="116">
        <f t="shared" si="5"/>
        <v>98547.535319238843</v>
      </c>
      <c r="H8" s="116">
        <f t="shared" si="6"/>
        <v>136028</v>
      </c>
      <c r="I8" s="15">
        <f t="shared" si="1"/>
        <v>0</v>
      </c>
    </row>
    <row r="9" spans="1:9" ht="12.8" customHeight="1" x14ac:dyDescent="0.25">
      <c r="A9" s="112">
        <f t="shared" si="0"/>
        <v>45443</v>
      </c>
      <c r="B9" s="115">
        <v>127335.98</v>
      </c>
      <c r="C9" s="116">
        <f t="shared" si="2"/>
        <v>30345.40347867228</v>
      </c>
      <c r="D9" s="116">
        <f t="shared" si="3"/>
        <v>157681.38347867227</v>
      </c>
      <c r="E9" s="115">
        <v>58467.51</v>
      </c>
      <c r="F9" s="116">
        <f t="shared" si="4"/>
        <v>38302.626521327722</v>
      </c>
      <c r="G9" s="116">
        <f t="shared" si="5"/>
        <v>96770.136521327717</v>
      </c>
      <c r="H9" s="116">
        <f t="shared" si="6"/>
        <v>254451.52</v>
      </c>
      <c r="I9" s="15">
        <f t="shared" si="1"/>
        <v>0</v>
      </c>
    </row>
    <row r="10" spans="1:9" ht="12.8" customHeight="1" x14ac:dyDescent="0.25">
      <c r="A10" s="112">
        <f t="shared" si="0"/>
        <v>45473</v>
      </c>
      <c r="B10" s="115">
        <v>12750</v>
      </c>
      <c r="C10" s="116">
        <f t="shared" si="2"/>
        <v>17475.740835182449</v>
      </c>
      <c r="D10" s="116">
        <f t="shared" si="3"/>
        <v>30225.740835182449</v>
      </c>
      <c r="E10" s="115">
        <v>174990</v>
      </c>
      <c r="F10" s="116">
        <f t="shared" si="4"/>
        <v>22058.259164817551</v>
      </c>
      <c r="G10" s="116">
        <f t="shared" si="5"/>
        <v>197048.25916481754</v>
      </c>
      <c r="H10" s="116">
        <f t="shared" si="6"/>
        <v>227274</v>
      </c>
      <c r="I10" s="15">
        <f t="shared" si="1"/>
        <v>0</v>
      </c>
    </row>
    <row r="11" spans="1:9" ht="12.8" customHeight="1" x14ac:dyDescent="0.25">
      <c r="A11" s="112">
        <f t="shared" si="0"/>
        <v>45504</v>
      </c>
      <c r="B11" s="115">
        <v>84920.9</v>
      </c>
      <c r="C11" s="116">
        <f t="shared" si="2"/>
        <v>9156.9274902818961</v>
      </c>
      <c r="D11" s="116">
        <f t="shared" si="3"/>
        <v>94077.827490281896</v>
      </c>
      <c r="E11" s="115">
        <v>0</v>
      </c>
      <c r="F11" s="116">
        <f t="shared" si="4"/>
        <v>11558.072509718104</v>
      </c>
      <c r="G11" s="116">
        <f t="shared" si="5"/>
        <v>11558.072509718104</v>
      </c>
      <c r="H11" s="116">
        <f t="shared" si="6"/>
        <v>105635.9</v>
      </c>
      <c r="I11" s="15">
        <f t="shared" si="1"/>
        <v>0</v>
      </c>
    </row>
    <row r="12" spans="1:9" ht="12.8" customHeight="1" x14ac:dyDescent="0.25">
      <c r="A12" s="112">
        <f t="shared" si="0"/>
        <v>45535</v>
      </c>
      <c r="B12" s="115">
        <v>109740.04</v>
      </c>
      <c r="C12" s="116">
        <f t="shared" si="2"/>
        <v>43502.809804543191</v>
      </c>
      <c r="D12" s="116">
        <f t="shared" si="3"/>
        <v>153242.84980454319</v>
      </c>
      <c r="E12" s="115">
        <v>147311</v>
      </c>
      <c r="F12" s="116">
        <f t="shared" si="4"/>
        <v>54910.190195456809</v>
      </c>
      <c r="G12" s="116">
        <f t="shared" si="5"/>
        <v>202221.19019545682</v>
      </c>
      <c r="H12" s="116">
        <f t="shared" si="6"/>
        <v>355464.04000000004</v>
      </c>
      <c r="I12" s="15">
        <f t="shared" si="1"/>
        <v>0</v>
      </c>
    </row>
    <row r="13" spans="1:9" ht="12.8" customHeight="1" x14ac:dyDescent="0.25">
      <c r="A13" s="112">
        <f t="shared" si="0"/>
        <v>45565</v>
      </c>
      <c r="B13" s="115">
        <v>128978</v>
      </c>
      <c r="C13" s="116">
        <f t="shared" si="2"/>
        <v>35623.829568637593</v>
      </c>
      <c r="D13" s="116">
        <f t="shared" si="3"/>
        <v>164601.82956863759</v>
      </c>
      <c r="E13" s="115">
        <v>19489</v>
      </c>
      <c r="F13" s="116">
        <f t="shared" si="4"/>
        <v>44965.170431362407</v>
      </c>
      <c r="G13" s="116">
        <f t="shared" si="5"/>
        <v>64454.170431362407</v>
      </c>
      <c r="H13" s="116">
        <f t="shared" si="6"/>
        <v>229056</v>
      </c>
      <c r="I13" s="15">
        <f t="shared" si="1"/>
        <v>0</v>
      </c>
    </row>
    <row r="14" spans="1:9" ht="12.8" customHeight="1" x14ac:dyDescent="0.25">
      <c r="A14" s="112">
        <f t="shared" si="0"/>
        <v>45596</v>
      </c>
      <c r="B14" s="115">
        <v>68208</v>
      </c>
      <c r="C14" s="116">
        <f t="shared" si="2"/>
        <v>16463.461619505619</v>
      </c>
      <c r="D14" s="116">
        <f t="shared" si="3"/>
        <v>84671.461619505615</v>
      </c>
      <c r="E14" s="115">
        <v>147048</v>
      </c>
      <c r="F14" s="116">
        <f t="shared" si="4"/>
        <v>20780.538380494381</v>
      </c>
      <c r="G14" s="116">
        <f t="shared" si="5"/>
        <v>167828.53838049437</v>
      </c>
      <c r="H14" s="116">
        <f t="shared" si="6"/>
        <v>252500</v>
      </c>
      <c r="I14" s="15">
        <f t="shared" si="1"/>
        <v>0</v>
      </c>
    </row>
    <row r="15" spans="1:9" ht="12.8" customHeight="1" x14ac:dyDescent="0.25">
      <c r="A15" s="112">
        <f t="shared" si="0"/>
        <v>45626</v>
      </c>
      <c r="B15" s="115">
        <v>34039</v>
      </c>
      <c r="C15" s="116">
        <f t="shared" si="2"/>
        <v>15577.354830261384</v>
      </c>
      <c r="D15" s="116">
        <f t="shared" si="3"/>
        <v>49616.354830261385</v>
      </c>
      <c r="E15" s="115">
        <v>598895</v>
      </c>
      <c r="F15" s="116">
        <f t="shared" si="4"/>
        <v>19662.075169738619</v>
      </c>
      <c r="G15" s="116">
        <f t="shared" si="5"/>
        <v>618557.07516973861</v>
      </c>
      <c r="H15" s="116">
        <f t="shared" si="6"/>
        <v>668173.43000000005</v>
      </c>
      <c r="I15" s="15">
        <f t="shared" si="1"/>
        <v>0</v>
      </c>
    </row>
    <row r="16" spans="1:9" ht="12.8" customHeight="1" x14ac:dyDescent="0.25">
      <c r="A16" s="112">
        <f t="shared" si="0"/>
        <v>45657</v>
      </c>
      <c r="B16" s="117">
        <v>82084</v>
      </c>
      <c r="C16" s="116">
        <f t="shared" si="2"/>
        <v>37448.142373483999</v>
      </c>
      <c r="D16" s="116">
        <f t="shared" si="3"/>
        <v>119532.14237348401</v>
      </c>
      <c r="E16" s="117">
        <v>667173</v>
      </c>
      <c r="F16" s="116">
        <f t="shared" si="4"/>
        <v>47267.857626516001</v>
      </c>
      <c r="G16" s="116">
        <f t="shared" si="5"/>
        <v>714440.85762651602</v>
      </c>
      <c r="H16" s="116">
        <f t="shared" si="6"/>
        <v>833973</v>
      </c>
    </row>
    <row r="17" spans="1:9" ht="12.8" customHeight="1" x14ac:dyDescent="0.25">
      <c r="A17" s="118"/>
    </row>
    <row r="18" spans="1:9" ht="12.8" customHeight="1" thickBot="1" x14ac:dyDescent="0.3">
      <c r="A18" s="119" t="s">
        <v>1</v>
      </c>
      <c r="B18" s="84">
        <f t="shared" ref="B18:H18" si="7">SUM(B5:B16)</f>
        <v>696476.41999999993</v>
      </c>
      <c r="C18" s="84">
        <f t="shared" si="7"/>
        <v>258058.02414546811</v>
      </c>
      <c r="D18" s="84">
        <f t="shared" si="7"/>
        <v>954534.44414546806</v>
      </c>
      <c r="E18" s="84">
        <f t="shared" si="7"/>
        <v>1943655.51</v>
      </c>
      <c r="F18" s="84">
        <f t="shared" si="7"/>
        <v>325726.43585453194</v>
      </c>
      <c r="G18" s="84">
        <f t="shared" si="7"/>
        <v>2269381.9458545321</v>
      </c>
      <c r="H18" s="84">
        <f t="shared" si="7"/>
        <v>3223916.39</v>
      </c>
      <c r="I18" s="15">
        <f>+H16-SUM(B16,E16,B36)</f>
        <v>0</v>
      </c>
    </row>
    <row r="19" spans="1:9" ht="12.8" customHeight="1" thickTop="1" x14ac:dyDescent="0.25">
      <c r="B19" s="120"/>
    </row>
    <row r="21" spans="1:9" ht="12.8" customHeight="1" x14ac:dyDescent="0.25">
      <c r="A21" s="103">
        <f>A1</f>
        <v>0</v>
      </c>
      <c r="B21" s="768"/>
      <c r="C21" s="768"/>
      <c r="D21" s="768"/>
      <c r="E21" s="769"/>
    </row>
    <row r="22" spans="1:9" ht="12.8" customHeight="1" x14ac:dyDescent="0.25">
      <c r="A22" s="221" t="s">
        <v>240</v>
      </c>
      <c r="B22" s="107" t="s">
        <v>87</v>
      </c>
      <c r="C22" s="107" t="s">
        <v>2</v>
      </c>
      <c r="D22" s="107" t="s">
        <v>3</v>
      </c>
      <c r="E22" s="108" t="s">
        <v>23</v>
      </c>
    </row>
    <row r="23" spans="1:9" ht="12.8" customHeight="1" x14ac:dyDescent="0.25">
      <c r="A23" s="87" t="s">
        <v>23</v>
      </c>
      <c r="B23" s="109" t="s">
        <v>0</v>
      </c>
      <c r="C23" s="109" t="s">
        <v>88</v>
      </c>
      <c r="D23" s="109" t="s">
        <v>88</v>
      </c>
      <c r="E23" s="110"/>
    </row>
    <row r="24" spans="1:9" ht="12.8" customHeight="1" x14ac:dyDescent="0.25">
      <c r="B24" s="111"/>
    </row>
    <row r="25" spans="1:9" ht="12.8" customHeight="1" x14ac:dyDescent="0.25">
      <c r="A25" s="112">
        <f>A5</f>
        <v>45292</v>
      </c>
      <c r="B25" s="113">
        <f t="array" ref="B25:B36">TRANSPOSE(B59:M59)</f>
        <v>9229</v>
      </c>
      <c r="C25" s="121">
        <f>+$B25*C$40</f>
        <v>4079.6178521753131</v>
      </c>
      <c r="D25" s="121">
        <f>+$B25*D$40</f>
        <v>5149.3821478246864</v>
      </c>
      <c r="E25" s="121">
        <f>SUM(C25:D25)</f>
        <v>9229</v>
      </c>
    </row>
    <row r="26" spans="1:9" ht="12.8" customHeight="1" x14ac:dyDescent="0.25">
      <c r="A26" s="112">
        <f t="shared" ref="A26:A36" si="8">EOMONTH(A25,1)</f>
        <v>45351</v>
      </c>
      <c r="B26" s="115">
        <v>49761</v>
      </c>
      <c r="C26" s="15">
        <f t="shared" ref="C26:D36" si="9">+$B26*C$40</f>
        <v>21996.517926329587</v>
      </c>
      <c r="D26" s="15">
        <f t="shared" si="9"/>
        <v>27764.482073670413</v>
      </c>
      <c r="E26" s="116">
        <f t="shared" ref="E26:E36" si="10">SUM(C26:D26)</f>
        <v>49761</v>
      </c>
    </row>
    <row r="27" spans="1:9" ht="12.8" customHeight="1" x14ac:dyDescent="0.25">
      <c r="A27" s="112">
        <f t="shared" si="8"/>
        <v>45382</v>
      </c>
      <c r="B27" s="115">
        <v>30829</v>
      </c>
      <c r="C27" s="15">
        <f t="shared" si="9"/>
        <v>13627.753685633626</v>
      </c>
      <c r="D27" s="15">
        <f t="shared" si="9"/>
        <v>17201.246314366374</v>
      </c>
      <c r="E27" s="116">
        <f t="shared" si="10"/>
        <v>30829</v>
      </c>
    </row>
    <row r="28" spans="1:9" ht="12.8" customHeight="1" x14ac:dyDescent="0.25">
      <c r="A28" s="112">
        <f t="shared" si="8"/>
        <v>45412</v>
      </c>
      <c r="B28" s="115">
        <v>28867</v>
      </c>
      <c r="C28" s="15">
        <f t="shared" si="9"/>
        <v>12760.464680761163</v>
      </c>
      <c r="D28" s="15">
        <f t="shared" si="9"/>
        <v>16106.535319238837</v>
      </c>
      <c r="E28" s="116">
        <f t="shared" si="10"/>
        <v>28867</v>
      </c>
    </row>
    <row r="29" spans="1:9" ht="12.8" customHeight="1" x14ac:dyDescent="0.25">
      <c r="A29" s="112">
        <f t="shared" si="8"/>
        <v>45443</v>
      </c>
      <c r="B29" s="115">
        <v>68648.03</v>
      </c>
      <c r="C29" s="15">
        <f t="shared" si="9"/>
        <v>30345.40347867228</v>
      </c>
      <c r="D29" s="15">
        <f t="shared" si="9"/>
        <v>38302.626521327722</v>
      </c>
      <c r="E29" s="116">
        <f t="shared" si="10"/>
        <v>68648.03</v>
      </c>
    </row>
    <row r="30" spans="1:9" ht="12.8" customHeight="1" x14ac:dyDescent="0.25">
      <c r="A30" s="112">
        <f t="shared" si="8"/>
        <v>45473</v>
      </c>
      <c r="B30" s="115">
        <v>39534</v>
      </c>
      <c r="C30" s="15">
        <f t="shared" si="9"/>
        <v>17475.740835182449</v>
      </c>
      <c r="D30" s="15">
        <f t="shared" si="9"/>
        <v>22058.259164817551</v>
      </c>
      <c r="E30" s="116">
        <f t="shared" si="10"/>
        <v>39534</v>
      </c>
    </row>
    <row r="31" spans="1:9" ht="12.8" customHeight="1" x14ac:dyDescent="0.25">
      <c r="A31" s="112">
        <f t="shared" si="8"/>
        <v>45504</v>
      </c>
      <c r="B31" s="115">
        <v>20715</v>
      </c>
      <c r="C31" s="15">
        <f t="shared" si="9"/>
        <v>9156.9274902818961</v>
      </c>
      <c r="D31" s="15">
        <f t="shared" si="9"/>
        <v>11558.072509718104</v>
      </c>
      <c r="E31" s="116">
        <f t="shared" si="10"/>
        <v>20715</v>
      </c>
    </row>
    <row r="32" spans="1:9" ht="12.8" customHeight="1" x14ac:dyDescent="0.25">
      <c r="A32" s="112">
        <f t="shared" si="8"/>
        <v>45535</v>
      </c>
      <c r="B32" s="115">
        <v>98413</v>
      </c>
      <c r="C32" s="15">
        <f t="shared" si="9"/>
        <v>43502.809804543191</v>
      </c>
      <c r="D32" s="15">
        <f t="shared" si="9"/>
        <v>54910.190195456809</v>
      </c>
      <c r="E32" s="116">
        <f t="shared" si="10"/>
        <v>98413</v>
      </c>
    </row>
    <row r="33" spans="1:14" ht="12.8" customHeight="1" x14ac:dyDescent="0.25">
      <c r="A33" s="112">
        <f t="shared" si="8"/>
        <v>45565</v>
      </c>
      <c r="B33" s="115">
        <v>80589</v>
      </c>
      <c r="C33" s="15">
        <f t="shared" si="9"/>
        <v>35623.829568637593</v>
      </c>
      <c r="D33" s="15">
        <f t="shared" si="9"/>
        <v>44965.170431362407</v>
      </c>
      <c r="E33" s="116">
        <f t="shared" si="10"/>
        <v>80589</v>
      </c>
    </row>
    <row r="34" spans="1:14" ht="12.8" customHeight="1" x14ac:dyDescent="0.25">
      <c r="A34" s="112">
        <f t="shared" si="8"/>
        <v>45596</v>
      </c>
      <c r="B34" s="115">
        <v>37244</v>
      </c>
      <c r="C34" s="15">
        <f t="shared" si="9"/>
        <v>16463.461619505619</v>
      </c>
      <c r="D34" s="15">
        <f t="shared" si="9"/>
        <v>20780.538380494381</v>
      </c>
      <c r="E34" s="116">
        <f t="shared" si="10"/>
        <v>37244</v>
      </c>
    </row>
    <row r="35" spans="1:14" ht="12.8" customHeight="1" x14ac:dyDescent="0.25">
      <c r="A35" s="112">
        <f t="shared" si="8"/>
        <v>45626</v>
      </c>
      <c r="B35" s="115">
        <v>35239.43</v>
      </c>
      <c r="C35" s="15">
        <f t="shared" si="9"/>
        <v>15577.354830261384</v>
      </c>
      <c r="D35" s="15">
        <f t="shared" si="9"/>
        <v>19662.075169738619</v>
      </c>
      <c r="E35" s="116">
        <f t="shared" si="10"/>
        <v>35239.43</v>
      </c>
    </row>
    <row r="36" spans="1:14" ht="12.8" customHeight="1" x14ac:dyDescent="0.25">
      <c r="A36" s="112">
        <f t="shared" si="8"/>
        <v>45657</v>
      </c>
      <c r="B36" s="117">
        <v>84716</v>
      </c>
      <c r="C36" s="15">
        <f t="shared" si="9"/>
        <v>37448.142373483999</v>
      </c>
      <c r="D36" s="15">
        <f t="shared" si="9"/>
        <v>47267.857626516001</v>
      </c>
      <c r="E36" s="116">
        <f t="shared" si="10"/>
        <v>84716</v>
      </c>
    </row>
    <row r="37" spans="1:14" ht="12.8" customHeight="1" x14ac:dyDescent="0.25">
      <c r="A37" s="118"/>
    </row>
    <row r="38" spans="1:14" ht="12.8" customHeight="1" thickBot="1" x14ac:dyDescent="0.3">
      <c r="A38" s="119" t="s">
        <v>1</v>
      </c>
      <c r="B38" s="84">
        <f>SUM(B25:B36)</f>
        <v>583784.46</v>
      </c>
      <c r="C38" s="84">
        <f>SUM(C25:C36)</f>
        <v>258058.02414546811</v>
      </c>
      <c r="D38" s="84">
        <f>SUM(D25:D36)</f>
        <v>325726.43585453194</v>
      </c>
      <c r="E38" s="84">
        <f>SUM(E25:E36)</f>
        <v>583784.46</v>
      </c>
    </row>
    <row r="39" spans="1:14" ht="12.8" customHeight="1" thickTop="1" x14ac:dyDescent="0.25"/>
    <row r="40" spans="1:14" ht="12.8" customHeight="1" x14ac:dyDescent="0.25">
      <c r="A40" s="217" t="s">
        <v>88</v>
      </c>
      <c r="B40" s="218"/>
      <c r="C40" s="219">
        <f>'9. Sales Summary'!E4</f>
        <v>0.44204332562307003</v>
      </c>
      <c r="D40" s="219">
        <f>'9. Sales Summary'!E5</f>
        <v>0.55795667437692997</v>
      </c>
      <c r="E40" s="220">
        <f>+C40+D40</f>
        <v>1</v>
      </c>
    </row>
    <row r="42" spans="1:14" ht="12.8" customHeight="1" x14ac:dyDescent="0.25">
      <c r="A42" s="222" t="s">
        <v>240</v>
      </c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3"/>
    </row>
    <row r="43" spans="1:14" ht="12.8" customHeight="1" x14ac:dyDescent="0.25">
      <c r="A43" s="87" t="s">
        <v>155</v>
      </c>
      <c r="B43" s="124" t="s">
        <v>106</v>
      </c>
      <c r="C43" s="124" t="s">
        <v>107</v>
      </c>
      <c r="D43" s="124" t="s">
        <v>108</v>
      </c>
      <c r="E43" s="124" t="s">
        <v>109</v>
      </c>
      <c r="F43" s="124" t="s">
        <v>53</v>
      </c>
      <c r="G43" s="124" t="s">
        <v>110</v>
      </c>
      <c r="H43" s="124" t="s">
        <v>111</v>
      </c>
      <c r="I43" s="124" t="s">
        <v>112</v>
      </c>
      <c r="J43" s="124" t="s">
        <v>113</v>
      </c>
      <c r="K43" s="124" t="s">
        <v>114</v>
      </c>
      <c r="L43" s="124" t="s">
        <v>115</v>
      </c>
      <c r="M43" s="124" t="s">
        <v>116</v>
      </c>
      <c r="N43" s="125" t="s">
        <v>117</v>
      </c>
    </row>
    <row r="44" spans="1:14" ht="12.8" customHeight="1" x14ac:dyDescent="0.25">
      <c r="A44" s="127"/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9"/>
    </row>
    <row r="45" spans="1:14" ht="12.8" customHeight="1" x14ac:dyDescent="0.25">
      <c r="A45" s="130" t="s">
        <v>76</v>
      </c>
      <c r="B45" s="315">
        <v>0</v>
      </c>
      <c r="C45" s="316">
        <v>165</v>
      </c>
      <c r="D45" s="316">
        <v>463</v>
      </c>
      <c r="E45" s="316">
        <v>17820</v>
      </c>
      <c r="F45" s="316">
        <v>56770.74</v>
      </c>
      <c r="G45" s="316">
        <v>4900</v>
      </c>
      <c r="H45" s="316">
        <v>60020.9</v>
      </c>
      <c r="I45" s="316">
        <v>71411.289999999994</v>
      </c>
      <c r="J45" s="316">
        <v>90786</v>
      </c>
      <c r="K45" s="316">
        <v>45416</v>
      </c>
      <c r="L45" s="316">
        <v>21780</v>
      </c>
      <c r="M45" s="317">
        <v>58603</v>
      </c>
      <c r="N45" s="121">
        <f>SUM(B45:M45)</f>
        <v>428135.93</v>
      </c>
    </row>
    <row r="46" spans="1:14" ht="12.8" customHeight="1" x14ac:dyDescent="0.25">
      <c r="A46" s="130" t="s">
        <v>118</v>
      </c>
      <c r="B46" s="318">
        <v>0</v>
      </c>
      <c r="C46" s="314">
        <v>0</v>
      </c>
      <c r="D46" s="314">
        <v>0</v>
      </c>
      <c r="E46" s="314">
        <v>0</v>
      </c>
      <c r="F46" s="314">
        <v>14499.99</v>
      </c>
      <c r="G46" s="314">
        <v>0</v>
      </c>
      <c r="H46" s="314">
        <v>0</v>
      </c>
      <c r="I46" s="314">
        <v>14500</v>
      </c>
      <c r="J46" s="314">
        <v>4833</v>
      </c>
      <c r="K46" s="314">
        <v>4833</v>
      </c>
      <c r="L46" s="314">
        <v>0</v>
      </c>
      <c r="M46" s="319">
        <v>1</v>
      </c>
      <c r="N46" s="121">
        <f>SUM(B46:M46)</f>
        <v>38666.99</v>
      </c>
    </row>
    <row r="47" spans="1:14" ht="12.8" customHeight="1" x14ac:dyDescent="0.25">
      <c r="A47" s="130" t="s">
        <v>77</v>
      </c>
      <c r="B47" s="318">
        <v>0</v>
      </c>
      <c r="C47" s="314">
        <v>0</v>
      </c>
      <c r="D47" s="314">
        <v>20750</v>
      </c>
      <c r="E47" s="314">
        <v>6900</v>
      </c>
      <c r="F47" s="314">
        <v>23478.5</v>
      </c>
      <c r="G47" s="314">
        <v>7850</v>
      </c>
      <c r="H47" s="314">
        <v>24900</v>
      </c>
      <c r="I47" s="314">
        <v>23828.75</v>
      </c>
      <c r="J47" s="314">
        <v>33359</v>
      </c>
      <c r="K47" s="314">
        <v>17959</v>
      </c>
      <c r="L47" s="314">
        <v>12259</v>
      </c>
      <c r="M47" s="319">
        <v>23480</v>
      </c>
      <c r="N47" s="121">
        <f>SUM(B47:M47)</f>
        <v>194764.25</v>
      </c>
    </row>
    <row r="48" spans="1:14" ht="12.8" customHeight="1" x14ac:dyDescent="0.25">
      <c r="A48" s="130" t="s">
        <v>119</v>
      </c>
      <c r="B48" s="320">
        <v>2322.5</v>
      </c>
      <c r="C48" s="321">
        <v>0</v>
      </c>
      <c r="D48" s="321">
        <v>0</v>
      </c>
      <c r="E48" s="321">
        <v>0</v>
      </c>
      <c r="F48" s="321">
        <v>32586.75</v>
      </c>
      <c r="G48" s="321">
        <v>0</v>
      </c>
      <c r="H48" s="321">
        <v>0</v>
      </c>
      <c r="I48" s="321">
        <v>0</v>
      </c>
      <c r="J48" s="321">
        <v>0</v>
      </c>
      <c r="K48" s="321">
        <v>0</v>
      </c>
      <c r="L48" s="321">
        <v>0</v>
      </c>
      <c r="M48" s="322">
        <v>0</v>
      </c>
      <c r="N48" s="121">
        <f>SUM(B48:M48)</f>
        <v>34909.25</v>
      </c>
    </row>
    <row r="49" spans="1:14" ht="12.8" customHeight="1" x14ac:dyDescent="0.25">
      <c r="A49" s="131"/>
    </row>
    <row r="50" spans="1:14" ht="12.8" customHeight="1" thickBot="1" x14ac:dyDescent="0.3">
      <c r="A50" s="132" t="s">
        <v>120</v>
      </c>
      <c r="B50" s="126">
        <f t="shared" ref="B50:N50" si="11">SUM(B45:B48)</f>
        <v>2322.5</v>
      </c>
      <c r="C50" s="126">
        <f t="shared" ref="C50:M50" si="12">SUM(C45:C48)</f>
        <v>165</v>
      </c>
      <c r="D50" s="126">
        <f t="shared" si="12"/>
        <v>21213</v>
      </c>
      <c r="E50" s="126">
        <f t="shared" si="12"/>
        <v>24720</v>
      </c>
      <c r="F50" s="126">
        <f t="shared" si="12"/>
        <v>127335.98</v>
      </c>
      <c r="G50" s="126">
        <f t="shared" si="12"/>
        <v>12750</v>
      </c>
      <c r="H50" s="126">
        <f t="shared" si="12"/>
        <v>84920.9</v>
      </c>
      <c r="I50" s="126">
        <f t="shared" si="12"/>
        <v>109740.04</v>
      </c>
      <c r="J50" s="126">
        <f t="shared" si="12"/>
        <v>128978</v>
      </c>
      <c r="K50" s="126">
        <f t="shared" si="12"/>
        <v>68208</v>
      </c>
      <c r="L50" s="126">
        <f t="shared" si="12"/>
        <v>34039</v>
      </c>
      <c r="M50" s="126">
        <f t="shared" si="12"/>
        <v>82084</v>
      </c>
      <c r="N50" s="126">
        <f t="shared" si="11"/>
        <v>696476.41999999993</v>
      </c>
    </row>
    <row r="51" spans="1:14" ht="12.8" customHeight="1" thickTop="1" x14ac:dyDescent="0.25">
      <c r="A51" s="131"/>
    </row>
    <row r="52" spans="1:14" ht="12.8" customHeight="1" x14ac:dyDescent="0.25">
      <c r="A52" s="130" t="s">
        <v>121</v>
      </c>
      <c r="B52" s="315">
        <v>0</v>
      </c>
      <c r="C52" s="316">
        <v>0</v>
      </c>
      <c r="D52" s="316">
        <v>0</v>
      </c>
      <c r="E52" s="316">
        <v>71788</v>
      </c>
      <c r="F52" s="316">
        <v>17298.510000000002</v>
      </c>
      <c r="G52" s="316">
        <v>0</v>
      </c>
      <c r="H52" s="316">
        <v>0</v>
      </c>
      <c r="I52" s="316">
        <v>106142</v>
      </c>
      <c r="J52" s="316">
        <v>5766</v>
      </c>
      <c r="K52" s="316">
        <v>50134</v>
      </c>
      <c r="L52" s="316">
        <v>5766</v>
      </c>
      <c r="M52" s="317">
        <v>168335</v>
      </c>
      <c r="N52" s="121">
        <f>SUM(B52:M52)</f>
        <v>425229.51</v>
      </c>
    </row>
    <row r="53" spans="1:14" ht="12.8" customHeight="1" x14ac:dyDescent="0.25">
      <c r="A53" s="130" t="s">
        <v>122</v>
      </c>
      <c r="B53" s="320">
        <v>0</v>
      </c>
      <c r="C53" s="321">
        <v>0</v>
      </c>
      <c r="D53" s="321">
        <v>47841</v>
      </c>
      <c r="E53" s="321">
        <v>10653</v>
      </c>
      <c r="F53" s="321">
        <v>41169</v>
      </c>
      <c r="G53" s="321">
        <v>174990</v>
      </c>
      <c r="H53" s="321">
        <v>0</v>
      </c>
      <c r="I53" s="321">
        <v>41169</v>
      </c>
      <c r="J53" s="321">
        <v>13723</v>
      </c>
      <c r="K53" s="321">
        <v>96914</v>
      </c>
      <c r="L53" s="321">
        <v>593129</v>
      </c>
      <c r="M53" s="322">
        <v>498838</v>
      </c>
      <c r="N53" s="121">
        <f>SUM(B53:M53)</f>
        <v>1518426</v>
      </c>
    </row>
    <row r="54" spans="1:14" ht="12.8" customHeight="1" x14ac:dyDescent="0.25">
      <c r="A54" s="131"/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</row>
    <row r="55" spans="1:14" ht="12.8" customHeight="1" thickBot="1" x14ac:dyDescent="0.3">
      <c r="A55" s="132" t="s">
        <v>233</v>
      </c>
      <c r="B55" s="126">
        <f>SUM(B52:B53)</f>
        <v>0</v>
      </c>
      <c r="C55" s="126">
        <f t="shared" ref="C55:M55" si="13">SUM(C52:C53)</f>
        <v>0</v>
      </c>
      <c r="D55" s="126">
        <f t="shared" si="13"/>
        <v>47841</v>
      </c>
      <c r="E55" s="126">
        <f t="shared" si="13"/>
        <v>82441</v>
      </c>
      <c r="F55" s="126">
        <f t="shared" si="13"/>
        <v>58467.51</v>
      </c>
      <c r="G55" s="126">
        <f t="shared" si="13"/>
        <v>174990</v>
      </c>
      <c r="H55" s="126">
        <f t="shared" si="13"/>
        <v>0</v>
      </c>
      <c r="I55" s="126">
        <f t="shared" si="13"/>
        <v>147311</v>
      </c>
      <c r="J55" s="126">
        <f t="shared" si="13"/>
        <v>19489</v>
      </c>
      <c r="K55" s="126">
        <f t="shared" si="13"/>
        <v>147048</v>
      </c>
      <c r="L55" s="126">
        <f t="shared" si="13"/>
        <v>598895</v>
      </c>
      <c r="M55" s="126">
        <f t="shared" si="13"/>
        <v>667173</v>
      </c>
      <c r="N55" s="126">
        <f t="shared" ref="N55" si="14">SUM(N52:N53)</f>
        <v>1943655.51</v>
      </c>
    </row>
    <row r="56" spans="1:14" ht="12.8" customHeight="1" thickTop="1" x14ac:dyDescent="0.25">
      <c r="A56" s="131"/>
    </row>
    <row r="57" spans="1:14" ht="12.8" customHeight="1" x14ac:dyDescent="0.25">
      <c r="A57" s="130" t="s">
        <v>87</v>
      </c>
      <c r="B57" s="323">
        <v>9229</v>
      </c>
      <c r="C57" s="324">
        <v>49761</v>
      </c>
      <c r="D57" s="324">
        <v>30829</v>
      </c>
      <c r="E57" s="324">
        <v>28867</v>
      </c>
      <c r="F57" s="324">
        <v>68648.03</v>
      </c>
      <c r="G57" s="324">
        <v>39534</v>
      </c>
      <c r="H57" s="324">
        <v>20715</v>
      </c>
      <c r="I57" s="324">
        <v>98413</v>
      </c>
      <c r="J57" s="324">
        <v>80589</v>
      </c>
      <c r="K57" s="324">
        <v>37244</v>
      </c>
      <c r="L57" s="324">
        <v>35239.43</v>
      </c>
      <c r="M57" s="325">
        <v>84716</v>
      </c>
      <c r="N57" s="121">
        <f>SUM(B57:M57)</f>
        <v>583784.46</v>
      </c>
    </row>
    <row r="59" spans="1:14" ht="12.8" customHeight="1" thickBot="1" x14ac:dyDescent="0.3">
      <c r="A59" s="132" t="s">
        <v>123</v>
      </c>
      <c r="B59" s="126">
        <f>B57</f>
        <v>9229</v>
      </c>
      <c r="C59" s="126">
        <f t="shared" ref="C59:M59" si="15">C57</f>
        <v>49761</v>
      </c>
      <c r="D59" s="126">
        <f t="shared" si="15"/>
        <v>30829</v>
      </c>
      <c r="E59" s="126">
        <f t="shared" si="15"/>
        <v>28867</v>
      </c>
      <c r="F59" s="126">
        <f t="shared" si="15"/>
        <v>68648.03</v>
      </c>
      <c r="G59" s="126">
        <f t="shared" si="15"/>
        <v>39534</v>
      </c>
      <c r="H59" s="126">
        <f t="shared" si="15"/>
        <v>20715</v>
      </c>
      <c r="I59" s="126">
        <f t="shared" si="15"/>
        <v>98413</v>
      </c>
      <c r="J59" s="126">
        <f t="shared" si="15"/>
        <v>80589</v>
      </c>
      <c r="K59" s="126">
        <f t="shared" si="15"/>
        <v>37244</v>
      </c>
      <c r="L59" s="126">
        <f t="shared" si="15"/>
        <v>35239.43</v>
      </c>
      <c r="M59" s="126">
        <f t="shared" si="15"/>
        <v>84716</v>
      </c>
      <c r="N59" s="126">
        <f t="shared" ref="N59" si="16">N57</f>
        <v>583784.46</v>
      </c>
    </row>
    <row r="60" spans="1:14" ht="12.8" customHeight="1" thickTop="1" x14ac:dyDescent="0.25"/>
    <row r="62" spans="1:14" ht="12.8" customHeight="1" thickBot="1" x14ac:dyDescent="0.3">
      <c r="A62" s="133" t="s">
        <v>86</v>
      </c>
      <c r="B62" s="84">
        <f>SUM(B50,B55,B59)</f>
        <v>11551.5</v>
      </c>
      <c r="C62" s="84">
        <f t="shared" ref="C62:N62" si="17">SUM(C50,C55,C59)</f>
        <v>49926</v>
      </c>
      <c r="D62" s="84">
        <f t="shared" si="17"/>
        <v>99883</v>
      </c>
      <c r="E62" s="84">
        <f t="shared" si="17"/>
        <v>136028</v>
      </c>
      <c r="F62" s="84">
        <f t="shared" si="17"/>
        <v>254451.52</v>
      </c>
      <c r="G62" s="84">
        <f t="shared" si="17"/>
        <v>227274</v>
      </c>
      <c r="H62" s="84">
        <f t="shared" si="17"/>
        <v>105635.9</v>
      </c>
      <c r="I62" s="84">
        <f t="shared" si="17"/>
        <v>355464.04</v>
      </c>
      <c r="J62" s="84">
        <f t="shared" si="17"/>
        <v>229056</v>
      </c>
      <c r="K62" s="84">
        <f t="shared" si="17"/>
        <v>252500</v>
      </c>
      <c r="L62" s="84">
        <f t="shared" si="17"/>
        <v>668173.43000000005</v>
      </c>
      <c r="M62" s="84">
        <f t="shared" si="17"/>
        <v>833973</v>
      </c>
      <c r="N62" s="84">
        <f t="shared" si="17"/>
        <v>3223916.3899999997</v>
      </c>
    </row>
    <row r="63" spans="1:14" ht="12.8" customHeight="1" thickTop="1" x14ac:dyDescent="0.25"/>
    <row r="64" spans="1:14" ht="12.8" customHeight="1" x14ac:dyDescent="0.25">
      <c r="A64" s="105" t="s">
        <v>179</v>
      </c>
      <c r="N64" s="326">
        <v>0</v>
      </c>
    </row>
  </sheetData>
  <mergeCells count="3">
    <mergeCell ref="B1:D1"/>
    <mergeCell ref="E1:G1"/>
    <mergeCell ref="B21:E21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19656-C185-4165-9D70-CB5C7F01C9C8}">
  <sheetPr codeName="Sheet27"/>
  <dimension ref="A1:Y18"/>
  <sheetViews>
    <sheetView zoomScaleNormal="100" workbookViewId="0"/>
  </sheetViews>
  <sheetFormatPr defaultColWidth="9.140625" defaultRowHeight="13.1" x14ac:dyDescent="0.25"/>
  <cols>
    <col min="1" max="1" width="28" style="335" customWidth="1"/>
    <col min="2" max="2" width="29.140625" style="331" bestFit="1" customWidth="1"/>
    <col min="3" max="3" width="11.5703125" style="140" bestFit="1" customWidth="1"/>
    <col min="4" max="4" width="12.7109375" style="140" bestFit="1" customWidth="1"/>
    <col min="5" max="12" width="12" style="140" bestFit="1" customWidth="1"/>
    <col min="13" max="15" width="11.7109375" style="140" bestFit="1" customWidth="1"/>
    <col min="16" max="16" width="14.28515625" style="140" bestFit="1" customWidth="1"/>
    <col min="17" max="17" width="13.85546875" style="335" bestFit="1" customWidth="1"/>
    <col min="18" max="24" width="13.85546875" style="140" bestFit="1" customWidth="1"/>
    <col min="25" max="25" width="15.42578125" style="140" bestFit="1" customWidth="1"/>
    <col min="26" max="30" width="15.42578125" style="331" bestFit="1" customWidth="1"/>
    <col min="31" max="31" width="20.28515625" style="331" customWidth="1"/>
    <col min="32" max="41" width="14.85546875" style="331" bestFit="1" customWidth="1"/>
    <col min="42" max="53" width="9.140625" style="331" bestFit="1" customWidth="1"/>
    <col min="54" max="54" width="9.7109375" style="331" bestFit="1" customWidth="1"/>
    <col min="55" max="65" width="9.140625" style="331" bestFit="1" customWidth="1"/>
    <col min="66" max="66" width="12.7109375" style="331" bestFit="1" customWidth="1"/>
    <col min="67" max="67" width="14.5703125" style="331" bestFit="1" customWidth="1"/>
    <col min="68" max="79" width="9.140625" style="331" bestFit="1" customWidth="1"/>
    <col min="80" max="80" width="9.7109375" style="331" bestFit="1" customWidth="1"/>
    <col min="81" max="81" width="9.140625" style="331" bestFit="1" customWidth="1"/>
    <col min="82" max="93" width="13.7109375" style="331" bestFit="1" customWidth="1"/>
    <col min="94" max="120" width="9.140625" style="331" bestFit="1" customWidth="1"/>
    <col min="121" max="126" width="11.85546875" style="331" bestFit="1" customWidth="1"/>
    <col min="127" max="129" width="13.7109375" style="331" bestFit="1" customWidth="1"/>
    <col min="130" max="132" width="11.85546875" style="331" bestFit="1" customWidth="1"/>
    <col min="133" max="133" width="9.140625" style="331" bestFit="1" customWidth="1"/>
    <col min="134" max="145" width="13.7109375" style="331" bestFit="1" customWidth="1"/>
    <col min="146" max="185" width="9.140625" style="331" bestFit="1" customWidth="1"/>
    <col min="186" max="197" width="11.85546875" style="331" bestFit="1" customWidth="1"/>
    <col min="198" max="224" width="9.140625" style="331" bestFit="1" customWidth="1"/>
    <col min="225" max="228" width="11.85546875" style="331" bestFit="1" customWidth="1"/>
    <col min="229" max="229" width="10.85546875" style="331" bestFit="1" customWidth="1"/>
    <col min="230" max="230" width="11.85546875" style="331" bestFit="1" customWidth="1"/>
    <col min="231" max="231" width="10.85546875" style="331" bestFit="1" customWidth="1"/>
    <col min="232" max="232" width="11.85546875" style="331" bestFit="1" customWidth="1"/>
    <col min="233" max="236" width="10.85546875" style="331" bestFit="1" customWidth="1"/>
    <col min="237" max="302" width="9.140625" style="331" bestFit="1" customWidth="1"/>
    <col min="303" max="314" width="10.85546875" style="331" bestFit="1" customWidth="1"/>
    <col min="315" max="315" width="9.140625" style="331" bestFit="1" customWidth="1"/>
    <col min="316" max="317" width="11.7109375" style="331" bestFit="1" customWidth="1"/>
    <col min="318" max="318" width="10.5703125" style="331" bestFit="1" customWidth="1"/>
    <col min="319" max="320" width="9.140625" style="331" bestFit="1" customWidth="1"/>
    <col min="321" max="321" width="10.5703125" style="331" bestFit="1" customWidth="1"/>
    <col min="322" max="323" width="11.7109375" style="331" bestFit="1" customWidth="1"/>
    <col min="324" max="326" width="10.5703125" style="331" bestFit="1" customWidth="1"/>
    <col min="327" max="327" width="11.7109375" style="331" bestFit="1" customWidth="1"/>
    <col min="328" max="328" width="9.140625" style="331" bestFit="1" customWidth="1"/>
    <col min="329" max="340" width="11.85546875" style="331" bestFit="1" customWidth="1"/>
    <col min="341" max="354" width="9.140625" style="331" bestFit="1" customWidth="1"/>
    <col min="355" max="366" width="14.85546875" style="331" bestFit="1" customWidth="1"/>
    <col min="367" max="367" width="10.85546875" style="331" bestFit="1" customWidth="1"/>
    <col min="368" max="368" width="14.7109375" style="331" bestFit="1" customWidth="1"/>
    <col min="369" max="369" width="15.85546875" style="331" bestFit="1" customWidth="1"/>
    <col min="370" max="370" width="9.7109375" style="331" bestFit="1" customWidth="1"/>
    <col min="371" max="371" width="14.5703125" style="331" bestFit="1" customWidth="1"/>
    <col min="372" max="372" width="9.7109375" style="331" bestFit="1" customWidth="1"/>
    <col min="373" max="373" width="14.85546875" style="331" bestFit="1" customWidth="1"/>
    <col min="374" max="375" width="9.140625" style="331" bestFit="1" customWidth="1"/>
    <col min="376" max="377" width="14.85546875" style="331" bestFit="1" customWidth="1"/>
    <col min="378" max="380" width="9.140625" style="331" bestFit="1" customWidth="1"/>
    <col min="381" max="381" width="13.7109375" style="331" bestFit="1" customWidth="1"/>
    <col min="382" max="383" width="9.140625" style="331" bestFit="1" customWidth="1"/>
    <col min="384" max="384" width="13.7109375" style="331" bestFit="1" customWidth="1"/>
    <col min="385" max="389" width="9.140625" style="331" bestFit="1" customWidth="1"/>
    <col min="390" max="390" width="11.85546875" style="331" bestFit="1" customWidth="1"/>
    <col min="391" max="391" width="12.7109375" style="331" bestFit="1" customWidth="1"/>
    <col min="392" max="392" width="13.7109375" style="331" bestFit="1" customWidth="1"/>
    <col min="393" max="393" width="9.140625" style="331" bestFit="1" customWidth="1"/>
    <col min="394" max="394" width="15.85546875" style="331" bestFit="1" customWidth="1"/>
    <col min="395" max="16384" width="9.140625" style="331"/>
  </cols>
  <sheetData>
    <row r="1" spans="1:25" x14ac:dyDescent="0.25">
      <c r="A1" s="168"/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30"/>
      <c r="R1" s="331"/>
      <c r="S1" s="331"/>
      <c r="T1" s="331"/>
      <c r="U1" s="331"/>
      <c r="V1" s="331"/>
      <c r="W1" s="331"/>
      <c r="X1" s="331"/>
      <c r="Y1" s="331"/>
    </row>
    <row r="2" spans="1:25" x14ac:dyDescent="0.25">
      <c r="A2" s="179" t="s">
        <v>270</v>
      </c>
      <c r="B2" s="332"/>
      <c r="C2" s="216"/>
      <c r="D2" s="333">
        <v>45292</v>
      </c>
      <c r="E2" s="333">
        <f>EOMONTH(D2,1)</f>
        <v>45351</v>
      </c>
      <c r="F2" s="333">
        <f t="shared" ref="F2:O2" si="0">EOMONTH(E2,1)</f>
        <v>45382</v>
      </c>
      <c r="G2" s="333">
        <f t="shared" si="0"/>
        <v>45412</v>
      </c>
      <c r="H2" s="333">
        <f t="shared" si="0"/>
        <v>45443</v>
      </c>
      <c r="I2" s="333">
        <f t="shared" si="0"/>
        <v>45473</v>
      </c>
      <c r="J2" s="333">
        <f t="shared" si="0"/>
        <v>45504</v>
      </c>
      <c r="K2" s="333">
        <f t="shared" si="0"/>
        <v>45535</v>
      </c>
      <c r="L2" s="333">
        <f t="shared" si="0"/>
        <v>45565</v>
      </c>
      <c r="M2" s="333">
        <f t="shared" si="0"/>
        <v>45596</v>
      </c>
      <c r="N2" s="333">
        <f t="shared" si="0"/>
        <v>45626</v>
      </c>
      <c r="O2" s="333">
        <f t="shared" si="0"/>
        <v>45657</v>
      </c>
      <c r="P2" s="334" t="s">
        <v>1</v>
      </c>
      <c r="R2" s="331"/>
      <c r="S2" s="331"/>
      <c r="T2" s="331"/>
      <c r="U2" s="331"/>
      <c r="V2" s="331"/>
      <c r="W2" s="331"/>
      <c r="X2" s="331"/>
      <c r="Y2" s="331"/>
    </row>
    <row r="3" spans="1:25" x14ac:dyDescent="0.25"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R3" s="331"/>
      <c r="S3" s="331"/>
      <c r="T3" s="331"/>
      <c r="U3" s="331"/>
      <c r="V3" s="331"/>
      <c r="W3" s="331"/>
      <c r="X3" s="331"/>
      <c r="Y3" s="331"/>
    </row>
    <row r="4" spans="1:25" x14ac:dyDescent="0.25">
      <c r="A4" s="675" t="s">
        <v>272</v>
      </c>
      <c r="C4" s="331"/>
      <c r="D4" s="331"/>
      <c r="E4" s="331"/>
      <c r="F4" s="331"/>
      <c r="G4" s="331"/>
      <c r="H4" s="331"/>
      <c r="I4" s="331"/>
      <c r="J4" s="331"/>
      <c r="K4" s="331"/>
      <c r="L4" s="331"/>
      <c r="M4" s="331"/>
      <c r="N4" s="331"/>
      <c r="O4" s="331"/>
      <c r="P4" s="331"/>
      <c r="R4" s="331"/>
      <c r="S4" s="331"/>
      <c r="T4" s="331"/>
      <c r="U4" s="331"/>
      <c r="V4" s="331"/>
      <c r="W4" s="331"/>
      <c r="X4" s="331"/>
      <c r="Y4" s="331"/>
    </row>
    <row r="5" spans="1:25" x14ac:dyDescent="0.25">
      <c r="A5" s="335" t="s">
        <v>2</v>
      </c>
      <c r="C5" s="331"/>
      <c r="D5" s="327">
        <v>85607.892549019612</v>
      </c>
      <c r="E5" s="328">
        <v>97773.167843137242</v>
      </c>
      <c r="F5" s="328">
        <v>53556.920784313719</v>
      </c>
      <c r="G5" s="328">
        <v>46434.977254901954</v>
      </c>
      <c r="H5" s="328">
        <v>45074.980392156867</v>
      </c>
      <c r="I5" s="328">
        <v>55470.463529411762</v>
      </c>
      <c r="J5" s="328">
        <v>59998.74509803921</v>
      </c>
      <c r="K5" s="328">
        <v>94198.806274509785</v>
      </c>
      <c r="L5" s="328">
        <v>62858.054901960779</v>
      </c>
      <c r="M5" s="328">
        <v>45260.823374999993</v>
      </c>
      <c r="N5" s="328">
        <v>49428.792000000001</v>
      </c>
      <c r="O5" s="328">
        <v>75245.157749999998</v>
      </c>
      <c r="P5" s="341">
        <f t="shared" ref="P5:P6" si="1">SUM(D5:O5)</f>
        <v>770908.78175245097</v>
      </c>
      <c r="Q5" s="335">
        <v>0</v>
      </c>
      <c r="R5" s="698">
        <f>SUM(P5:P6)</f>
        <v>1740630.8206535499</v>
      </c>
      <c r="S5" s="331"/>
      <c r="T5" s="331"/>
      <c r="U5" s="331"/>
      <c r="V5" s="331"/>
      <c r="W5" s="331"/>
      <c r="X5" s="331"/>
      <c r="Y5" s="331"/>
    </row>
    <row r="6" spans="1:25" x14ac:dyDescent="0.25">
      <c r="A6" s="335" t="s">
        <v>3</v>
      </c>
      <c r="C6" s="331"/>
      <c r="D6" s="336">
        <v>145475.02830769229</v>
      </c>
      <c r="E6" s="337">
        <v>73529.676615384611</v>
      </c>
      <c r="F6" s="337">
        <v>55788.608923076943</v>
      </c>
      <c r="G6" s="337">
        <v>30482.657230769233</v>
      </c>
      <c r="H6" s="337">
        <v>72411.784615384619</v>
      </c>
      <c r="I6" s="337">
        <v>55809.231076923068</v>
      </c>
      <c r="J6" s="337">
        <v>42905.261538461542</v>
      </c>
      <c r="K6" s="337">
        <v>100236.59015384616</v>
      </c>
      <c r="L6" s="337">
        <v>49296.006153846138</v>
      </c>
      <c r="M6" s="337">
        <v>83460.188571428575</v>
      </c>
      <c r="N6" s="337">
        <v>94581.611428571428</v>
      </c>
      <c r="O6" s="337">
        <v>165745.39428571428</v>
      </c>
      <c r="P6" s="342">
        <f t="shared" si="1"/>
        <v>969722.03890109889</v>
      </c>
      <c r="Q6" s="335">
        <v>0</v>
      </c>
      <c r="R6" s="331"/>
      <c r="S6" s="331"/>
      <c r="T6" s="331"/>
      <c r="U6" s="331"/>
      <c r="V6" s="331"/>
      <c r="W6" s="331"/>
      <c r="X6" s="331"/>
      <c r="Y6" s="331"/>
    </row>
    <row r="7" spans="1:25" x14ac:dyDescent="0.25">
      <c r="C7" s="331"/>
      <c r="D7" s="331"/>
      <c r="E7" s="331"/>
      <c r="F7" s="331"/>
      <c r="G7" s="331"/>
      <c r="H7" s="331"/>
      <c r="I7" s="331"/>
      <c r="J7" s="331"/>
      <c r="K7" s="331"/>
      <c r="L7" s="331"/>
      <c r="M7" s="331"/>
      <c r="N7" s="331"/>
      <c r="O7" s="331"/>
      <c r="P7" s="331"/>
      <c r="R7" s="331"/>
      <c r="S7" s="331"/>
      <c r="T7" s="331"/>
      <c r="U7" s="331"/>
      <c r="V7" s="331"/>
      <c r="W7" s="331"/>
      <c r="X7" s="331"/>
      <c r="Y7" s="331"/>
    </row>
    <row r="8" spans="1:25" x14ac:dyDescent="0.25">
      <c r="A8" s="675" t="s">
        <v>271</v>
      </c>
      <c r="C8" s="331"/>
      <c r="D8" s="331"/>
      <c r="E8" s="331"/>
      <c r="F8" s="331"/>
      <c r="G8" s="331"/>
      <c r="H8" s="331"/>
      <c r="I8" s="331"/>
      <c r="J8" s="331"/>
      <c r="K8" s="331"/>
      <c r="L8" s="331"/>
      <c r="M8" s="331"/>
      <c r="N8" s="331"/>
      <c r="O8" s="331"/>
      <c r="P8" s="331"/>
      <c r="R8" s="331"/>
      <c r="S8" s="331"/>
      <c r="T8" s="331"/>
      <c r="U8" s="331"/>
      <c r="V8" s="331"/>
      <c r="W8" s="331"/>
      <c r="X8" s="331"/>
      <c r="Y8" s="331"/>
    </row>
    <row r="9" spans="1:25" x14ac:dyDescent="0.25">
      <c r="A9" s="335" t="s">
        <v>2</v>
      </c>
      <c r="C9" s="331"/>
      <c r="D9" s="327">
        <v>13619.437450980391</v>
      </c>
      <c r="E9" s="328">
        <v>15554.822156862741</v>
      </c>
      <c r="F9" s="328">
        <v>8520.4192156862719</v>
      </c>
      <c r="G9" s="328">
        <v>7387.382745098038</v>
      </c>
      <c r="H9" s="328">
        <v>7171.0196078431363</v>
      </c>
      <c r="I9" s="328">
        <v>8824.8464705882325</v>
      </c>
      <c r="J9" s="328">
        <v>9545.2549019607814</v>
      </c>
      <c r="K9" s="328">
        <v>14986.173725490193</v>
      </c>
      <c r="L9" s="328">
        <v>10000.145098039215</v>
      </c>
      <c r="M9" s="328">
        <v>20411.743874999996</v>
      </c>
      <c r="N9" s="328">
        <v>22291.416000000001</v>
      </c>
      <c r="O9" s="328">
        <v>33934.090750000003</v>
      </c>
      <c r="P9" s="341">
        <f t="shared" ref="P9:P10" si="2">SUM(D9:O9)</f>
        <v>172246.751997549</v>
      </c>
      <c r="Q9" s="335">
        <v>0</v>
      </c>
      <c r="R9" s="698">
        <f>SUM(P9:P10)</f>
        <v>669526.16452502145</v>
      </c>
      <c r="S9" s="331"/>
      <c r="T9" s="331"/>
      <c r="U9" s="331"/>
      <c r="V9" s="331"/>
      <c r="W9" s="331"/>
      <c r="X9" s="331"/>
      <c r="Y9" s="331"/>
    </row>
    <row r="10" spans="1:25" x14ac:dyDescent="0.25">
      <c r="A10" s="335" t="s">
        <v>3</v>
      </c>
      <c r="C10" s="331"/>
      <c r="D10" s="336">
        <v>60087.511692307693</v>
      </c>
      <c r="E10" s="337">
        <v>30370.953384615386</v>
      </c>
      <c r="F10" s="337">
        <v>23043.121076923086</v>
      </c>
      <c r="G10" s="337">
        <v>12590.66276923077</v>
      </c>
      <c r="H10" s="337">
        <v>29909.215384615385</v>
      </c>
      <c r="I10" s="337">
        <v>23051.63892307692</v>
      </c>
      <c r="J10" s="337">
        <v>17721.738461538462</v>
      </c>
      <c r="K10" s="337">
        <v>41402.069846153849</v>
      </c>
      <c r="L10" s="337">
        <v>20361.393846153842</v>
      </c>
      <c r="M10" s="337">
        <v>57958.46428571429</v>
      </c>
      <c r="N10" s="337">
        <v>65681.674603174601</v>
      </c>
      <c r="O10" s="337">
        <v>115100.96825396825</v>
      </c>
      <c r="P10" s="342">
        <f t="shared" si="2"/>
        <v>497279.41252747248</v>
      </c>
      <c r="Q10" s="335">
        <v>0</v>
      </c>
      <c r="R10" s="331"/>
      <c r="S10" s="331"/>
      <c r="T10" s="331"/>
      <c r="U10" s="331"/>
      <c r="V10" s="331"/>
      <c r="W10" s="331"/>
      <c r="X10" s="331"/>
      <c r="Y10" s="331"/>
    </row>
    <row r="11" spans="1:25" x14ac:dyDescent="0.25">
      <c r="C11" s="331"/>
      <c r="D11" s="331"/>
      <c r="E11" s="331"/>
      <c r="F11" s="331"/>
      <c r="G11" s="331"/>
      <c r="H11" s="331"/>
      <c r="I11" s="331"/>
      <c r="J11" s="331"/>
      <c r="K11" s="331"/>
      <c r="L11" s="331"/>
      <c r="M11" s="331"/>
      <c r="N11" s="331"/>
      <c r="O11" s="331"/>
      <c r="P11" s="331"/>
      <c r="R11" s="331"/>
      <c r="S11" s="331"/>
      <c r="T11" s="331"/>
      <c r="U11" s="331"/>
      <c r="V11" s="331"/>
      <c r="W11" s="331"/>
      <c r="X11" s="331"/>
      <c r="Y11" s="331"/>
    </row>
    <row r="12" spans="1:25" x14ac:dyDescent="0.25">
      <c r="A12" s="675" t="s">
        <v>273</v>
      </c>
      <c r="C12" s="331"/>
      <c r="D12" s="331"/>
      <c r="E12" s="331"/>
      <c r="F12" s="331"/>
      <c r="G12" s="331"/>
      <c r="H12" s="331"/>
      <c r="I12" s="331"/>
      <c r="J12" s="331"/>
      <c r="K12" s="331"/>
      <c r="L12" s="331"/>
      <c r="M12" s="331"/>
      <c r="N12" s="331"/>
      <c r="O12" s="331"/>
      <c r="P12" s="331"/>
      <c r="R12" s="331"/>
      <c r="S12" s="331"/>
      <c r="T12" s="331"/>
      <c r="U12" s="331"/>
      <c r="V12" s="331"/>
      <c r="W12" s="331"/>
      <c r="X12" s="331"/>
      <c r="Y12" s="331"/>
    </row>
    <row r="13" spans="1:25" x14ac:dyDescent="0.25">
      <c r="A13" s="335" t="s">
        <v>2</v>
      </c>
      <c r="C13" s="331"/>
      <c r="D13" s="327">
        <v>0</v>
      </c>
      <c r="E13" s="328">
        <v>0</v>
      </c>
      <c r="F13" s="328">
        <v>0</v>
      </c>
      <c r="G13" s="328">
        <v>0</v>
      </c>
      <c r="H13" s="328">
        <v>0</v>
      </c>
      <c r="I13" s="328">
        <v>0</v>
      </c>
      <c r="J13" s="328">
        <v>0</v>
      </c>
      <c r="K13" s="328">
        <v>0</v>
      </c>
      <c r="L13" s="328">
        <v>0</v>
      </c>
      <c r="M13" s="328">
        <v>5324.8027499999989</v>
      </c>
      <c r="N13" s="328">
        <v>5815.152</v>
      </c>
      <c r="O13" s="328">
        <v>8852.3715000000011</v>
      </c>
      <c r="P13" s="341">
        <f t="shared" ref="P13:P14" si="3">SUM(D13:O13)</f>
        <v>19992.326249999998</v>
      </c>
      <c r="Q13" s="335">
        <v>0</v>
      </c>
      <c r="R13" s="698">
        <f>SUM(P13:P14)</f>
        <v>39091.614821428571</v>
      </c>
      <c r="S13" s="331"/>
      <c r="T13" s="331"/>
      <c r="U13" s="331"/>
      <c r="V13" s="331"/>
      <c r="W13" s="331"/>
      <c r="X13" s="331"/>
      <c r="Y13" s="331"/>
    </row>
    <row r="14" spans="1:25" x14ac:dyDescent="0.25">
      <c r="A14" s="335" t="s">
        <v>3</v>
      </c>
      <c r="C14" s="331"/>
      <c r="D14" s="336">
        <v>0</v>
      </c>
      <c r="E14" s="337">
        <v>0</v>
      </c>
      <c r="F14" s="337">
        <v>0</v>
      </c>
      <c r="G14" s="337">
        <v>0</v>
      </c>
      <c r="H14" s="337">
        <v>0</v>
      </c>
      <c r="I14" s="337">
        <v>0</v>
      </c>
      <c r="J14" s="337">
        <v>0</v>
      </c>
      <c r="K14" s="337">
        <v>0</v>
      </c>
      <c r="L14" s="337">
        <v>0</v>
      </c>
      <c r="M14" s="337">
        <v>4636.6771428571437</v>
      </c>
      <c r="N14" s="337">
        <v>5254.5339682539679</v>
      </c>
      <c r="O14" s="337">
        <v>9208.0774603174614</v>
      </c>
      <c r="P14" s="342">
        <f t="shared" si="3"/>
        <v>19099.288571428573</v>
      </c>
      <c r="Q14" s="335">
        <v>0</v>
      </c>
      <c r="R14" s="331"/>
      <c r="S14" s="331"/>
      <c r="T14" s="331"/>
      <c r="U14" s="331"/>
      <c r="V14" s="331"/>
      <c r="W14" s="331"/>
      <c r="X14" s="331"/>
      <c r="Y14" s="331"/>
    </row>
    <row r="15" spans="1:25" x14ac:dyDescent="0.25">
      <c r="C15" s="331"/>
      <c r="D15" s="331"/>
      <c r="E15" s="331"/>
      <c r="F15" s="331"/>
      <c r="G15" s="331"/>
      <c r="H15" s="331"/>
      <c r="I15" s="331"/>
      <c r="J15" s="331"/>
      <c r="K15" s="331"/>
      <c r="L15" s="331"/>
      <c r="M15" s="331"/>
      <c r="N15" s="331"/>
      <c r="O15" s="331"/>
      <c r="P15" s="331"/>
      <c r="R15" s="331"/>
      <c r="S15" s="331"/>
      <c r="T15" s="331"/>
      <c r="U15" s="331"/>
      <c r="V15" s="331"/>
      <c r="W15" s="331"/>
      <c r="X15" s="331"/>
      <c r="Y15" s="331"/>
    </row>
    <row r="16" spans="1:25" ht="13.75" thickBot="1" x14ac:dyDescent="0.3">
      <c r="A16" s="338" t="s">
        <v>1</v>
      </c>
      <c r="B16" s="339"/>
      <c r="C16" s="339"/>
      <c r="D16" s="340">
        <f t="shared" ref="D16:O16" si="4">SUM(D5:D6,D9:D10,D13:D14)</f>
        <v>304789.87</v>
      </c>
      <c r="E16" s="340">
        <f t="shared" si="4"/>
        <v>217228.62</v>
      </c>
      <c r="F16" s="340">
        <f t="shared" si="4"/>
        <v>140909.07000000004</v>
      </c>
      <c r="G16" s="340">
        <f t="shared" si="4"/>
        <v>96895.679999999978</v>
      </c>
      <c r="H16" s="340">
        <f t="shared" si="4"/>
        <v>154567</v>
      </c>
      <c r="I16" s="340">
        <f t="shared" si="4"/>
        <v>143156.18</v>
      </c>
      <c r="J16" s="340">
        <f t="shared" si="4"/>
        <v>130171</v>
      </c>
      <c r="K16" s="340">
        <f t="shared" si="4"/>
        <v>250823.63999999998</v>
      </c>
      <c r="L16" s="340">
        <f t="shared" si="4"/>
        <v>142515.59999999998</v>
      </c>
      <c r="M16" s="340">
        <f t="shared" si="4"/>
        <v>217052.69999999998</v>
      </c>
      <c r="N16" s="340">
        <f t="shared" si="4"/>
        <v>243053.17999999996</v>
      </c>
      <c r="O16" s="340">
        <f t="shared" si="4"/>
        <v>408086.06</v>
      </c>
      <c r="P16" s="340">
        <f>SUM(P5:P6,P9:P10,P13:P14)</f>
        <v>2449248.5999999996</v>
      </c>
      <c r="R16" s="698">
        <f>SUM(R5:R14)</f>
        <v>2449248.5999999996</v>
      </c>
      <c r="S16" s="331"/>
      <c r="T16" s="331"/>
      <c r="U16" s="331"/>
      <c r="V16" s="331"/>
      <c r="W16" s="331"/>
      <c r="X16" s="331"/>
      <c r="Y16" s="331"/>
    </row>
    <row r="17" spans="3:25" ht="13.75" thickTop="1" x14ac:dyDescent="0.25">
      <c r="C17" s="331"/>
      <c r="R17" s="331"/>
      <c r="S17" s="331"/>
      <c r="T17" s="331"/>
      <c r="U17" s="331"/>
      <c r="V17" s="331"/>
      <c r="W17" s="331"/>
      <c r="X17" s="331"/>
      <c r="Y17" s="331"/>
    </row>
    <row r="18" spans="3:25" x14ac:dyDescent="0.25">
      <c r="P18" s="140">
        <v>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2328-E0AA-4A96-AD4C-9BDDC262FA84}">
  <sheetPr codeName="Sheet28"/>
  <dimension ref="A1:L22"/>
  <sheetViews>
    <sheetView zoomScaleNormal="100" workbookViewId="0"/>
  </sheetViews>
  <sheetFormatPr defaultColWidth="16.7109375" defaultRowHeight="13.1" x14ac:dyDescent="0.25"/>
  <cols>
    <col min="1" max="1" width="24.7109375" customWidth="1"/>
    <col min="4" max="4" width="19.5703125" customWidth="1"/>
  </cols>
  <sheetData>
    <row r="1" spans="1:12" x14ac:dyDescent="0.25">
      <c r="A1" s="442"/>
      <c r="B1" s="144"/>
      <c r="C1" s="144"/>
      <c r="D1" s="144" t="s">
        <v>124</v>
      </c>
      <c r="E1" s="144"/>
      <c r="F1" s="144"/>
      <c r="G1" s="144"/>
      <c r="H1" s="144"/>
      <c r="I1" s="144"/>
      <c r="J1" s="144"/>
      <c r="K1" s="144"/>
      <c r="L1" s="147"/>
    </row>
    <row r="2" spans="1:12" x14ac:dyDescent="0.25">
      <c r="A2" s="145" t="s">
        <v>204</v>
      </c>
      <c r="B2" s="146" t="s">
        <v>92</v>
      </c>
      <c r="C2" s="146" t="s">
        <v>125</v>
      </c>
      <c r="D2" s="146" t="s">
        <v>33</v>
      </c>
      <c r="E2" s="146" t="s">
        <v>93</v>
      </c>
      <c r="F2" s="146" t="s">
        <v>126</v>
      </c>
      <c r="G2" s="146" t="s">
        <v>94</v>
      </c>
      <c r="H2" s="146" t="s">
        <v>78</v>
      </c>
      <c r="I2" s="450" t="s">
        <v>129</v>
      </c>
      <c r="J2" s="450" t="s">
        <v>130</v>
      </c>
      <c r="K2" s="450" t="s">
        <v>131</v>
      </c>
      <c r="L2" s="91" t="s">
        <v>1</v>
      </c>
    </row>
    <row r="3" spans="1:12" x14ac:dyDescent="0.25">
      <c r="A3" s="151" t="s">
        <v>127</v>
      </c>
      <c r="B3" s="152" t="s">
        <v>92</v>
      </c>
      <c r="C3" s="152" t="s">
        <v>92</v>
      </c>
      <c r="D3" s="152" t="s">
        <v>2</v>
      </c>
      <c r="E3" s="152" t="s">
        <v>2</v>
      </c>
      <c r="F3" s="152" t="s">
        <v>2</v>
      </c>
      <c r="G3" s="152" t="s">
        <v>2</v>
      </c>
      <c r="H3" s="152" t="s">
        <v>91</v>
      </c>
      <c r="I3" s="736" t="s">
        <v>2</v>
      </c>
      <c r="J3" s="736" t="s">
        <v>2</v>
      </c>
      <c r="K3" s="736" t="s">
        <v>2</v>
      </c>
      <c r="L3" s="153"/>
    </row>
    <row r="4" spans="1:12" x14ac:dyDescent="0.25">
      <c r="A4" s="148" t="s">
        <v>128</v>
      </c>
      <c r="B4" s="149" t="s">
        <v>33</v>
      </c>
      <c r="C4" s="149" t="s">
        <v>33</v>
      </c>
      <c r="D4" s="149" t="s">
        <v>33</v>
      </c>
      <c r="E4" s="149" t="s">
        <v>93</v>
      </c>
      <c r="F4" s="149" t="s">
        <v>126</v>
      </c>
      <c r="G4" s="149" t="s">
        <v>93</v>
      </c>
      <c r="H4" s="149" t="s">
        <v>33</v>
      </c>
      <c r="I4" s="737" t="s">
        <v>33</v>
      </c>
      <c r="J4" s="737" t="s">
        <v>93</v>
      </c>
      <c r="K4" s="737" t="s">
        <v>33</v>
      </c>
      <c r="L4" s="150"/>
    </row>
    <row r="6" spans="1:12" x14ac:dyDescent="0.25">
      <c r="A6" s="13" t="s">
        <v>106</v>
      </c>
      <c r="B6" s="344">
        <v>1066979</v>
      </c>
      <c r="C6" s="345">
        <v>0</v>
      </c>
      <c r="D6" s="345">
        <v>0</v>
      </c>
      <c r="E6" s="345">
        <v>0</v>
      </c>
      <c r="F6" s="345">
        <v>64963.436226571801</v>
      </c>
      <c r="G6" s="345">
        <v>0</v>
      </c>
      <c r="H6" s="345">
        <v>0</v>
      </c>
      <c r="I6" s="345">
        <v>0</v>
      </c>
      <c r="J6" s="345">
        <v>0</v>
      </c>
      <c r="K6" s="346">
        <v>0</v>
      </c>
      <c r="L6" s="6">
        <f>SUM(B6:K6)</f>
        <v>1131942.4362265719</v>
      </c>
    </row>
    <row r="7" spans="1:12" x14ac:dyDescent="0.25">
      <c r="A7" s="13" t="s">
        <v>107</v>
      </c>
      <c r="B7" s="347">
        <v>811185.82000000007</v>
      </c>
      <c r="C7" s="348">
        <v>0</v>
      </c>
      <c r="D7" s="348">
        <v>0</v>
      </c>
      <c r="E7" s="348">
        <v>0</v>
      </c>
      <c r="F7" s="348">
        <v>0</v>
      </c>
      <c r="G7" s="348">
        <v>0</v>
      </c>
      <c r="H7" s="348">
        <v>0</v>
      </c>
      <c r="I7" s="348">
        <v>0</v>
      </c>
      <c r="J7" s="348">
        <v>0</v>
      </c>
      <c r="K7" s="349">
        <v>0</v>
      </c>
      <c r="L7" s="6">
        <f t="shared" ref="L7:L17" si="0">SUM(B7:K7)</f>
        <v>811185.82000000007</v>
      </c>
    </row>
    <row r="8" spans="1:12" x14ac:dyDescent="0.25">
      <c r="A8" s="13" t="s">
        <v>108</v>
      </c>
      <c r="B8" s="347">
        <v>1253616</v>
      </c>
      <c r="C8" s="348">
        <v>0</v>
      </c>
      <c r="D8" s="348">
        <v>0</v>
      </c>
      <c r="E8" s="348">
        <v>0</v>
      </c>
      <c r="F8" s="348">
        <v>27826.849237870571</v>
      </c>
      <c r="G8" s="348">
        <v>0</v>
      </c>
      <c r="H8" s="348">
        <v>0</v>
      </c>
      <c r="I8" s="348">
        <v>881.40000000000009</v>
      </c>
      <c r="J8" s="348">
        <v>11293.285714285714</v>
      </c>
      <c r="K8" s="349">
        <v>786.66666666666674</v>
      </c>
      <c r="L8" s="6">
        <f t="shared" si="0"/>
        <v>1294404.201618823</v>
      </c>
    </row>
    <row r="9" spans="1:12" x14ac:dyDescent="0.25">
      <c r="A9" s="13" t="s">
        <v>109</v>
      </c>
      <c r="B9" s="347">
        <v>464685</v>
      </c>
      <c r="C9" s="348">
        <v>0</v>
      </c>
      <c r="D9" s="348">
        <v>0</v>
      </c>
      <c r="E9" s="348">
        <v>0</v>
      </c>
      <c r="F9" s="348">
        <v>20542.841460600284</v>
      </c>
      <c r="G9" s="348">
        <v>0</v>
      </c>
      <c r="H9" s="348">
        <v>0</v>
      </c>
      <c r="I9" s="348">
        <v>1175.2</v>
      </c>
      <c r="J9" s="348">
        <v>6775.9714285714281</v>
      </c>
      <c r="K9" s="349">
        <v>1888</v>
      </c>
      <c r="L9" s="6">
        <f t="shared" si="0"/>
        <v>495067.01288917172</v>
      </c>
    </row>
    <row r="10" spans="1:12" x14ac:dyDescent="0.25">
      <c r="A10" s="13" t="s">
        <v>53</v>
      </c>
      <c r="B10" s="347">
        <v>450842</v>
      </c>
      <c r="C10" s="348">
        <v>0</v>
      </c>
      <c r="D10" s="348">
        <v>0</v>
      </c>
      <c r="E10" s="348">
        <v>0</v>
      </c>
      <c r="F10" s="348">
        <v>61949.085374957365</v>
      </c>
      <c r="G10" s="348">
        <v>0</v>
      </c>
      <c r="H10" s="348">
        <v>0</v>
      </c>
      <c r="I10" s="348">
        <v>0</v>
      </c>
      <c r="J10" s="348">
        <v>4517.3142857142857</v>
      </c>
      <c r="K10" s="349">
        <v>0</v>
      </c>
      <c r="L10" s="6">
        <f t="shared" si="0"/>
        <v>517308.39966067165</v>
      </c>
    </row>
    <row r="11" spans="1:12" x14ac:dyDescent="0.25">
      <c r="A11" s="13" t="s">
        <v>110</v>
      </c>
      <c r="B11" s="347">
        <v>139628</v>
      </c>
      <c r="C11" s="348">
        <v>0</v>
      </c>
      <c r="D11" s="348">
        <v>0</v>
      </c>
      <c r="E11" s="348">
        <v>10232.5869</v>
      </c>
      <c r="F11" s="348">
        <v>0</v>
      </c>
      <c r="G11" s="348">
        <v>0</v>
      </c>
      <c r="H11" s="348">
        <v>0</v>
      </c>
      <c r="I11" s="348">
        <v>0</v>
      </c>
      <c r="J11" s="348">
        <v>27103.885714285712</v>
      </c>
      <c r="K11" s="349">
        <v>314.66666666666663</v>
      </c>
      <c r="L11" s="6">
        <f t="shared" si="0"/>
        <v>177279.13928095237</v>
      </c>
    </row>
    <row r="12" spans="1:12" x14ac:dyDescent="0.25">
      <c r="A12" s="13" t="s">
        <v>111</v>
      </c>
      <c r="B12" s="347">
        <v>0</v>
      </c>
      <c r="C12" s="348">
        <v>0</v>
      </c>
      <c r="D12" s="348">
        <v>0</v>
      </c>
      <c r="E12" s="348">
        <v>31713.022299999997</v>
      </c>
      <c r="F12" s="348">
        <v>0</v>
      </c>
      <c r="G12" s="348">
        <v>0</v>
      </c>
      <c r="H12" s="348">
        <v>0</v>
      </c>
      <c r="I12" s="348">
        <v>1175.2</v>
      </c>
      <c r="J12" s="348">
        <v>106156.88571428572</v>
      </c>
      <c r="K12" s="349">
        <v>786.66666666666674</v>
      </c>
      <c r="L12" s="6">
        <f t="shared" si="0"/>
        <v>139831.77468095237</v>
      </c>
    </row>
    <row r="13" spans="1:12" x14ac:dyDescent="0.25">
      <c r="A13" s="13" t="s">
        <v>112</v>
      </c>
      <c r="B13" s="347">
        <v>0</v>
      </c>
      <c r="C13" s="348">
        <v>0</v>
      </c>
      <c r="D13" s="348">
        <v>38.779299999999999</v>
      </c>
      <c r="E13" s="348">
        <v>16287.163699999999</v>
      </c>
      <c r="F13" s="348">
        <v>0</v>
      </c>
      <c r="G13" s="348">
        <v>0</v>
      </c>
      <c r="H13" s="348">
        <v>0</v>
      </c>
      <c r="I13" s="348">
        <v>0</v>
      </c>
      <c r="J13" s="348">
        <v>1505.7714285714285</v>
      </c>
      <c r="K13" s="349">
        <v>0</v>
      </c>
      <c r="L13" s="6">
        <f t="shared" si="0"/>
        <v>17831.714428571428</v>
      </c>
    </row>
    <row r="14" spans="1:12" x14ac:dyDescent="0.25">
      <c r="A14" s="13" t="s">
        <v>113</v>
      </c>
      <c r="B14" s="347">
        <v>0</v>
      </c>
      <c r="C14" s="348">
        <v>213876</v>
      </c>
      <c r="D14" s="348">
        <v>0</v>
      </c>
      <c r="E14" s="348">
        <v>52164.178099999983</v>
      </c>
      <c r="F14" s="348">
        <v>0</v>
      </c>
      <c r="G14" s="348">
        <v>0</v>
      </c>
      <c r="H14" s="348">
        <v>0</v>
      </c>
      <c r="I14" s="348">
        <v>0</v>
      </c>
      <c r="J14" s="348">
        <v>1505.7714285714285</v>
      </c>
      <c r="K14" s="349">
        <v>0</v>
      </c>
      <c r="L14" s="6">
        <f t="shared" si="0"/>
        <v>267545.94952857139</v>
      </c>
    </row>
    <row r="15" spans="1:12" x14ac:dyDescent="0.25">
      <c r="A15" s="13" t="s">
        <v>114</v>
      </c>
      <c r="B15" s="347">
        <v>0</v>
      </c>
      <c r="C15" s="348">
        <v>88912</v>
      </c>
      <c r="D15" s="348">
        <v>0</v>
      </c>
      <c r="E15" s="348">
        <v>44233.061199999996</v>
      </c>
      <c r="F15" s="348">
        <v>0</v>
      </c>
      <c r="G15" s="348">
        <v>0</v>
      </c>
      <c r="H15" s="348">
        <v>0</v>
      </c>
      <c r="I15" s="348">
        <v>587.6</v>
      </c>
      <c r="J15" s="348">
        <v>3011.542857142857</v>
      </c>
      <c r="K15" s="349">
        <v>786.66666666666674</v>
      </c>
      <c r="L15" s="6">
        <f t="shared" si="0"/>
        <v>137530.87072380952</v>
      </c>
    </row>
    <row r="16" spans="1:12" x14ac:dyDescent="0.25">
      <c r="A16" s="13" t="s">
        <v>115</v>
      </c>
      <c r="B16" s="347">
        <v>0</v>
      </c>
      <c r="C16" s="348">
        <v>0</v>
      </c>
      <c r="D16" s="348">
        <v>156877.16899999982</v>
      </c>
      <c r="E16" s="348">
        <v>24567.561499999996</v>
      </c>
      <c r="F16" s="348">
        <v>0</v>
      </c>
      <c r="G16" s="348">
        <v>0</v>
      </c>
      <c r="H16" s="348">
        <v>0</v>
      </c>
      <c r="I16" s="348">
        <v>293.8</v>
      </c>
      <c r="J16" s="348">
        <v>65501.057142857149</v>
      </c>
      <c r="K16" s="349">
        <v>786.66666666666674</v>
      </c>
      <c r="L16" s="6">
        <f t="shared" si="0"/>
        <v>248026.25430952362</v>
      </c>
    </row>
    <row r="17" spans="1:12" x14ac:dyDescent="0.25">
      <c r="A17" s="13" t="s">
        <v>116</v>
      </c>
      <c r="B17" s="350">
        <v>0</v>
      </c>
      <c r="C17" s="351">
        <v>567821.34428900003</v>
      </c>
      <c r="D17" s="351">
        <v>208155.3303999998</v>
      </c>
      <c r="E17" s="351">
        <v>116977.68910000008</v>
      </c>
      <c r="F17" s="351">
        <v>0</v>
      </c>
      <c r="G17" s="351">
        <v>242788</v>
      </c>
      <c r="H17" s="351">
        <v>110954</v>
      </c>
      <c r="I17" s="351">
        <v>293.8</v>
      </c>
      <c r="J17" s="351">
        <v>9787.5142857142855</v>
      </c>
      <c r="K17" s="352">
        <v>314.66666666666663</v>
      </c>
      <c r="L17" s="6">
        <f t="shared" si="0"/>
        <v>1257092.344741381</v>
      </c>
    </row>
    <row r="18" spans="1:12" x14ac:dyDescent="0.25">
      <c r="A18" s="8"/>
      <c r="D18" s="8"/>
    </row>
    <row r="19" spans="1:12" ht="13.75" thickBot="1" x14ac:dyDescent="0.3">
      <c r="A19" s="34" t="s">
        <v>1</v>
      </c>
      <c r="B19" s="90">
        <f t="shared" ref="B19:G19" si="1">SUM(B6:B17)</f>
        <v>4186935.8200000003</v>
      </c>
      <c r="C19" s="90">
        <f t="shared" si="1"/>
        <v>870609.34428900003</v>
      </c>
      <c r="D19" s="90">
        <f t="shared" si="1"/>
        <v>365071.27869999962</v>
      </c>
      <c r="E19" s="90">
        <f t="shared" si="1"/>
        <v>296175.26280000003</v>
      </c>
      <c r="F19" s="90">
        <f t="shared" si="1"/>
        <v>175282.21230000001</v>
      </c>
      <c r="G19" s="90">
        <f t="shared" si="1"/>
        <v>242788</v>
      </c>
      <c r="H19" s="90">
        <f>SUM(H6:H17)</f>
        <v>110954</v>
      </c>
      <c r="I19" s="90">
        <f t="shared" ref="I19:J19" si="2">SUM(I6:I17)</f>
        <v>4407</v>
      </c>
      <c r="J19" s="90">
        <f t="shared" si="2"/>
        <v>237159</v>
      </c>
      <c r="K19" s="90">
        <f>SUM(K6:K17)</f>
        <v>5664.0000000000009</v>
      </c>
      <c r="L19" s="90">
        <f>SUM(L6:L17)</f>
        <v>6495045.9180889996</v>
      </c>
    </row>
    <row r="20" spans="1:12" ht="13.75" thickTop="1" x14ac:dyDescent="0.25">
      <c r="E20" s="14"/>
      <c r="F20" s="14"/>
      <c r="I20" s="14"/>
    </row>
    <row r="21" spans="1:12" x14ac:dyDescent="0.25">
      <c r="D21" s="311"/>
    </row>
    <row r="22" spans="1:12" x14ac:dyDescent="0.25">
      <c r="D22" s="6"/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98ED2-6523-43D5-9674-CF63307F077E}">
  <sheetPr codeName="Sheet29"/>
  <dimension ref="A1:L22"/>
  <sheetViews>
    <sheetView zoomScaleNormal="100" workbookViewId="0"/>
  </sheetViews>
  <sheetFormatPr defaultColWidth="16.7109375" defaultRowHeight="13.1" x14ac:dyDescent="0.25"/>
  <cols>
    <col min="1" max="1" width="24.7109375" customWidth="1"/>
    <col min="4" max="4" width="19.5703125" customWidth="1"/>
  </cols>
  <sheetData>
    <row r="1" spans="1:12" x14ac:dyDescent="0.25">
      <c r="A1" s="168"/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7"/>
    </row>
    <row r="2" spans="1:12" x14ac:dyDescent="0.25">
      <c r="A2" s="446" t="s">
        <v>231</v>
      </c>
      <c r="B2" s="146"/>
      <c r="C2" s="146" t="s">
        <v>125</v>
      </c>
      <c r="D2" s="146"/>
      <c r="E2" s="146" t="s">
        <v>93</v>
      </c>
      <c r="F2" s="146"/>
      <c r="G2" s="146" t="s">
        <v>94</v>
      </c>
      <c r="H2" s="146" t="s">
        <v>78</v>
      </c>
      <c r="I2" s="155" t="s">
        <v>129</v>
      </c>
      <c r="J2" s="155" t="s">
        <v>130</v>
      </c>
      <c r="K2" s="155" t="s">
        <v>131</v>
      </c>
      <c r="L2" s="91" t="s">
        <v>1</v>
      </c>
    </row>
    <row r="3" spans="1:12" x14ac:dyDescent="0.25">
      <c r="A3" s="151" t="s">
        <v>127</v>
      </c>
      <c r="B3" s="152"/>
      <c r="C3" s="152" t="s">
        <v>92</v>
      </c>
      <c r="D3" s="152"/>
      <c r="E3" s="152" t="s">
        <v>2</v>
      </c>
      <c r="F3" s="152"/>
      <c r="G3" s="152" t="s">
        <v>2</v>
      </c>
      <c r="H3" s="152" t="s">
        <v>91</v>
      </c>
      <c r="I3" s="734" t="s">
        <v>2</v>
      </c>
      <c r="J3" s="734" t="s">
        <v>2</v>
      </c>
      <c r="K3" s="734" t="s">
        <v>2</v>
      </c>
      <c r="L3" s="153"/>
    </row>
    <row r="4" spans="1:12" x14ac:dyDescent="0.25">
      <c r="A4" s="148" t="s">
        <v>128</v>
      </c>
      <c r="B4" s="149"/>
      <c r="C4" s="149" t="s">
        <v>33</v>
      </c>
      <c r="D4" s="149"/>
      <c r="E4" s="149" t="s">
        <v>93</v>
      </c>
      <c r="F4" s="149"/>
      <c r="G4" s="149" t="s">
        <v>93</v>
      </c>
      <c r="H4" s="149" t="s">
        <v>33</v>
      </c>
      <c r="I4" s="735" t="s">
        <v>33</v>
      </c>
      <c r="J4" s="735" t="s">
        <v>93</v>
      </c>
      <c r="K4" s="735" t="s">
        <v>33</v>
      </c>
      <c r="L4" s="150"/>
    </row>
    <row r="6" spans="1:12" x14ac:dyDescent="0.25">
      <c r="A6" s="13" t="s">
        <v>106</v>
      </c>
      <c r="B6" s="344"/>
      <c r="C6" s="345">
        <v>352.15940000000001</v>
      </c>
      <c r="D6" s="345"/>
      <c r="E6" s="345">
        <v>25993.203799999996</v>
      </c>
      <c r="F6" s="345"/>
      <c r="G6" s="345">
        <v>256996.28710000002</v>
      </c>
      <c r="H6" s="345">
        <v>0</v>
      </c>
      <c r="I6" s="345">
        <v>1347.49</v>
      </c>
      <c r="J6" s="345">
        <v>0</v>
      </c>
      <c r="K6" s="346">
        <v>0</v>
      </c>
      <c r="L6" s="6">
        <f>SUM(B6:K6)</f>
        <v>284689.14030000003</v>
      </c>
    </row>
    <row r="7" spans="1:12" x14ac:dyDescent="0.25">
      <c r="A7" s="13" t="s">
        <v>107</v>
      </c>
      <c r="B7" s="347"/>
      <c r="C7" s="348">
        <v>5541.7640000000001</v>
      </c>
      <c r="D7" s="348"/>
      <c r="E7" s="348">
        <v>54905.717100000002</v>
      </c>
      <c r="F7" s="348"/>
      <c r="G7" s="348">
        <v>0</v>
      </c>
      <c r="H7" s="348">
        <v>27445.86</v>
      </c>
      <c r="I7" s="348">
        <v>0</v>
      </c>
      <c r="J7" s="348">
        <v>0</v>
      </c>
      <c r="K7" s="349">
        <v>0</v>
      </c>
      <c r="L7" s="6">
        <f t="shared" ref="L7:L17" si="0">SUM(B7:K7)</f>
        <v>87893.341100000005</v>
      </c>
    </row>
    <row r="8" spans="1:12" x14ac:dyDescent="0.25">
      <c r="A8" s="13" t="s">
        <v>108</v>
      </c>
      <c r="B8" s="347"/>
      <c r="C8" s="348">
        <v>436571.10200000007</v>
      </c>
      <c r="D8" s="348"/>
      <c r="E8" s="348">
        <v>28093.717499999999</v>
      </c>
      <c r="F8" s="348"/>
      <c r="G8" s="348">
        <v>44626.027799999982</v>
      </c>
      <c r="H8" s="348">
        <v>35979</v>
      </c>
      <c r="I8" s="348">
        <v>673.745</v>
      </c>
      <c r="J8" s="348">
        <v>0</v>
      </c>
      <c r="K8" s="349">
        <v>179.04</v>
      </c>
      <c r="L8" s="6">
        <f t="shared" si="0"/>
        <v>546122.63230000006</v>
      </c>
    </row>
    <row r="9" spans="1:12" x14ac:dyDescent="0.25">
      <c r="A9" s="13" t="s">
        <v>109</v>
      </c>
      <c r="B9" s="347"/>
      <c r="C9" s="348">
        <v>56785</v>
      </c>
      <c r="D9" s="348"/>
      <c r="E9" s="348">
        <v>22027.915599999997</v>
      </c>
      <c r="F9" s="348"/>
      <c r="G9" s="348">
        <v>256176.09300000034</v>
      </c>
      <c r="H9" s="348">
        <v>105000</v>
      </c>
      <c r="I9" s="348">
        <v>2021.2350000000001</v>
      </c>
      <c r="J9" s="348">
        <v>0</v>
      </c>
      <c r="K9" s="349">
        <v>0</v>
      </c>
      <c r="L9" s="6">
        <f t="shared" si="0"/>
        <v>442010.24360000034</v>
      </c>
    </row>
    <row r="10" spans="1:12" x14ac:dyDescent="0.25">
      <c r="A10" s="13" t="s">
        <v>53</v>
      </c>
      <c r="B10" s="347"/>
      <c r="C10" s="348">
        <v>473844.51500000001</v>
      </c>
      <c r="D10" s="348"/>
      <c r="E10" s="348">
        <v>45679.9162</v>
      </c>
      <c r="F10" s="348"/>
      <c r="G10" s="348">
        <v>0</v>
      </c>
      <c r="H10" s="348">
        <v>126008.38160000001</v>
      </c>
      <c r="I10" s="348">
        <v>673.745</v>
      </c>
      <c r="J10" s="348">
        <v>0</v>
      </c>
      <c r="K10" s="349">
        <v>0</v>
      </c>
      <c r="L10" s="6">
        <f t="shared" si="0"/>
        <v>646206.55779999995</v>
      </c>
    </row>
    <row r="11" spans="1:12" x14ac:dyDescent="0.25">
      <c r="A11" s="13" t="s">
        <v>110</v>
      </c>
      <c r="B11" s="347"/>
      <c r="C11" s="348">
        <v>99463.562000000005</v>
      </c>
      <c r="D11" s="348"/>
      <c r="E11" s="348">
        <v>18287.999899999999</v>
      </c>
      <c r="F11" s="348"/>
      <c r="G11" s="348">
        <v>252873.79089999973</v>
      </c>
      <c r="H11" s="348">
        <v>0</v>
      </c>
      <c r="I11" s="348">
        <v>2021.2350000000001</v>
      </c>
      <c r="J11" s="348">
        <v>0</v>
      </c>
      <c r="K11" s="349">
        <v>89.52</v>
      </c>
      <c r="L11" s="6">
        <f t="shared" si="0"/>
        <v>372736.10779999977</v>
      </c>
    </row>
    <row r="12" spans="1:12" x14ac:dyDescent="0.25">
      <c r="A12" s="13" t="s">
        <v>111</v>
      </c>
      <c r="B12" s="347"/>
      <c r="C12" s="348">
        <v>522157.23400000005</v>
      </c>
      <c r="D12" s="348"/>
      <c r="E12" s="348">
        <v>34597.820499999994</v>
      </c>
      <c r="F12" s="348"/>
      <c r="G12" s="348">
        <v>0</v>
      </c>
      <c r="H12" s="348">
        <v>0</v>
      </c>
      <c r="I12" s="348">
        <v>44467.170000000006</v>
      </c>
      <c r="J12" s="348">
        <v>1186.29</v>
      </c>
      <c r="K12" s="349">
        <v>1253.28</v>
      </c>
      <c r="L12" s="6">
        <f t="shared" si="0"/>
        <v>603661.79450000019</v>
      </c>
    </row>
    <row r="13" spans="1:12" x14ac:dyDescent="0.25">
      <c r="A13" s="13" t="s">
        <v>112</v>
      </c>
      <c r="B13" s="347"/>
      <c r="C13" s="348">
        <v>286302.62200000003</v>
      </c>
      <c r="D13" s="348"/>
      <c r="E13" s="348">
        <v>42341.124899999995</v>
      </c>
      <c r="F13" s="348"/>
      <c r="G13" s="348">
        <v>0</v>
      </c>
      <c r="H13" s="348">
        <v>0</v>
      </c>
      <c r="I13" s="348">
        <v>2694.98</v>
      </c>
      <c r="J13" s="348">
        <v>0</v>
      </c>
      <c r="K13" s="349">
        <v>0</v>
      </c>
      <c r="L13" s="6">
        <f t="shared" si="0"/>
        <v>331338.72690000001</v>
      </c>
    </row>
    <row r="14" spans="1:12" x14ac:dyDescent="0.25">
      <c r="A14" s="13" t="s">
        <v>113</v>
      </c>
      <c r="B14" s="347"/>
      <c r="C14" s="348">
        <v>803772.50500999996</v>
      </c>
      <c r="D14" s="348"/>
      <c r="E14" s="348">
        <v>31356.533999999996</v>
      </c>
      <c r="F14" s="348"/>
      <c r="G14" s="348">
        <v>276934.86270000075</v>
      </c>
      <c r="H14" s="348">
        <v>56081.119399999996</v>
      </c>
      <c r="I14" s="348">
        <v>673.745</v>
      </c>
      <c r="J14" s="348">
        <v>169.47</v>
      </c>
      <c r="K14" s="349">
        <v>89.52</v>
      </c>
      <c r="L14" s="6">
        <f t="shared" si="0"/>
        <v>1169077.7561100009</v>
      </c>
    </row>
    <row r="15" spans="1:12" x14ac:dyDescent="0.25">
      <c r="A15" s="13" t="s">
        <v>114</v>
      </c>
      <c r="B15" s="347"/>
      <c r="C15" s="348">
        <v>0</v>
      </c>
      <c r="D15" s="348"/>
      <c r="E15" s="348">
        <v>47103.294699999999</v>
      </c>
      <c r="F15" s="348"/>
      <c r="G15" s="348">
        <v>122262.13900000008</v>
      </c>
      <c r="H15" s="348">
        <v>146886.478</v>
      </c>
      <c r="I15" s="348">
        <v>673.745</v>
      </c>
      <c r="J15" s="348">
        <v>0</v>
      </c>
      <c r="K15" s="349">
        <v>0</v>
      </c>
      <c r="L15" s="6">
        <f t="shared" si="0"/>
        <v>316925.65670000005</v>
      </c>
    </row>
    <row r="16" spans="1:12" x14ac:dyDescent="0.25">
      <c r="A16" s="13" t="s">
        <v>115</v>
      </c>
      <c r="B16" s="347"/>
      <c r="C16" s="348">
        <v>3740759.9465000001</v>
      </c>
      <c r="D16" s="348"/>
      <c r="E16" s="348">
        <v>46980.642299999985</v>
      </c>
      <c r="F16" s="348"/>
      <c r="G16" s="348">
        <v>222148.6837000004</v>
      </c>
      <c r="H16" s="348">
        <v>54172.656399999993</v>
      </c>
      <c r="I16" s="348">
        <v>673.745</v>
      </c>
      <c r="J16" s="348">
        <v>0</v>
      </c>
      <c r="K16" s="349">
        <v>0</v>
      </c>
      <c r="L16" s="6">
        <f t="shared" si="0"/>
        <v>4064735.6739000008</v>
      </c>
    </row>
    <row r="17" spans="1:12" x14ac:dyDescent="0.25">
      <c r="A17" s="13" t="s">
        <v>116</v>
      </c>
      <c r="B17" s="350"/>
      <c r="C17" s="351">
        <v>8150218.1734800069</v>
      </c>
      <c r="D17" s="351"/>
      <c r="E17" s="351">
        <v>111063.46000000004</v>
      </c>
      <c r="F17" s="351"/>
      <c r="G17" s="351">
        <v>0</v>
      </c>
      <c r="H17" s="351">
        <v>463825.88814000011</v>
      </c>
      <c r="I17" s="351">
        <v>0</v>
      </c>
      <c r="J17" s="351">
        <v>0</v>
      </c>
      <c r="K17" s="352">
        <v>0</v>
      </c>
      <c r="L17" s="6">
        <f t="shared" si="0"/>
        <v>8725107.5216200072</v>
      </c>
    </row>
    <row r="18" spans="1:12" x14ac:dyDescent="0.25">
      <c r="A18" s="8"/>
      <c r="D18" s="8"/>
    </row>
    <row r="19" spans="1:12" ht="13.75" thickBot="1" x14ac:dyDescent="0.3">
      <c r="A19" s="34" t="s">
        <v>1</v>
      </c>
      <c r="B19" s="90">
        <f t="shared" ref="B19:G19" si="1">SUM(B6:B17)</f>
        <v>0</v>
      </c>
      <c r="C19" s="90">
        <f t="shared" si="1"/>
        <v>14575768.583390007</v>
      </c>
      <c r="D19" s="90">
        <f t="shared" si="1"/>
        <v>0</v>
      </c>
      <c r="E19" s="90">
        <f t="shared" si="1"/>
        <v>508431.34649999999</v>
      </c>
      <c r="F19" s="90">
        <f t="shared" si="1"/>
        <v>0</v>
      </c>
      <c r="G19" s="90">
        <f t="shared" si="1"/>
        <v>1432017.8842000011</v>
      </c>
      <c r="H19" s="90">
        <f>SUM(H6:H17)</f>
        <v>1015399.3835400001</v>
      </c>
      <c r="I19" s="90">
        <f t="shared" ref="I19:J19" si="2">SUM(I6:I17)</f>
        <v>55920.835000000021</v>
      </c>
      <c r="J19" s="90">
        <f t="shared" si="2"/>
        <v>1355.76</v>
      </c>
      <c r="K19" s="90">
        <f>SUM(K6:K17)</f>
        <v>1611.36</v>
      </c>
      <c r="L19" s="90">
        <f>SUM(L6:L17)</f>
        <v>17590505.152630009</v>
      </c>
    </row>
    <row r="20" spans="1:12" ht="13.75" thickTop="1" x14ac:dyDescent="0.25">
      <c r="E20" s="14"/>
      <c r="F20" s="14"/>
      <c r="I20" s="14"/>
    </row>
    <row r="21" spans="1:12" x14ac:dyDescent="0.25">
      <c r="C21" s="311"/>
      <c r="E21" s="311"/>
      <c r="G21" s="311"/>
      <c r="H21" s="311"/>
      <c r="I21" s="311"/>
      <c r="J21" s="311"/>
      <c r="K21" s="311"/>
      <c r="L21" s="311"/>
    </row>
    <row r="22" spans="1:12" x14ac:dyDescent="0.25">
      <c r="L22" s="6"/>
    </row>
  </sheetData>
  <phoneticPr fontId="30" type="noConversion"/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8F691-C2C8-4793-81E3-80E4DFFF5ED3}">
  <sheetPr codeName="Sheet30"/>
  <dimension ref="A1:L22"/>
  <sheetViews>
    <sheetView zoomScaleNormal="100" workbookViewId="0"/>
  </sheetViews>
  <sheetFormatPr defaultColWidth="16.7109375" defaultRowHeight="13.1" x14ac:dyDescent="0.25"/>
  <cols>
    <col min="1" max="1" width="24.7109375" customWidth="1"/>
    <col min="4" max="4" width="19.5703125" customWidth="1"/>
  </cols>
  <sheetData>
    <row r="1" spans="1:12" x14ac:dyDescent="0.25">
      <c r="A1" s="168"/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7"/>
    </row>
    <row r="2" spans="1:12" x14ac:dyDescent="0.25">
      <c r="A2" s="446" t="s">
        <v>239</v>
      </c>
      <c r="B2" s="146"/>
      <c r="C2" s="146" t="s">
        <v>125</v>
      </c>
      <c r="D2" s="146"/>
      <c r="E2" s="146" t="s">
        <v>93</v>
      </c>
      <c r="F2" s="146"/>
      <c r="G2" s="146" t="s">
        <v>94</v>
      </c>
      <c r="H2" s="146" t="s">
        <v>78</v>
      </c>
      <c r="I2" s="155" t="s">
        <v>129</v>
      </c>
      <c r="J2" s="155" t="s">
        <v>130</v>
      </c>
      <c r="K2" s="155" t="s">
        <v>257</v>
      </c>
      <c r="L2" s="91" t="s">
        <v>1</v>
      </c>
    </row>
    <row r="3" spans="1:12" x14ac:dyDescent="0.25">
      <c r="A3" s="151" t="s">
        <v>127</v>
      </c>
      <c r="B3" s="152"/>
      <c r="C3" s="152" t="s">
        <v>92</v>
      </c>
      <c r="D3" s="152"/>
      <c r="E3" s="152" t="s">
        <v>2</v>
      </c>
      <c r="F3" s="152"/>
      <c r="G3" s="152" t="s">
        <v>2</v>
      </c>
      <c r="H3" s="152" t="s">
        <v>91</v>
      </c>
      <c r="I3" s="734" t="s">
        <v>2</v>
      </c>
      <c r="J3" s="734" t="s">
        <v>2</v>
      </c>
      <c r="K3" s="734" t="s">
        <v>2</v>
      </c>
      <c r="L3" s="153"/>
    </row>
    <row r="4" spans="1:12" x14ac:dyDescent="0.25">
      <c r="A4" s="148" t="s">
        <v>128</v>
      </c>
      <c r="B4" s="149"/>
      <c r="C4" s="149" t="s">
        <v>33</v>
      </c>
      <c r="D4" s="149"/>
      <c r="E4" s="149" t="s">
        <v>93</v>
      </c>
      <c r="F4" s="149"/>
      <c r="G4" s="149" t="s">
        <v>93</v>
      </c>
      <c r="H4" s="149" t="s">
        <v>33</v>
      </c>
      <c r="I4" s="735" t="s">
        <v>33</v>
      </c>
      <c r="J4" s="735" t="s">
        <v>93</v>
      </c>
      <c r="K4" s="735" t="s">
        <v>33</v>
      </c>
      <c r="L4" s="150"/>
    </row>
    <row r="6" spans="1:12" x14ac:dyDescent="0.25">
      <c r="A6" s="13" t="s">
        <v>106</v>
      </c>
      <c r="B6" s="344"/>
      <c r="C6" s="345">
        <v>0</v>
      </c>
      <c r="D6" s="345"/>
      <c r="E6" s="345">
        <v>0</v>
      </c>
      <c r="F6" s="345"/>
      <c r="G6" s="345">
        <v>0</v>
      </c>
      <c r="H6" s="345">
        <v>0</v>
      </c>
      <c r="I6" s="345">
        <v>0</v>
      </c>
      <c r="J6" s="345">
        <v>679.68000000000006</v>
      </c>
      <c r="K6" s="346">
        <v>0</v>
      </c>
      <c r="L6" s="6">
        <f>SUM(B6:K6)</f>
        <v>679.68000000000006</v>
      </c>
    </row>
    <row r="7" spans="1:12" x14ac:dyDescent="0.25">
      <c r="A7" s="13" t="s">
        <v>107</v>
      </c>
      <c r="B7" s="347"/>
      <c r="C7" s="348">
        <v>0</v>
      </c>
      <c r="D7" s="348"/>
      <c r="E7" s="348">
        <v>0</v>
      </c>
      <c r="F7" s="348"/>
      <c r="G7" s="348">
        <v>0</v>
      </c>
      <c r="H7" s="348">
        <v>0</v>
      </c>
      <c r="I7" s="348">
        <v>0</v>
      </c>
      <c r="J7" s="348">
        <v>0</v>
      </c>
      <c r="K7" s="349">
        <v>0</v>
      </c>
      <c r="L7" s="6">
        <f t="shared" ref="L7:L17" si="0">SUM(B7:K7)</f>
        <v>0</v>
      </c>
    </row>
    <row r="8" spans="1:12" x14ac:dyDescent="0.25">
      <c r="A8" s="13" t="s">
        <v>108</v>
      </c>
      <c r="B8" s="347"/>
      <c r="C8" s="348">
        <v>504518.35643799999</v>
      </c>
      <c r="D8" s="348"/>
      <c r="E8" s="348">
        <v>225240.41580000013</v>
      </c>
      <c r="F8" s="348"/>
      <c r="G8" s="348">
        <v>0</v>
      </c>
      <c r="H8" s="348">
        <v>0</v>
      </c>
      <c r="I8" s="348">
        <v>0</v>
      </c>
      <c r="J8" s="348">
        <v>0</v>
      </c>
      <c r="K8" s="349">
        <v>0</v>
      </c>
      <c r="L8" s="6">
        <f t="shared" si="0"/>
        <v>729758.77223800006</v>
      </c>
    </row>
    <row r="9" spans="1:12" x14ac:dyDescent="0.25">
      <c r="A9" s="13" t="s">
        <v>109</v>
      </c>
      <c r="B9" s="347"/>
      <c r="C9" s="348">
        <v>336959.22405999998</v>
      </c>
      <c r="D9" s="348"/>
      <c r="E9" s="348">
        <v>48264.280899999998</v>
      </c>
      <c r="F9" s="348"/>
      <c r="G9" s="348">
        <v>9047.5120999999963</v>
      </c>
      <c r="H9" s="348">
        <v>79779.492199999993</v>
      </c>
      <c r="I9" s="348">
        <v>0</v>
      </c>
      <c r="J9" s="348">
        <v>0</v>
      </c>
      <c r="K9" s="349">
        <v>7320</v>
      </c>
      <c r="L9" s="6">
        <f t="shared" si="0"/>
        <v>481370.50925999996</v>
      </c>
    </row>
    <row r="10" spans="1:12" x14ac:dyDescent="0.25">
      <c r="A10" s="13" t="s">
        <v>53</v>
      </c>
      <c r="B10" s="347"/>
      <c r="C10" s="348">
        <v>0</v>
      </c>
      <c r="D10" s="348"/>
      <c r="E10" s="348">
        <v>48977.103199999998</v>
      </c>
      <c r="F10" s="348"/>
      <c r="G10" s="348">
        <v>227598.61979999958</v>
      </c>
      <c r="H10" s="348">
        <v>0</v>
      </c>
      <c r="I10" s="348">
        <v>0</v>
      </c>
      <c r="J10" s="348">
        <v>0</v>
      </c>
      <c r="K10" s="349">
        <v>0</v>
      </c>
      <c r="L10" s="6">
        <f t="shared" si="0"/>
        <v>276575.72299999959</v>
      </c>
    </row>
    <row r="11" spans="1:12" x14ac:dyDescent="0.25">
      <c r="A11" s="13" t="s">
        <v>110</v>
      </c>
      <c r="B11" s="347"/>
      <c r="C11" s="348">
        <v>1691826.5882999999</v>
      </c>
      <c r="D11" s="348"/>
      <c r="E11" s="348">
        <v>74100.910999999993</v>
      </c>
      <c r="F11" s="348"/>
      <c r="G11" s="348">
        <v>269357.96489999973</v>
      </c>
      <c r="H11" s="348">
        <v>0</v>
      </c>
      <c r="I11" s="348">
        <v>0</v>
      </c>
      <c r="J11" s="348">
        <v>0</v>
      </c>
      <c r="K11" s="349">
        <v>0</v>
      </c>
      <c r="L11" s="6">
        <f t="shared" si="0"/>
        <v>2035285.4641999998</v>
      </c>
    </row>
    <row r="12" spans="1:12" x14ac:dyDescent="0.25">
      <c r="A12" s="13" t="s">
        <v>111</v>
      </c>
      <c r="B12" s="347"/>
      <c r="C12" s="348">
        <v>0</v>
      </c>
      <c r="D12" s="348"/>
      <c r="E12" s="348">
        <v>164533.36215000003</v>
      </c>
      <c r="F12" s="348"/>
      <c r="G12" s="348">
        <v>0</v>
      </c>
      <c r="H12" s="348">
        <v>0</v>
      </c>
      <c r="I12" s="348">
        <v>0</v>
      </c>
      <c r="J12" s="348">
        <v>0</v>
      </c>
      <c r="K12" s="349">
        <v>0</v>
      </c>
      <c r="L12" s="6">
        <f t="shared" si="0"/>
        <v>164533.36215000003</v>
      </c>
    </row>
    <row r="13" spans="1:12" x14ac:dyDescent="0.25">
      <c r="A13" s="13" t="s">
        <v>112</v>
      </c>
      <c r="B13" s="347"/>
      <c r="C13" s="348">
        <v>0</v>
      </c>
      <c r="D13" s="348"/>
      <c r="E13" s="348">
        <v>62507.743999999977</v>
      </c>
      <c r="F13" s="348"/>
      <c r="G13" s="348">
        <v>205536.16759999999</v>
      </c>
      <c r="H13" s="348">
        <v>253627.14939999999</v>
      </c>
      <c r="I13" s="348">
        <v>68817</v>
      </c>
      <c r="J13" s="348">
        <v>0</v>
      </c>
      <c r="K13" s="349">
        <v>66259.199999999997</v>
      </c>
      <c r="L13" s="6">
        <f t="shared" si="0"/>
        <v>656747.26099999994</v>
      </c>
    </row>
    <row r="14" spans="1:12" x14ac:dyDescent="0.25">
      <c r="A14" s="13" t="s">
        <v>113</v>
      </c>
      <c r="B14" s="347"/>
      <c r="C14" s="348">
        <v>0</v>
      </c>
      <c r="D14" s="348"/>
      <c r="E14" s="348">
        <v>222591.38045000006</v>
      </c>
      <c r="F14" s="348"/>
      <c r="G14" s="348">
        <v>0</v>
      </c>
      <c r="H14" s="348">
        <v>0</v>
      </c>
      <c r="I14" s="348">
        <v>0</v>
      </c>
      <c r="J14" s="348">
        <v>0</v>
      </c>
      <c r="K14" s="349">
        <v>0</v>
      </c>
      <c r="L14" s="6">
        <f t="shared" si="0"/>
        <v>222591.38045000006</v>
      </c>
    </row>
    <row r="15" spans="1:12" x14ac:dyDescent="0.25">
      <c r="A15" s="13" t="s">
        <v>114</v>
      </c>
      <c r="B15" s="347"/>
      <c r="C15" s="348">
        <v>716439.78859999997</v>
      </c>
      <c r="D15" s="348"/>
      <c r="E15" s="348">
        <v>107354.90068999999</v>
      </c>
      <c r="F15" s="348"/>
      <c r="G15" s="348">
        <v>305542.01189999969</v>
      </c>
      <c r="H15" s="348">
        <v>121068.30749999998</v>
      </c>
      <c r="I15" s="348">
        <v>0</v>
      </c>
      <c r="J15" s="348">
        <v>0</v>
      </c>
      <c r="K15" s="349">
        <v>0</v>
      </c>
      <c r="L15" s="6">
        <f t="shared" si="0"/>
        <v>1250405.0086899996</v>
      </c>
    </row>
    <row r="16" spans="1:12" x14ac:dyDescent="0.25">
      <c r="A16" s="13" t="s">
        <v>115</v>
      </c>
      <c r="B16" s="347"/>
      <c r="C16" s="348">
        <v>5580738.0050000008</v>
      </c>
      <c r="D16" s="348"/>
      <c r="E16" s="348">
        <v>53666.060199999993</v>
      </c>
      <c r="F16" s="348"/>
      <c r="G16" s="348">
        <v>35110.161600000007</v>
      </c>
      <c r="H16" s="348">
        <v>0</v>
      </c>
      <c r="I16" s="348">
        <v>0</v>
      </c>
      <c r="J16" s="348">
        <v>0</v>
      </c>
      <c r="K16" s="349">
        <v>0</v>
      </c>
      <c r="L16" s="6">
        <f t="shared" si="0"/>
        <v>5669514.2268000012</v>
      </c>
    </row>
    <row r="17" spans="1:12" x14ac:dyDescent="0.25">
      <c r="A17" s="13" t="s">
        <v>116</v>
      </c>
      <c r="B17" s="350"/>
      <c r="C17" s="351">
        <v>4718351.3380000005</v>
      </c>
      <c r="D17" s="351"/>
      <c r="E17" s="351">
        <v>34732.583449999998</v>
      </c>
      <c r="F17" s="351"/>
      <c r="G17" s="351">
        <v>27491.533000000003</v>
      </c>
      <c r="H17" s="351">
        <v>351631.95419999998</v>
      </c>
      <c r="I17" s="351">
        <v>0</v>
      </c>
      <c r="J17" s="351">
        <v>0</v>
      </c>
      <c r="K17" s="352">
        <v>0</v>
      </c>
      <c r="L17" s="6">
        <f t="shared" si="0"/>
        <v>5132207.4086499996</v>
      </c>
    </row>
    <row r="18" spans="1:12" x14ac:dyDescent="0.25">
      <c r="A18" s="8"/>
      <c r="D18" s="8"/>
    </row>
    <row r="19" spans="1:12" ht="13.75" thickBot="1" x14ac:dyDescent="0.3">
      <c r="A19" s="34" t="s">
        <v>1</v>
      </c>
      <c r="B19" s="90">
        <f t="shared" ref="B19:G19" si="1">SUM(B6:B17)</f>
        <v>0</v>
      </c>
      <c r="C19" s="90">
        <f t="shared" si="1"/>
        <v>13548833.300398</v>
      </c>
      <c r="D19" s="90">
        <f t="shared" si="1"/>
        <v>0</v>
      </c>
      <c r="E19" s="90">
        <f t="shared" si="1"/>
        <v>1041968.7418400003</v>
      </c>
      <c r="F19" s="90">
        <f t="shared" si="1"/>
        <v>0</v>
      </c>
      <c r="G19" s="90">
        <f t="shared" si="1"/>
        <v>1079683.9708999991</v>
      </c>
      <c r="H19" s="90">
        <f>SUM(H6:H17)</f>
        <v>806106.90329999989</v>
      </c>
      <c r="I19" s="90">
        <f t="shared" ref="I19:J19" si="2">SUM(I6:I17)</f>
        <v>68817</v>
      </c>
      <c r="J19" s="90">
        <f t="shared" si="2"/>
        <v>679.68000000000006</v>
      </c>
      <c r="K19" s="90">
        <f>SUM(K6:K17)</f>
        <v>73579.199999999997</v>
      </c>
      <c r="L19" s="90">
        <f>SUM(L6:L17)</f>
        <v>16619668.796437999</v>
      </c>
    </row>
    <row r="20" spans="1:12" ht="13.75" thickTop="1" x14ac:dyDescent="0.25">
      <c r="E20" s="14"/>
      <c r="F20" s="14"/>
      <c r="I20" s="14"/>
    </row>
    <row r="21" spans="1:12" x14ac:dyDescent="0.25">
      <c r="A21" t="s">
        <v>179</v>
      </c>
      <c r="C21" s="311">
        <v>0</v>
      </c>
      <c r="E21" s="311">
        <v>0</v>
      </c>
      <c r="G21" s="311">
        <v>0</v>
      </c>
      <c r="H21" s="311">
        <v>0</v>
      </c>
      <c r="I21" s="311">
        <v>0</v>
      </c>
      <c r="J21" s="311">
        <v>0</v>
      </c>
      <c r="K21" s="311">
        <v>0</v>
      </c>
      <c r="L21" s="311">
        <v>0</v>
      </c>
    </row>
    <row r="22" spans="1:12" x14ac:dyDescent="0.25">
      <c r="L22" s="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C84FD-B799-4119-B3D4-7BDEB1344B94}">
  <sheetPr codeName="Sheet3">
    <tabColor theme="1" tint="0.34998626667073579"/>
  </sheetPr>
  <dimension ref="A1:AE99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16.7109375" defaultRowHeight="13.1" x14ac:dyDescent="0.25"/>
  <cols>
    <col min="1" max="1" width="32.7109375" style="639" customWidth="1"/>
    <col min="2" max="8" width="16.7109375" style="639"/>
    <col min="9" max="9" width="3.7109375" style="681" customWidth="1"/>
    <col min="10" max="16" width="16.7109375" style="639"/>
    <col min="17" max="17" width="3.7109375" style="681" customWidth="1"/>
    <col min="18" max="24" width="16.7109375" style="639"/>
    <col min="25" max="25" width="3.7109375" style="639" customWidth="1"/>
    <col min="26" max="16384" width="16.7109375" style="639"/>
  </cols>
  <sheetData>
    <row r="1" spans="1:31" x14ac:dyDescent="0.25">
      <c r="A1" s="343" t="str">
        <f>Company_Filing</f>
        <v>2025 MEEIA Filing</v>
      </c>
      <c r="B1" s="608" t="s">
        <v>2</v>
      </c>
      <c r="C1" s="624"/>
      <c r="D1" s="624"/>
      <c r="E1" s="611" t="s">
        <v>263</v>
      </c>
      <c r="F1" s="611"/>
      <c r="G1" s="611"/>
      <c r="H1" s="611"/>
      <c r="I1" s="680"/>
      <c r="J1" s="608" t="s">
        <v>2</v>
      </c>
      <c r="K1" s="624"/>
      <c r="L1" s="624"/>
      <c r="M1" s="611" t="s">
        <v>263</v>
      </c>
      <c r="N1" s="624"/>
      <c r="O1" s="624"/>
      <c r="P1" s="624"/>
      <c r="Q1" s="679"/>
      <c r="R1" s="608" t="s">
        <v>2</v>
      </c>
      <c r="S1" s="624"/>
      <c r="T1" s="624"/>
      <c r="U1" s="611" t="s">
        <v>263</v>
      </c>
      <c r="V1" s="624"/>
      <c r="W1" s="624"/>
      <c r="X1" s="624"/>
      <c r="Y1" s="692"/>
      <c r="Z1" s="611"/>
      <c r="AB1" s="607" t="s">
        <v>133</v>
      </c>
      <c r="AC1" s="608" t="s">
        <v>97</v>
      </c>
      <c r="AD1" s="609" t="s">
        <v>22</v>
      </c>
    </row>
    <row r="2" spans="1:31" x14ac:dyDescent="0.25">
      <c r="A2" s="610" t="s">
        <v>2</v>
      </c>
      <c r="B2" s="611" t="s">
        <v>28</v>
      </c>
      <c r="C2" s="611" t="s">
        <v>28</v>
      </c>
      <c r="D2" s="611" t="s">
        <v>28</v>
      </c>
      <c r="E2" s="611" t="s">
        <v>28</v>
      </c>
      <c r="F2" s="611" t="s">
        <v>264</v>
      </c>
      <c r="G2" s="611" t="s">
        <v>264</v>
      </c>
      <c r="H2" s="611" t="s">
        <v>28</v>
      </c>
      <c r="I2" s="680"/>
      <c r="J2" s="611" t="s">
        <v>267</v>
      </c>
      <c r="K2" s="611" t="s">
        <v>267</v>
      </c>
      <c r="L2" s="611" t="s">
        <v>267</v>
      </c>
      <c r="M2" s="611" t="s">
        <v>267</v>
      </c>
      <c r="N2" s="611" t="s">
        <v>29</v>
      </c>
      <c r="O2" s="611" t="s">
        <v>29</v>
      </c>
      <c r="P2" s="611"/>
      <c r="Q2" s="680"/>
      <c r="R2" s="611" t="s">
        <v>269</v>
      </c>
      <c r="S2" s="611" t="s">
        <v>269</v>
      </c>
      <c r="T2" s="611" t="s">
        <v>269</v>
      </c>
      <c r="U2" s="611" t="s">
        <v>269</v>
      </c>
      <c r="V2" s="611" t="s">
        <v>29</v>
      </c>
      <c r="W2" s="611" t="s">
        <v>29</v>
      </c>
      <c r="X2" s="611"/>
      <c r="Y2" s="693"/>
      <c r="Z2" s="611" t="s">
        <v>1</v>
      </c>
      <c r="AB2" s="613" t="s">
        <v>144</v>
      </c>
      <c r="AC2" s="611" t="s">
        <v>144</v>
      </c>
      <c r="AD2" s="612" t="s">
        <v>144</v>
      </c>
    </row>
    <row r="3" spans="1:31" x14ac:dyDescent="0.25">
      <c r="A3" s="614" t="s">
        <v>280</v>
      </c>
      <c r="B3" s="615" t="s">
        <v>30</v>
      </c>
      <c r="C3" s="615" t="s">
        <v>262</v>
      </c>
      <c r="D3" s="615" t="s">
        <v>268</v>
      </c>
      <c r="E3" s="615" t="s">
        <v>143</v>
      </c>
      <c r="F3" s="615" t="s">
        <v>265</v>
      </c>
      <c r="G3" s="615" t="s">
        <v>266</v>
      </c>
      <c r="H3" s="615" t="s">
        <v>32</v>
      </c>
      <c r="I3" s="680"/>
      <c r="J3" s="615" t="s">
        <v>30</v>
      </c>
      <c r="K3" s="615" t="s">
        <v>262</v>
      </c>
      <c r="L3" s="615" t="s">
        <v>268</v>
      </c>
      <c r="M3" s="615" t="s">
        <v>143</v>
      </c>
      <c r="N3" s="615" t="s">
        <v>31</v>
      </c>
      <c r="O3" s="615" t="s">
        <v>0</v>
      </c>
      <c r="P3" s="615" t="s">
        <v>32</v>
      </c>
      <c r="Q3" s="680"/>
      <c r="R3" s="615" t="s">
        <v>30</v>
      </c>
      <c r="S3" s="615" t="s">
        <v>262</v>
      </c>
      <c r="T3" s="615" t="s">
        <v>268</v>
      </c>
      <c r="U3" s="615" t="s">
        <v>143</v>
      </c>
      <c r="V3" s="615" t="s">
        <v>31</v>
      </c>
      <c r="W3" s="615" t="s">
        <v>0</v>
      </c>
      <c r="X3" s="615" t="s">
        <v>32</v>
      </c>
      <c r="Y3" s="693"/>
      <c r="Z3" s="611" t="s">
        <v>32</v>
      </c>
      <c r="AB3" s="617" t="s">
        <v>145</v>
      </c>
      <c r="AC3" s="615" t="s">
        <v>145</v>
      </c>
      <c r="AD3" s="616" t="s">
        <v>145</v>
      </c>
    </row>
    <row r="4" spans="1:31" x14ac:dyDescent="0.25">
      <c r="C4" s="636"/>
      <c r="D4" s="636"/>
      <c r="E4" s="636"/>
      <c r="F4" s="636"/>
      <c r="G4" s="636"/>
      <c r="H4" s="636"/>
      <c r="I4" s="687"/>
      <c r="J4" s="636"/>
      <c r="K4" s="636"/>
      <c r="L4" s="636"/>
      <c r="M4" s="636"/>
      <c r="R4" s="636"/>
      <c r="S4" s="636"/>
      <c r="T4" s="636"/>
      <c r="U4" s="636"/>
    </row>
    <row r="5" spans="1:31" x14ac:dyDescent="0.25">
      <c r="A5" s="646">
        <v>44562</v>
      </c>
      <c r="B5" s="669">
        <v>0</v>
      </c>
      <c r="C5" s="671">
        <v>39757</v>
      </c>
      <c r="D5" s="671">
        <v>53846.436781609191</v>
      </c>
      <c r="E5" s="670">
        <f>+C5-D5</f>
        <v>-14089.436781609191</v>
      </c>
      <c r="F5" s="647">
        <f>'7. Short Term Rates'!B4/12</f>
        <v>3.8333333333333334E-4</v>
      </c>
      <c r="G5" s="633">
        <f>(B5+E5/2)*F5</f>
        <v>-2.7004753831417618</v>
      </c>
      <c r="H5" s="633">
        <f>B5+E5+G5</f>
        <v>-14092.137256992333</v>
      </c>
      <c r="I5" s="682"/>
      <c r="J5" s="633">
        <v>0</v>
      </c>
      <c r="K5" s="670">
        <f>AD5</f>
        <v>227.66644104537801</v>
      </c>
      <c r="L5" s="671">
        <v>4711.5632183908037</v>
      </c>
      <c r="M5" s="670">
        <f>+K5-L5</f>
        <v>-4483.896777345426</v>
      </c>
      <c r="N5" s="647">
        <f>F5</f>
        <v>3.8333333333333334E-4</v>
      </c>
      <c r="O5" s="633">
        <f>(J5+M5/2)*N5</f>
        <v>-0.8594135489912067</v>
      </c>
      <c r="P5" s="633">
        <f>J5+M5+O5</f>
        <v>-4484.7561908944172</v>
      </c>
      <c r="Q5" s="682"/>
      <c r="R5" s="633">
        <v>0</v>
      </c>
      <c r="S5" s="671">
        <v>0</v>
      </c>
      <c r="T5" s="671">
        <v>0</v>
      </c>
      <c r="U5" s="670">
        <f>+S5-T5</f>
        <v>0</v>
      </c>
      <c r="V5" s="647">
        <f>N5</f>
        <v>3.8333333333333334E-4</v>
      </c>
      <c r="W5" s="633">
        <f>(R5+U5/2)*V5</f>
        <v>0</v>
      </c>
      <c r="X5" s="633">
        <f>R5+U5+W5</f>
        <v>0</v>
      </c>
      <c r="Y5" s="56"/>
      <c r="Z5" s="664">
        <f>H5+P5+X5</f>
        <v>-18576.893447886752</v>
      </c>
      <c r="AB5" s="327">
        <f>'2. Summary of TD'!J5</f>
        <v>0</v>
      </c>
      <c r="AC5" s="626">
        <f>'2. Summary of TD'!K5</f>
        <v>227.66644104537801</v>
      </c>
      <c r="AD5" s="625">
        <f>SUM(AB5:AC5)</f>
        <v>227.66644104537801</v>
      </c>
      <c r="AE5" s="551">
        <f>+AD5-'2. Summary of TD'!L5</f>
        <v>0</v>
      </c>
    </row>
    <row r="6" spans="1:31" x14ac:dyDescent="0.25">
      <c r="A6" s="646">
        <f t="shared" ref="A6:A16" si="0">EOMONTH(A5,1)</f>
        <v>44620</v>
      </c>
      <c r="B6" s="631">
        <f>H5</f>
        <v>-14092.137256992333</v>
      </c>
      <c r="C6" s="621">
        <v>6900</v>
      </c>
      <c r="D6" s="621">
        <v>153209.19540229885</v>
      </c>
      <c r="E6" s="672">
        <f t="shared" ref="E6:E16" si="1">+C6-D6</f>
        <v>-146309.19540229885</v>
      </c>
      <c r="F6" s="623">
        <f>'7. Short Term Rates'!B5/12</f>
        <v>2.5000000000000001E-4</v>
      </c>
      <c r="G6" s="664">
        <f t="shared" ref="G6:G16" si="2">(B6+E6/2)*F6</f>
        <v>-21.811683739535439</v>
      </c>
      <c r="H6" s="664">
        <f t="shared" ref="H6:H16" si="3">B6+E6+G6</f>
        <v>-160423.14434303073</v>
      </c>
      <c r="I6" s="682"/>
      <c r="J6" s="634">
        <f>P5</f>
        <v>-4484.7561908944172</v>
      </c>
      <c r="K6" s="543">
        <f t="shared" ref="K6:K16" si="4">AD6</f>
        <v>380.7879320963354</v>
      </c>
      <c r="L6" s="621">
        <v>13405.804597701148</v>
      </c>
      <c r="M6" s="672">
        <f t="shared" ref="M6:M40" si="5">+K6-L6</f>
        <v>-13025.016665604813</v>
      </c>
      <c r="N6" s="623">
        <f t="shared" ref="N6:N40" si="6">F6</f>
        <v>2.5000000000000001E-4</v>
      </c>
      <c r="O6" s="664">
        <f t="shared" ref="O6:O40" si="7">(J6+M6/2)*N6</f>
        <v>-2.749316130924206</v>
      </c>
      <c r="P6" s="664">
        <f t="shared" ref="P6:P40" si="8">J6+M6+O6</f>
        <v>-17512.522172630153</v>
      </c>
      <c r="Q6" s="682"/>
      <c r="R6" s="634">
        <f>X5</f>
        <v>0</v>
      </c>
      <c r="S6" s="621">
        <v>0</v>
      </c>
      <c r="T6" s="621">
        <v>0</v>
      </c>
      <c r="U6" s="672">
        <f t="shared" ref="U6:U16" si="9">+S6-T6</f>
        <v>0</v>
      </c>
      <c r="V6" s="623">
        <f t="shared" ref="V6:V16" si="10">N6</f>
        <v>2.5000000000000001E-4</v>
      </c>
      <c r="W6" s="664">
        <f t="shared" ref="W6:W16" si="11">(R6+U6/2)*V6</f>
        <v>0</v>
      </c>
      <c r="X6" s="664">
        <f t="shared" ref="X6:X16" si="12">R6+U6+W6</f>
        <v>0</v>
      </c>
      <c r="Y6" s="56"/>
      <c r="Z6" s="664">
        <f t="shared" ref="Z6:Z40" si="13">H6+P6+X6</f>
        <v>-177935.66651566088</v>
      </c>
      <c r="AB6" s="629">
        <f>'2. Summary of TD'!J6</f>
        <v>0</v>
      </c>
      <c r="AC6" s="632">
        <f>'2. Summary of TD'!K6</f>
        <v>380.7879320963354</v>
      </c>
      <c r="AD6" s="551">
        <f>SUM(AB6:AC6)</f>
        <v>380.7879320963354</v>
      </c>
      <c r="AE6" s="551">
        <f>+AD6-'2. Summary of TD'!L6</f>
        <v>0</v>
      </c>
    </row>
    <row r="7" spans="1:31" x14ac:dyDescent="0.25">
      <c r="A7" s="646">
        <f t="shared" si="0"/>
        <v>44651</v>
      </c>
      <c r="B7" s="631">
        <f t="shared" ref="B7:B40" si="14">H6</f>
        <v>-160423.14434303073</v>
      </c>
      <c r="C7" s="621">
        <v>13172</v>
      </c>
      <c r="D7" s="621">
        <v>135234.94252873564</v>
      </c>
      <c r="E7" s="672">
        <f t="shared" si="1"/>
        <v>-122062.94252873564</v>
      </c>
      <c r="F7" s="623">
        <f>'7. Short Term Rates'!B6/12</f>
        <v>3.8333333333333334E-4</v>
      </c>
      <c r="G7" s="664">
        <f t="shared" si="2"/>
        <v>-84.890935982836112</v>
      </c>
      <c r="H7" s="664">
        <f t="shared" si="3"/>
        <v>-282570.97780774918</v>
      </c>
      <c r="I7" s="682"/>
      <c r="J7" s="634">
        <f t="shared" ref="J7:J40" si="15">P6</f>
        <v>-17512.522172630153</v>
      </c>
      <c r="K7" s="543">
        <f t="shared" si="4"/>
        <v>377.98787869551649</v>
      </c>
      <c r="L7" s="621">
        <v>11833.057471264367</v>
      </c>
      <c r="M7" s="672">
        <f t="shared" si="5"/>
        <v>-11455.069592568851</v>
      </c>
      <c r="N7" s="623">
        <f t="shared" si="6"/>
        <v>3.8333333333333334E-4</v>
      </c>
      <c r="O7" s="664">
        <f t="shared" si="7"/>
        <v>-8.9086885047505877</v>
      </c>
      <c r="P7" s="664">
        <f t="shared" si="8"/>
        <v>-28976.500453703753</v>
      </c>
      <c r="Q7" s="682"/>
      <c r="R7" s="634">
        <f t="shared" ref="R7:R16" si="16">X6</f>
        <v>0</v>
      </c>
      <c r="S7" s="621">
        <v>0</v>
      </c>
      <c r="T7" s="621">
        <v>0</v>
      </c>
      <c r="U7" s="672">
        <f t="shared" si="9"/>
        <v>0</v>
      </c>
      <c r="V7" s="623">
        <f t="shared" si="10"/>
        <v>3.8333333333333334E-4</v>
      </c>
      <c r="W7" s="664">
        <f t="shared" si="11"/>
        <v>0</v>
      </c>
      <c r="X7" s="664">
        <f t="shared" si="12"/>
        <v>0</v>
      </c>
      <c r="Y7" s="56"/>
      <c r="Z7" s="664">
        <f t="shared" si="13"/>
        <v>-311547.47826145292</v>
      </c>
      <c r="AB7" s="629">
        <f>'2. Summary of TD'!J7</f>
        <v>4.9560615319998762</v>
      </c>
      <c r="AC7" s="632">
        <f>'2. Summary of TD'!K7</f>
        <v>373.03181716351662</v>
      </c>
      <c r="AD7" s="551">
        <f t="shared" ref="AD7:AD28" si="17">SUM(AB7:AC7)</f>
        <v>377.98787869551649</v>
      </c>
      <c r="AE7" s="551">
        <f>+AD7-'2. Summary of TD'!L7</f>
        <v>0</v>
      </c>
    </row>
    <row r="8" spans="1:31" x14ac:dyDescent="0.25">
      <c r="A8" s="646">
        <f t="shared" si="0"/>
        <v>44681</v>
      </c>
      <c r="B8" s="631">
        <f t="shared" si="14"/>
        <v>-282570.97780774918</v>
      </c>
      <c r="C8" s="621">
        <v>6804</v>
      </c>
      <c r="D8" s="621">
        <v>102592.18390804598</v>
      </c>
      <c r="E8" s="672">
        <f t="shared" si="1"/>
        <v>-95788.183908045976</v>
      </c>
      <c r="F8" s="623">
        <f>'7. Short Term Rates'!B7/12</f>
        <v>5.5000000000000003E-4</v>
      </c>
      <c r="G8" s="664">
        <f t="shared" si="2"/>
        <v>-181.75578836897472</v>
      </c>
      <c r="H8" s="664">
        <f t="shared" si="3"/>
        <v>-378540.91750416416</v>
      </c>
      <c r="I8" s="682"/>
      <c r="J8" s="634">
        <f t="shared" si="15"/>
        <v>-28976.500453703753</v>
      </c>
      <c r="K8" s="543">
        <f t="shared" si="4"/>
        <v>294.29156374375412</v>
      </c>
      <c r="L8" s="621">
        <v>8976.8160919540223</v>
      </c>
      <c r="M8" s="672">
        <f t="shared" si="5"/>
        <v>-8682.5245282102678</v>
      </c>
      <c r="N8" s="623">
        <f t="shared" si="6"/>
        <v>5.5000000000000003E-4</v>
      </c>
      <c r="O8" s="664">
        <f t="shared" si="7"/>
        <v>-18.324769494794889</v>
      </c>
      <c r="P8" s="664">
        <f t="shared" si="8"/>
        <v>-37677.349751408816</v>
      </c>
      <c r="Q8" s="682"/>
      <c r="R8" s="634">
        <f t="shared" si="16"/>
        <v>0</v>
      </c>
      <c r="S8" s="621">
        <v>0</v>
      </c>
      <c r="T8" s="621">
        <v>0</v>
      </c>
      <c r="U8" s="672">
        <f t="shared" si="9"/>
        <v>0</v>
      </c>
      <c r="V8" s="623">
        <f t="shared" si="10"/>
        <v>5.5000000000000003E-4</v>
      </c>
      <c r="W8" s="664">
        <f t="shared" si="11"/>
        <v>0</v>
      </c>
      <c r="X8" s="664">
        <f t="shared" si="12"/>
        <v>0</v>
      </c>
      <c r="Y8" s="56"/>
      <c r="Z8" s="664">
        <f t="shared" si="13"/>
        <v>-416218.26725557295</v>
      </c>
      <c r="AB8" s="629">
        <f>'2. Summary of TD'!J8</f>
        <v>17.327734979568749</v>
      </c>
      <c r="AC8" s="632">
        <f>'2. Summary of TD'!K8</f>
        <v>276.96382876418539</v>
      </c>
      <c r="AD8" s="551">
        <f t="shared" si="17"/>
        <v>294.29156374375412</v>
      </c>
      <c r="AE8" s="551">
        <f>+AD8-'2. Summary of TD'!L8</f>
        <v>0</v>
      </c>
    </row>
    <row r="9" spans="1:31" x14ac:dyDescent="0.25">
      <c r="A9" s="646">
        <f t="shared" si="0"/>
        <v>44712</v>
      </c>
      <c r="B9" s="631">
        <f t="shared" si="14"/>
        <v>-378540.91750416416</v>
      </c>
      <c r="C9" s="621">
        <v>69373</v>
      </c>
      <c r="D9" s="621">
        <v>81325.977011494266</v>
      </c>
      <c r="E9" s="672">
        <f t="shared" si="1"/>
        <v>-11952.977011494266</v>
      </c>
      <c r="F9" s="623">
        <f>'7. Short Term Rates'!B8/12</f>
        <v>9.5833333333333328E-4</v>
      </c>
      <c r="G9" s="664">
        <f t="shared" si="2"/>
        <v>-368.49584742616497</v>
      </c>
      <c r="H9" s="664">
        <f t="shared" si="3"/>
        <v>-390862.39036308462</v>
      </c>
      <c r="I9" s="682"/>
      <c r="J9" s="634">
        <f t="shared" si="15"/>
        <v>-37677.349751408816</v>
      </c>
      <c r="K9" s="543">
        <f t="shared" si="4"/>
        <v>458.81032690160032</v>
      </c>
      <c r="L9" s="621">
        <v>7116.022988505747</v>
      </c>
      <c r="M9" s="672">
        <f t="shared" si="5"/>
        <v>-6657.2126616041469</v>
      </c>
      <c r="N9" s="623">
        <f t="shared" si="6"/>
        <v>9.5833333333333328E-4</v>
      </c>
      <c r="O9" s="664">
        <f t="shared" si="7"/>
        <v>-39.297374578785437</v>
      </c>
      <c r="P9" s="664">
        <f t="shared" si="8"/>
        <v>-44373.859787591748</v>
      </c>
      <c r="Q9" s="682"/>
      <c r="R9" s="634">
        <f t="shared" si="16"/>
        <v>0</v>
      </c>
      <c r="S9" s="621">
        <v>0</v>
      </c>
      <c r="T9" s="621">
        <v>0</v>
      </c>
      <c r="U9" s="672">
        <f t="shared" si="9"/>
        <v>0</v>
      </c>
      <c r="V9" s="623">
        <f t="shared" si="10"/>
        <v>9.5833333333333328E-4</v>
      </c>
      <c r="W9" s="664">
        <f t="shared" si="11"/>
        <v>0</v>
      </c>
      <c r="X9" s="664">
        <f t="shared" si="12"/>
        <v>0</v>
      </c>
      <c r="Y9" s="56"/>
      <c r="Z9" s="664">
        <f t="shared" si="13"/>
        <v>-435236.25015067635</v>
      </c>
      <c r="AB9" s="629">
        <f>'2. Summary of TD'!J9</f>
        <v>24.032302959959253</v>
      </c>
      <c r="AC9" s="632">
        <f>'2. Summary of TD'!K9</f>
        <v>434.7780239416411</v>
      </c>
      <c r="AD9" s="551">
        <f t="shared" si="17"/>
        <v>458.81032690160032</v>
      </c>
      <c r="AE9" s="551">
        <f>+AD9-'2. Summary of TD'!L9</f>
        <v>0</v>
      </c>
    </row>
    <row r="10" spans="1:31" x14ac:dyDescent="0.25">
      <c r="A10" s="646">
        <f t="shared" si="0"/>
        <v>44742</v>
      </c>
      <c r="B10" s="631">
        <f t="shared" si="14"/>
        <v>-390862.39036308462</v>
      </c>
      <c r="C10" s="621">
        <v>104210</v>
      </c>
      <c r="D10" s="621">
        <v>101923.67816091955</v>
      </c>
      <c r="E10" s="672">
        <f t="shared" si="1"/>
        <v>2286.3218390804541</v>
      </c>
      <c r="F10" s="623">
        <f>'7. Short Term Rates'!B9/12</f>
        <v>1.4250000000000001E-3</v>
      </c>
      <c r="G10" s="664">
        <f t="shared" si="2"/>
        <v>-555.34990195705075</v>
      </c>
      <c r="H10" s="664">
        <f t="shared" si="3"/>
        <v>-389131.41842596122</v>
      </c>
      <c r="I10" s="682"/>
      <c r="J10" s="634">
        <f t="shared" si="15"/>
        <v>-44373.859787591748</v>
      </c>
      <c r="K10" s="543">
        <f t="shared" si="4"/>
        <v>1960.0104066570916</v>
      </c>
      <c r="L10" s="621">
        <v>8918.3218390804577</v>
      </c>
      <c r="M10" s="672">
        <f t="shared" si="5"/>
        <v>-6958.3114324233666</v>
      </c>
      <c r="N10" s="623">
        <f t="shared" si="6"/>
        <v>1.4250000000000001E-3</v>
      </c>
      <c r="O10" s="664">
        <f t="shared" si="7"/>
        <v>-68.190547092919886</v>
      </c>
      <c r="P10" s="664">
        <f t="shared" si="8"/>
        <v>-51400.361767108036</v>
      </c>
      <c r="Q10" s="682"/>
      <c r="R10" s="634">
        <f t="shared" si="16"/>
        <v>0</v>
      </c>
      <c r="S10" s="621">
        <v>0</v>
      </c>
      <c r="T10" s="621">
        <v>0</v>
      </c>
      <c r="U10" s="672">
        <f t="shared" si="9"/>
        <v>0</v>
      </c>
      <c r="V10" s="623">
        <f t="shared" si="10"/>
        <v>1.4250000000000001E-3</v>
      </c>
      <c r="W10" s="664">
        <f t="shared" si="11"/>
        <v>0</v>
      </c>
      <c r="X10" s="664">
        <f t="shared" si="12"/>
        <v>0</v>
      </c>
      <c r="Y10" s="56"/>
      <c r="Z10" s="664">
        <f t="shared" si="13"/>
        <v>-440531.78019306925</v>
      </c>
      <c r="AB10" s="629">
        <f>'2. Summary of TD'!J10</f>
        <v>28.275086026727102</v>
      </c>
      <c r="AC10" s="632">
        <f>'2. Summary of TD'!K10</f>
        <v>1931.7353206303644</v>
      </c>
      <c r="AD10" s="551">
        <f t="shared" si="17"/>
        <v>1960.0104066570916</v>
      </c>
      <c r="AE10" s="551">
        <f>+AD10-'2. Summary of TD'!L10</f>
        <v>0</v>
      </c>
    </row>
    <row r="11" spans="1:31" x14ac:dyDescent="0.25">
      <c r="A11" s="646">
        <f t="shared" si="0"/>
        <v>44773</v>
      </c>
      <c r="B11" s="631">
        <f t="shared" si="14"/>
        <v>-389131.41842596122</v>
      </c>
      <c r="C11" s="621">
        <v>44555</v>
      </c>
      <c r="D11" s="621">
        <v>141916.32183908045</v>
      </c>
      <c r="E11" s="672">
        <f t="shared" si="1"/>
        <v>-97361.321839080454</v>
      </c>
      <c r="F11" s="623">
        <f>'7. Short Term Rates'!B10/12</f>
        <v>1.9166666666666666E-3</v>
      </c>
      <c r="G11" s="664">
        <f t="shared" si="2"/>
        <v>-839.1398187455444</v>
      </c>
      <c r="H11" s="664">
        <f t="shared" si="3"/>
        <v>-487331.88008378725</v>
      </c>
      <c r="I11" s="682"/>
      <c r="J11" s="634">
        <f t="shared" si="15"/>
        <v>-51400.361767108036</v>
      </c>
      <c r="K11" s="543">
        <f t="shared" si="4"/>
        <v>4584.7343226670728</v>
      </c>
      <c r="L11" s="621">
        <v>12417.678160919539</v>
      </c>
      <c r="M11" s="672">
        <f t="shared" si="5"/>
        <v>-7832.9438382524659</v>
      </c>
      <c r="N11" s="623">
        <f t="shared" si="6"/>
        <v>1.9166666666666666E-3</v>
      </c>
      <c r="O11" s="664">
        <f t="shared" si="7"/>
        <v>-106.02393123194901</v>
      </c>
      <c r="P11" s="664">
        <f t="shared" si="8"/>
        <v>-59339.32953659245</v>
      </c>
      <c r="Q11" s="682"/>
      <c r="R11" s="634">
        <f t="shared" si="16"/>
        <v>0</v>
      </c>
      <c r="S11" s="621">
        <v>0</v>
      </c>
      <c r="T11" s="621">
        <v>0</v>
      </c>
      <c r="U11" s="672">
        <f t="shared" si="9"/>
        <v>0</v>
      </c>
      <c r="V11" s="623">
        <f t="shared" si="10"/>
        <v>1.9166666666666666E-3</v>
      </c>
      <c r="W11" s="664">
        <f t="shared" si="11"/>
        <v>0</v>
      </c>
      <c r="X11" s="664">
        <f t="shared" si="12"/>
        <v>0</v>
      </c>
      <c r="Y11" s="56"/>
      <c r="Z11" s="664">
        <f t="shared" si="13"/>
        <v>-546671.20962037973</v>
      </c>
      <c r="AB11" s="629">
        <f>'2. Summary of TD'!J11</f>
        <v>42.894229426787192</v>
      </c>
      <c r="AC11" s="632">
        <f>'2. Summary of TD'!K11</f>
        <v>4541.8400932402856</v>
      </c>
      <c r="AD11" s="551">
        <f t="shared" si="17"/>
        <v>4584.7343226670728</v>
      </c>
      <c r="AE11" s="551">
        <f>+AD11-'2. Summary of TD'!L11</f>
        <v>0</v>
      </c>
    </row>
    <row r="12" spans="1:31" x14ac:dyDescent="0.25">
      <c r="A12" s="646">
        <f t="shared" si="0"/>
        <v>44804</v>
      </c>
      <c r="B12" s="631">
        <f t="shared" si="14"/>
        <v>-487331.88008378725</v>
      </c>
      <c r="C12" s="621">
        <v>47624</v>
      </c>
      <c r="D12" s="621">
        <v>164903.90804597703</v>
      </c>
      <c r="E12" s="672">
        <f t="shared" si="1"/>
        <v>-117279.90804597703</v>
      </c>
      <c r="F12" s="623">
        <f>'7. Short Term Rates'!B11/12</f>
        <v>2.5083333333333333E-3</v>
      </c>
      <c r="G12" s="664">
        <f t="shared" si="2"/>
        <v>-1369.4793505511627</v>
      </c>
      <c r="H12" s="664">
        <f t="shared" si="3"/>
        <v>-605981.26748031541</v>
      </c>
      <c r="I12" s="682"/>
      <c r="J12" s="634">
        <f t="shared" si="15"/>
        <v>-59339.32953659245</v>
      </c>
      <c r="K12" s="543">
        <f t="shared" si="4"/>
        <v>5475.4776179112841</v>
      </c>
      <c r="L12" s="621">
        <v>14429.091954022988</v>
      </c>
      <c r="M12" s="672">
        <f t="shared" si="5"/>
        <v>-8953.6143361117029</v>
      </c>
      <c r="N12" s="623">
        <f t="shared" si="6"/>
        <v>2.5083333333333333E-3</v>
      </c>
      <c r="O12" s="664">
        <f t="shared" si="7"/>
        <v>-160.07214290082615</v>
      </c>
      <c r="P12" s="664">
        <f t="shared" si="8"/>
        <v>-68453.016015604982</v>
      </c>
      <c r="Q12" s="682"/>
      <c r="R12" s="634">
        <f t="shared" si="16"/>
        <v>0</v>
      </c>
      <c r="S12" s="621">
        <v>0</v>
      </c>
      <c r="T12" s="621">
        <v>0</v>
      </c>
      <c r="U12" s="672">
        <f t="shared" si="9"/>
        <v>0</v>
      </c>
      <c r="V12" s="623">
        <f t="shared" si="10"/>
        <v>2.5083333333333333E-3</v>
      </c>
      <c r="W12" s="664">
        <f t="shared" si="11"/>
        <v>0</v>
      </c>
      <c r="X12" s="664">
        <f t="shared" si="12"/>
        <v>0</v>
      </c>
      <c r="Y12" s="56"/>
      <c r="Z12" s="664">
        <f t="shared" si="13"/>
        <v>-674434.28349592036</v>
      </c>
      <c r="AB12" s="629">
        <f>'2. Summary of TD'!J12</f>
        <v>52.004251875142081</v>
      </c>
      <c r="AC12" s="632">
        <f>'2. Summary of TD'!K12</f>
        <v>5423.4733660361417</v>
      </c>
      <c r="AD12" s="551">
        <f t="shared" si="17"/>
        <v>5475.4776179112841</v>
      </c>
      <c r="AE12" s="551">
        <f>+AD12-'2. Summary of TD'!L12</f>
        <v>0</v>
      </c>
    </row>
    <row r="13" spans="1:31" x14ac:dyDescent="0.25">
      <c r="A13" s="646">
        <f t="shared" si="0"/>
        <v>44834</v>
      </c>
      <c r="B13" s="631">
        <f t="shared" si="14"/>
        <v>-605981.26748031541</v>
      </c>
      <c r="C13" s="621">
        <v>26232</v>
      </c>
      <c r="D13" s="621">
        <v>123625.74712643679</v>
      </c>
      <c r="E13" s="672">
        <f t="shared" si="1"/>
        <v>-97393.747126436792</v>
      </c>
      <c r="F13" s="623">
        <f>'7. Short Term Rates'!B12/12</f>
        <v>2.7333333333333337E-3</v>
      </c>
      <c r="G13" s="664">
        <f t="shared" si="2"/>
        <v>-1789.4535855189927</v>
      </c>
      <c r="H13" s="664">
        <f t="shared" si="3"/>
        <v>-705164.46819227119</v>
      </c>
      <c r="I13" s="682"/>
      <c r="J13" s="634">
        <f t="shared" si="15"/>
        <v>-68453.016015604982</v>
      </c>
      <c r="K13" s="543">
        <f t="shared" si="4"/>
        <v>3020.5183621280653</v>
      </c>
      <c r="L13" s="621">
        <v>10817.252873563217</v>
      </c>
      <c r="M13" s="672">
        <f t="shared" si="5"/>
        <v>-7796.7345114351519</v>
      </c>
      <c r="N13" s="623">
        <f t="shared" si="6"/>
        <v>2.7333333333333337E-3</v>
      </c>
      <c r="O13" s="664">
        <f t="shared" si="7"/>
        <v>-197.76044760828168</v>
      </c>
      <c r="P13" s="664">
        <f t="shared" si="8"/>
        <v>-76447.510974648409</v>
      </c>
      <c r="Q13" s="682"/>
      <c r="R13" s="634">
        <f t="shared" si="16"/>
        <v>0</v>
      </c>
      <c r="S13" s="621">
        <v>0</v>
      </c>
      <c r="T13" s="621">
        <v>0</v>
      </c>
      <c r="U13" s="672">
        <f t="shared" si="9"/>
        <v>0</v>
      </c>
      <c r="V13" s="623">
        <f t="shared" si="10"/>
        <v>2.7333333333333337E-3</v>
      </c>
      <c r="W13" s="664">
        <f t="shared" si="11"/>
        <v>0</v>
      </c>
      <c r="X13" s="664">
        <f t="shared" si="12"/>
        <v>0</v>
      </c>
      <c r="Y13" s="56"/>
      <c r="Z13" s="664">
        <f t="shared" si="13"/>
        <v>-781611.9791669196</v>
      </c>
      <c r="AB13" s="629">
        <f>'2. Summary of TD'!J13</f>
        <v>54.532506240445088</v>
      </c>
      <c r="AC13" s="632">
        <f>'2. Summary of TD'!K13</f>
        <v>2965.9858558876203</v>
      </c>
      <c r="AD13" s="551">
        <f t="shared" si="17"/>
        <v>3020.5183621280653</v>
      </c>
      <c r="AE13" s="551">
        <f>+AD13-'2. Summary of TD'!L13</f>
        <v>0</v>
      </c>
    </row>
    <row r="14" spans="1:31" x14ac:dyDescent="0.25">
      <c r="A14" s="646">
        <f t="shared" si="0"/>
        <v>44865</v>
      </c>
      <c r="B14" s="631">
        <f t="shared" si="14"/>
        <v>-705164.46819227119</v>
      </c>
      <c r="C14" s="621">
        <v>38153</v>
      </c>
      <c r="D14" s="621">
        <v>88082.758620689652</v>
      </c>
      <c r="E14" s="672">
        <f t="shared" si="1"/>
        <v>-49929.758620689652</v>
      </c>
      <c r="F14" s="623">
        <f>'7. Short Term Rates'!B13/12</f>
        <v>3.3249999999999998E-3</v>
      </c>
      <c r="G14" s="664">
        <f t="shared" si="2"/>
        <v>-2427.6800804461982</v>
      </c>
      <c r="H14" s="664">
        <f t="shared" si="3"/>
        <v>-757521.90689340699</v>
      </c>
      <c r="I14" s="682"/>
      <c r="J14" s="634">
        <f t="shared" si="15"/>
        <v>-76447.510974648409</v>
      </c>
      <c r="K14" s="543">
        <f t="shared" si="4"/>
        <v>1676.6850250775949</v>
      </c>
      <c r="L14" s="621">
        <v>7707.2413793103442</v>
      </c>
      <c r="M14" s="672">
        <f t="shared" si="5"/>
        <v>-6030.5563542327491</v>
      </c>
      <c r="N14" s="623">
        <f t="shared" si="6"/>
        <v>3.3249999999999998E-3</v>
      </c>
      <c r="O14" s="664">
        <f t="shared" si="7"/>
        <v>-264.2137739296179</v>
      </c>
      <c r="P14" s="664">
        <f t="shared" si="8"/>
        <v>-82742.281102810768</v>
      </c>
      <c r="Q14" s="682"/>
      <c r="R14" s="634">
        <f t="shared" si="16"/>
        <v>0</v>
      </c>
      <c r="S14" s="621">
        <v>0</v>
      </c>
      <c r="T14" s="621">
        <v>0</v>
      </c>
      <c r="U14" s="672">
        <f t="shared" si="9"/>
        <v>0</v>
      </c>
      <c r="V14" s="623">
        <f t="shared" si="10"/>
        <v>3.3249999999999998E-3</v>
      </c>
      <c r="W14" s="664">
        <f t="shared" si="11"/>
        <v>0</v>
      </c>
      <c r="X14" s="664">
        <f t="shared" si="12"/>
        <v>0</v>
      </c>
      <c r="Y14" s="56"/>
      <c r="Z14" s="664">
        <f t="shared" si="13"/>
        <v>-840264.18799621775</v>
      </c>
      <c r="AB14" s="629">
        <f>'2. Summary of TD'!J14</f>
        <v>61.435982726280415</v>
      </c>
      <c r="AC14" s="632">
        <f>'2. Summary of TD'!K14</f>
        <v>1615.2490423513145</v>
      </c>
      <c r="AD14" s="551">
        <f t="shared" si="17"/>
        <v>1676.6850250775949</v>
      </c>
      <c r="AE14" s="551">
        <f>+AD14-'2. Summary of TD'!L14</f>
        <v>0</v>
      </c>
    </row>
    <row r="15" spans="1:31" x14ac:dyDescent="0.25">
      <c r="A15" s="646">
        <f t="shared" si="0"/>
        <v>44895</v>
      </c>
      <c r="B15" s="631">
        <f t="shared" si="14"/>
        <v>-757521.90689340699</v>
      </c>
      <c r="C15" s="621">
        <v>38153</v>
      </c>
      <c r="D15" s="621">
        <v>77611.034482758623</v>
      </c>
      <c r="E15" s="672">
        <f t="shared" si="1"/>
        <v>-39458.034482758623</v>
      </c>
      <c r="F15" s="623">
        <f>'7. Short Term Rates'!B14/12</f>
        <v>3.8333333333333331E-3</v>
      </c>
      <c r="G15" s="664">
        <f t="shared" si="2"/>
        <v>-2979.4618758500142</v>
      </c>
      <c r="H15" s="664">
        <f t="shared" si="3"/>
        <v>-799959.40325201559</v>
      </c>
      <c r="I15" s="682"/>
      <c r="J15" s="634">
        <f t="shared" si="15"/>
        <v>-82742.281102810768</v>
      </c>
      <c r="K15" s="543">
        <f t="shared" si="4"/>
        <v>3324.8421291873874</v>
      </c>
      <c r="L15" s="621">
        <v>6790.9655172413786</v>
      </c>
      <c r="M15" s="672">
        <f t="shared" si="5"/>
        <v>-3466.1233880539912</v>
      </c>
      <c r="N15" s="623">
        <f t="shared" si="6"/>
        <v>3.8333333333333331E-3</v>
      </c>
      <c r="O15" s="664">
        <f t="shared" si="7"/>
        <v>-323.82214738787809</v>
      </c>
      <c r="P15" s="664">
        <f t="shared" si="8"/>
        <v>-86532.226638252643</v>
      </c>
      <c r="Q15" s="682"/>
      <c r="R15" s="634">
        <f t="shared" si="16"/>
        <v>0</v>
      </c>
      <c r="S15" s="621">
        <v>0</v>
      </c>
      <c r="T15" s="621">
        <v>0</v>
      </c>
      <c r="U15" s="672">
        <f t="shared" si="9"/>
        <v>0</v>
      </c>
      <c r="V15" s="623">
        <f t="shared" si="10"/>
        <v>3.8333333333333331E-3</v>
      </c>
      <c r="W15" s="664">
        <f t="shared" si="11"/>
        <v>0</v>
      </c>
      <c r="X15" s="664">
        <f t="shared" si="12"/>
        <v>0</v>
      </c>
      <c r="Y15" s="56"/>
      <c r="Z15" s="664">
        <f t="shared" si="13"/>
        <v>-886491.6298902682</v>
      </c>
      <c r="AB15" s="629">
        <f>'2. Summary of TD'!J15</f>
        <v>663.7191509976376</v>
      </c>
      <c r="AC15" s="632">
        <f>'2. Summary of TD'!K15</f>
        <v>2661.12297818975</v>
      </c>
      <c r="AD15" s="551">
        <f t="shared" si="17"/>
        <v>3324.8421291873874</v>
      </c>
      <c r="AE15" s="551">
        <f>+AD15-'2. Summary of TD'!L15</f>
        <v>0</v>
      </c>
    </row>
    <row r="16" spans="1:31" x14ac:dyDescent="0.25">
      <c r="A16" s="646">
        <f t="shared" si="0"/>
        <v>44926</v>
      </c>
      <c r="B16" s="631">
        <f t="shared" si="14"/>
        <v>-799959.40325201559</v>
      </c>
      <c r="C16" s="621">
        <v>310135</v>
      </c>
      <c r="D16" s="621">
        <v>123080.45977011495</v>
      </c>
      <c r="E16" s="672">
        <f t="shared" si="1"/>
        <v>187054.54022988505</v>
      </c>
      <c r="F16" s="623">
        <f>'7. Short Term Rates'!B15/12</f>
        <v>4.1250000000000002E-3</v>
      </c>
      <c r="G16" s="664">
        <f t="shared" si="2"/>
        <v>-2914.0325491904264</v>
      </c>
      <c r="H16" s="664">
        <f t="shared" si="3"/>
        <v>-615818.89557132102</v>
      </c>
      <c r="I16" s="682"/>
      <c r="J16" s="634">
        <f t="shared" si="15"/>
        <v>-86532.226638252643</v>
      </c>
      <c r="K16" s="543">
        <f t="shared" si="4"/>
        <v>9067.2073881775505</v>
      </c>
      <c r="L16" s="621">
        <v>10769.540229885057</v>
      </c>
      <c r="M16" s="672">
        <f t="shared" si="5"/>
        <v>-1702.3328417075063</v>
      </c>
      <c r="N16" s="623">
        <f t="shared" si="6"/>
        <v>4.1250000000000002E-3</v>
      </c>
      <c r="O16" s="664">
        <f t="shared" si="7"/>
        <v>-360.45649636881393</v>
      </c>
      <c r="P16" s="664">
        <f t="shared" si="8"/>
        <v>-88595.01597632897</v>
      </c>
      <c r="Q16" s="682"/>
      <c r="R16" s="648">
        <f t="shared" si="16"/>
        <v>0</v>
      </c>
      <c r="S16" s="622">
        <v>0</v>
      </c>
      <c r="T16" s="622">
        <v>0</v>
      </c>
      <c r="U16" s="673">
        <f t="shared" si="9"/>
        <v>0</v>
      </c>
      <c r="V16" s="628">
        <f t="shared" si="10"/>
        <v>4.1250000000000002E-3</v>
      </c>
      <c r="W16" s="674">
        <f t="shared" si="11"/>
        <v>0</v>
      </c>
      <c r="X16" s="674">
        <f t="shared" si="12"/>
        <v>0</v>
      </c>
      <c r="Y16" s="56"/>
      <c r="Z16" s="664">
        <f t="shared" si="13"/>
        <v>-704413.91154765</v>
      </c>
      <c r="AB16" s="642">
        <f>'2. Summary of TD'!J16</f>
        <v>2249.07102022762</v>
      </c>
      <c r="AC16" s="627">
        <f>'2. Summary of TD'!K16</f>
        <v>6818.1363679499309</v>
      </c>
      <c r="AD16" s="551">
        <f t="shared" si="17"/>
        <v>9067.2073881775505</v>
      </c>
      <c r="AE16" s="551">
        <f>+AD16-'2. Summary of TD'!L16</f>
        <v>0</v>
      </c>
    </row>
    <row r="17" spans="1:31" x14ac:dyDescent="0.25">
      <c r="A17" s="646">
        <v>44927</v>
      </c>
      <c r="B17" s="619">
        <f t="shared" si="14"/>
        <v>-615818.89557132102</v>
      </c>
      <c r="C17" s="540">
        <v>7464.5476543945724</v>
      </c>
      <c r="D17" s="540">
        <v>166346.28965517244</v>
      </c>
      <c r="E17" s="649">
        <f>+C17-D17</f>
        <v>-158881.74200077786</v>
      </c>
      <c r="F17" s="618">
        <f>'7. Short Term Rates'!C4/12</f>
        <v>4.1075833333333337E-3</v>
      </c>
      <c r="G17" s="328">
        <f>(B17+E17/2)*F17</f>
        <v>-2855.8374295071794</v>
      </c>
      <c r="H17" s="328">
        <f>B17+E17+G17</f>
        <v>-777556.47500160604</v>
      </c>
      <c r="I17" s="682"/>
      <c r="J17" s="638">
        <f t="shared" si="15"/>
        <v>-88595.01597632897</v>
      </c>
      <c r="K17" s="548">
        <f>AD17</f>
        <v>13329.012464627289</v>
      </c>
      <c r="L17" s="540">
        <v>14555.300344827587</v>
      </c>
      <c r="M17" s="649">
        <f t="shared" si="5"/>
        <v>-1226.2878802002979</v>
      </c>
      <c r="N17" s="618">
        <f t="shared" si="6"/>
        <v>4.1075833333333337E-3</v>
      </c>
      <c r="O17" s="328">
        <f t="shared" si="7"/>
        <v>-366.42995087005903</v>
      </c>
      <c r="P17" s="328">
        <f t="shared" si="8"/>
        <v>-90187.733807399331</v>
      </c>
      <c r="Q17" s="682"/>
      <c r="R17" s="638">
        <f t="shared" ref="R17:R40" si="18">X16</f>
        <v>0</v>
      </c>
      <c r="S17" s="540">
        <v>0</v>
      </c>
      <c r="T17" s="540">
        <v>0</v>
      </c>
      <c r="U17" s="649">
        <f t="shared" ref="U17:U40" si="19">+S17-T17</f>
        <v>0</v>
      </c>
      <c r="V17" s="618">
        <f t="shared" ref="V17:V40" si="20">N17</f>
        <v>4.1075833333333337E-3</v>
      </c>
      <c r="W17" s="328">
        <f t="shared" ref="W17:W40" si="21">(R17+U17/2)*V17</f>
        <v>0</v>
      </c>
      <c r="X17" s="328">
        <f t="shared" ref="X17:X40" si="22">R17+U17+W17</f>
        <v>0</v>
      </c>
      <c r="Y17" s="56"/>
      <c r="Z17" s="664">
        <f t="shared" si="13"/>
        <v>-867744.20880900533</v>
      </c>
      <c r="AB17" s="551">
        <f>'2. Summary of TD'!J17</f>
        <v>3212.8472339190876</v>
      </c>
      <c r="AC17" s="551">
        <f>'2. Summary of TD'!K17</f>
        <v>10116.165230708202</v>
      </c>
      <c r="AD17" s="551">
        <f t="shared" si="17"/>
        <v>13329.012464627289</v>
      </c>
      <c r="AE17" s="551">
        <f>+AD17-'2. Summary of TD'!L17</f>
        <v>0</v>
      </c>
    </row>
    <row r="18" spans="1:31" x14ac:dyDescent="0.25">
      <c r="A18" s="646">
        <f t="shared" ref="A18:A40" si="23">EOMONTH(A17,1)</f>
        <v>44985</v>
      </c>
      <c r="B18" s="629">
        <f t="shared" si="14"/>
        <v>-777556.47500160604</v>
      </c>
      <c r="C18" s="542">
        <v>60062.998369585781</v>
      </c>
      <c r="D18" s="542">
        <v>136269.56321839083</v>
      </c>
      <c r="E18" s="667">
        <f t="shared" ref="E18:E28" si="24">+C18-D18</f>
        <v>-76206.56484880505</v>
      </c>
      <c r="F18" s="620">
        <f>'7. Short Term Rates'!C5/12</f>
        <v>4.1909166666666666E-3</v>
      </c>
      <c r="G18" s="665">
        <f t="shared" ref="G18:G28" si="25">(B18+E18/2)*F18</f>
        <v>-3418.3620717259496</v>
      </c>
      <c r="H18" s="665">
        <f t="shared" ref="H18:H28" si="26">B18+E18+G18</f>
        <v>-857181.40192213713</v>
      </c>
      <c r="I18" s="682"/>
      <c r="J18" s="644">
        <f t="shared" si="15"/>
        <v>-90187.733807399331</v>
      </c>
      <c r="K18" s="650">
        <f>AD18</f>
        <v>12581.11131274159</v>
      </c>
      <c r="L18" s="542">
        <v>11923.586781609196</v>
      </c>
      <c r="M18" s="667">
        <f t="shared" si="5"/>
        <v>657.52453113239426</v>
      </c>
      <c r="N18" s="620">
        <f t="shared" si="6"/>
        <v>4.1909166666666666E-3</v>
      </c>
      <c r="O18" s="665">
        <f t="shared" si="7"/>
        <v>-376.59146148419416</v>
      </c>
      <c r="P18" s="665">
        <f t="shared" si="8"/>
        <v>-89906.800737751124</v>
      </c>
      <c r="Q18" s="682"/>
      <c r="R18" s="644">
        <f t="shared" si="18"/>
        <v>0</v>
      </c>
      <c r="S18" s="542">
        <v>0</v>
      </c>
      <c r="T18" s="542">
        <v>0</v>
      </c>
      <c r="U18" s="667">
        <f t="shared" si="19"/>
        <v>0</v>
      </c>
      <c r="V18" s="620">
        <f t="shared" si="20"/>
        <v>4.1909166666666666E-3</v>
      </c>
      <c r="W18" s="665">
        <f t="shared" si="21"/>
        <v>0</v>
      </c>
      <c r="X18" s="665">
        <f t="shared" si="22"/>
        <v>0</v>
      </c>
      <c r="Y18" s="56"/>
      <c r="Z18" s="664">
        <f t="shared" si="13"/>
        <v>-947088.20265988819</v>
      </c>
      <c r="AB18" s="551">
        <f>'2. Summary of TD'!J18</f>
        <v>2813.3148991802482</v>
      </c>
      <c r="AC18" s="551">
        <f>'2. Summary of TD'!K18</f>
        <v>9767.796413561342</v>
      </c>
      <c r="AD18" s="551">
        <f t="shared" si="17"/>
        <v>12581.11131274159</v>
      </c>
      <c r="AE18" s="551">
        <f>+AD18-'2. Summary of TD'!L18</f>
        <v>0</v>
      </c>
    </row>
    <row r="19" spans="1:31" x14ac:dyDescent="0.25">
      <c r="A19" s="646">
        <f t="shared" si="23"/>
        <v>45016</v>
      </c>
      <c r="B19" s="629">
        <f t="shared" si="14"/>
        <v>-857181.40192213713</v>
      </c>
      <c r="C19" s="542">
        <v>23174.121258016436</v>
      </c>
      <c r="D19" s="542">
        <v>109707.49425287401</v>
      </c>
      <c r="E19" s="667">
        <f t="shared" si="24"/>
        <v>-86533.372994857578</v>
      </c>
      <c r="F19" s="620">
        <f>'7. Short Term Rates'!C6/12</f>
        <v>4.3408333333333328E-3</v>
      </c>
      <c r="G19" s="665">
        <f t="shared" si="25"/>
        <v>-3908.6950771479319</v>
      </c>
      <c r="H19" s="665">
        <f t="shared" si="26"/>
        <v>-947623.46999414265</v>
      </c>
      <c r="I19" s="682"/>
      <c r="J19" s="644">
        <f t="shared" si="15"/>
        <v>-89906.800737751124</v>
      </c>
      <c r="K19" s="650">
        <f t="shared" ref="K19:K28" si="27">AD19</f>
        <v>10684.215889248091</v>
      </c>
      <c r="L19" s="542">
        <v>9599.4057471264405</v>
      </c>
      <c r="M19" s="667">
        <f t="shared" si="5"/>
        <v>1084.8101421216506</v>
      </c>
      <c r="N19" s="620">
        <f t="shared" si="6"/>
        <v>4.3408333333333328E-3</v>
      </c>
      <c r="O19" s="665">
        <f t="shared" si="7"/>
        <v>-387.91594752315808</v>
      </c>
      <c r="P19" s="665">
        <f t="shared" si="8"/>
        <v>-89209.906543152625</v>
      </c>
      <c r="Q19" s="682"/>
      <c r="R19" s="644">
        <f t="shared" si="18"/>
        <v>0</v>
      </c>
      <c r="S19" s="542">
        <v>0</v>
      </c>
      <c r="T19" s="542">
        <v>0</v>
      </c>
      <c r="U19" s="667">
        <f t="shared" si="19"/>
        <v>0</v>
      </c>
      <c r="V19" s="620">
        <f t="shared" si="20"/>
        <v>4.3408333333333328E-3</v>
      </c>
      <c r="W19" s="665">
        <f t="shared" si="21"/>
        <v>0</v>
      </c>
      <c r="X19" s="665">
        <f t="shared" si="22"/>
        <v>0</v>
      </c>
      <c r="Y19" s="56"/>
      <c r="Z19" s="664">
        <f t="shared" si="13"/>
        <v>-1036833.3765372953</v>
      </c>
      <c r="AB19" s="551">
        <f>'2. Summary of TD'!J19</f>
        <v>2957.834112497153</v>
      </c>
      <c r="AC19" s="551">
        <f>'2. Summary of TD'!K19</f>
        <v>7726.3817767509372</v>
      </c>
      <c r="AD19" s="551">
        <f t="shared" si="17"/>
        <v>10684.215889248091</v>
      </c>
      <c r="AE19" s="551">
        <f>+AD19-'2. Summary of TD'!L19</f>
        <v>0</v>
      </c>
    </row>
    <row r="20" spans="1:31" x14ac:dyDescent="0.25">
      <c r="A20" s="646">
        <f t="shared" si="23"/>
        <v>45046</v>
      </c>
      <c r="B20" s="629">
        <f t="shared" si="14"/>
        <v>-947623.46999414265</v>
      </c>
      <c r="C20" s="542">
        <v>47283.353704559449</v>
      </c>
      <c r="D20" s="542">
        <v>102591</v>
      </c>
      <c r="E20" s="667">
        <f t="shared" si="24"/>
        <v>-55307.646295440551</v>
      </c>
      <c r="F20" s="620">
        <f>'7. Short Term Rates'!C7/12</f>
        <v>4.4479999999999997E-3</v>
      </c>
      <c r="G20" s="665">
        <f t="shared" si="25"/>
        <v>-4338.0333998950064</v>
      </c>
      <c r="H20" s="665">
        <f t="shared" si="26"/>
        <v>-1007269.1496894781</v>
      </c>
      <c r="I20" s="682"/>
      <c r="J20" s="644">
        <f t="shared" si="15"/>
        <v>-89209.906543152625</v>
      </c>
      <c r="K20" s="650">
        <f t="shared" si="27"/>
        <v>7369.0431656550882</v>
      </c>
      <c r="L20" s="542">
        <v>8976.7275862069</v>
      </c>
      <c r="M20" s="667">
        <f t="shared" si="5"/>
        <v>-1607.6844205518119</v>
      </c>
      <c r="N20" s="620">
        <f t="shared" si="6"/>
        <v>4.4479999999999997E-3</v>
      </c>
      <c r="O20" s="665">
        <f t="shared" si="7"/>
        <v>-400.38115445525005</v>
      </c>
      <c r="P20" s="665">
        <f t="shared" si="8"/>
        <v>-91217.972118159683</v>
      </c>
      <c r="Q20" s="682"/>
      <c r="R20" s="644">
        <f t="shared" si="18"/>
        <v>0</v>
      </c>
      <c r="S20" s="542">
        <v>0</v>
      </c>
      <c r="T20" s="542">
        <v>0</v>
      </c>
      <c r="U20" s="667">
        <f t="shared" si="19"/>
        <v>0</v>
      </c>
      <c r="V20" s="620">
        <f t="shared" si="20"/>
        <v>4.4479999999999997E-3</v>
      </c>
      <c r="W20" s="665">
        <f t="shared" si="21"/>
        <v>0</v>
      </c>
      <c r="X20" s="665">
        <f t="shared" si="22"/>
        <v>0</v>
      </c>
      <c r="Y20" s="56"/>
      <c r="Z20" s="664">
        <f t="shared" si="13"/>
        <v>-1098487.1218076379</v>
      </c>
      <c r="AB20" s="551">
        <f>'2. Summary of TD'!J20</f>
        <v>2705.89045648608</v>
      </c>
      <c r="AC20" s="551">
        <f>'2. Summary of TD'!K20</f>
        <v>4663.1527091690086</v>
      </c>
      <c r="AD20" s="551">
        <f t="shared" si="17"/>
        <v>7369.0431656550882</v>
      </c>
      <c r="AE20" s="551">
        <f>+AD20-'2. Summary of TD'!L20</f>
        <v>0</v>
      </c>
    </row>
    <row r="21" spans="1:31" x14ac:dyDescent="0.25">
      <c r="A21" s="646">
        <f t="shared" si="23"/>
        <v>45077</v>
      </c>
      <c r="B21" s="629">
        <f t="shared" si="14"/>
        <v>-1007269.1496894781</v>
      </c>
      <c r="C21" s="542">
        <v>87396.870806078048</v>
      </c>
      <c r="D21" s="542">
        <v>74461.563218390802</v>
      </c>
      <c r="E21" s="667">
        <f t="shared" si="24"/>
        <v>12935.307587687246</v>
      </c>
      <c r="F21" s="620">
        <f>'7. Short Term Rates'!C8/12</f>
        <v>4.5473333333333329E-3</v>
      </c>
      <c r="G21" s="665">
        <f t="shared" si="25"/>
        <v>-4550.9780023360818</v>
      </c>
      <c r="H21" s="665">
        <f t="shared" si="26"/>
        <v>-998884.82010412693</v>
      </c>
      <c r="I21" s="682"/>
      <c r="J21" s="644">
        <f t="shared" si="15"/>
        <v>-91217.972118159683</v>
      </c>
      <c r="K21" s="650">
        <f t="shared" si="27"/>
        <v>8347.0421738095974</v>
      </c>
      <c r="L21" s="542">
        <v>6515.3867816091943</v>
      </c>
      <c r="M21" s="667">
        <f t="shared" si="5"/>
        <v>1831.6553922004032</v>
      </c>
      <c r="N21" s="620">
        <f t="shared" si="6"/>
        <v>4.5473333333333329E-3</v>
      </c>
      <c r="O21" s="665">
        <f t="shared" si="7"/>
        <v>-410.63395140191182</v>
      </c>
      <c r="P21" s="665">
        <f t="shared" si="8"/>
        <v>-89796.950677361179</v>
      </c>
      <c r="Q21" s="682"/>
      <c r="R21" s="644">
        <f t="shared" si="18"/>
        <v>0</v>
      </c>
      <c r="S21" s="542">
        <v>0</v>
      </c>
      <c r="T21" s="542">
        <v>0</v>
      </c>
      <c r="U21" s="667">
        <f t="shared" si="19"/>
        <v>0</v>
      </c>
      <c r="V21" s="620">
        <f t="shared" si="20"/>
        <v>4.5473333333333329E-3</v>
      </c>
      <c r="W21" s="665">
        <f t="shared" si="21"/>
        <v>0</v>
      </c>
      <c r="X21" s="665">
        <f t="shared" si="22"/>
        <v>0</v>
      </c>
      <c r="Y21" s="56"/>
      <c r="Z21" s="664">
        <f t="shared" si="13"/>
        <v>-1088681.7707814882</v>
      </c>
      <c r="AB21" s="551">
        <f>'2. Summary of TD'!J21</f>
        <v>2547.0360355578168</v>
      </c>
      <c r="AC21" s="551">
        <f>'2. Summary of TD'!K21</f>
        <v>5800.0061382517815</v>
      </c>
      <c r="AD21" s="551">
        <f t="shared" si="17"/>
        <v>8347.0421738095974</v>
      </c>
      <c r="AE21" s="551">
        <f>+AD21-'2. Summary of TD'!L21</f>
        <v>0</v>
      </c>
    </row>
    <row r="22" spans="1:31" x14ac:dyDescent="0.25">
      <c r="A22" s="646">
        <f t="shared" si="23"/>
        <v>45107</v>
      </c>
      <c r="B22" s="629">
        <f t="shared" si="14"/>
        <v>-998884.82010412693</v>
      </c>
      <c r="C22" s="542">
        <v>173086.24754632317</v>
      </c>
      <c r="D22" s="542">
        <v>99955</v>
      </c>
      <c r="E22" s="667">
        <f t="shared" si="24"/>
        <v>73131.247546323168</v>
      </c>
      <c r="F22" s="620">
        <f>'7. Short Term Rates'!C9/12</f>
        <v>4.6470833333333338E-3</v>
      </c>
      <c r="G22" s="665">
        <f t="shared" si="25"/>
        <v>-4471.9774986163575</v>
      </c>
      <c r="H22" s="665">
        <f t="shared" si="26"/>
        <v>-930225.55005642003</v>
      </c>
      <c r="I22" s="682"/>
      <c r="J22" s="644">
        <f t="shared" si="15"/>
        <v>-89796.950677361179</v>
      </c>
      <c r="K22" s="650">
        <f t="shared" si="27"/>
        <v>20613.788050254967</v>
      </c>
      <c r="L22" s="542">
        <v>8746.0124137931034</v>
      </c>
      <c r="M22" s="667">
        <f t="shared" si="5"/>
        <v>11867.775636461864</v>
      </c>
      <c r="N22" s="620">
        <f t="shared" si="6"/>
        <v>4.6470833333333338E-3</v>
      </c>
      <c r="O22" s="665">
        <f t="shared" si="7"/>
        <v>-389.71864169494989</v>
      </c>
      <c r="P22" s="665">
        <f t="shared" si="8"/>
        <v>-78318.893682594266</v>
      </c>
      <c r="Q22" s="682"/>
      <c r="R22" s="644">
        <f t="shared" si="18"/>
        <v>0</v>
      </c>
      <c r="S22" s="542">
        <v>0</v>
      </c>
      <c r="T22" s="542">
        <v>0</v>
      </c>
      <c r="U22" s="667">
        <f t="shared" si="19"/>
        <v>0</v>
      </c>
      <c r="V22" s="620">
        <f t="shared" si="20"/>
        <v>4.6470833333333338E-3</v>
      </c>
      <c r="W22" s="665">
        <f t="shared" si="21"/>
        <v>0</v>
      </c>
      <c r="X22" s="665">
        <f t="shared" si="22"/>
        <v>0</v>
      </c>
      <c r="Y22" s="56"/>
      <c r="Z22" s="664">
        <f t="shared" si="13"/>
        <v>-1008544.4437390143</v>
      </c>
      <c r="AB22" s="551">
        <f>'2. Summary of TD'!J22</f>
        <v>2462.203577969909</v>
      </c>
      <c r="AC22" s="551">
        <f>'2. Summary of TD'!K22</f>
        <v>18151.584472285056</v>
      </c>
      <c r="AD22" s="551">
        <f t="shared" si="17"/>
        <v>20613.788050254967</v>
      </c>
      <c r="AE22" s="551">
        <f>+AD22-'2. Summary of TD'!L22</f>
        <v>0</v>
      </c>
    </row>
    <row r="23" spans="1:31" x14ac:dyDescent="0.25">
      <c r="A23" s="646">
        <f t="shared" si="23"/>
        <v>45138</v>
      </c>
      <c r="B23" s="629">
        <f t="shared" si="14"/>
        <v>-930225.55005642003</v>
      </c>
      <c r="C23" s="542">
        <v>34267.218489764615</v>
      </c>
      <c r="D23" s="542">
        <v>99786</v>
      </c>
      <c r="E23" s="667">
        <f t="shared" si="24"/>
        <v>-65518.781510235385</v>
      </c>
      <c r="F23" s="620">
        <f>'7. Short Term Rates'!C10/12</f>
        <v>4.68425E-3</v>
      </c>
      <c r="G23" s="665">
        <f t="shared" si="25"/>
        <v>-4510.8622089964456</v>
      </c>
      <c r="H23" s="665">
        <f t="shared" si="26"/>
        <v>-1000255.1937756519</v>
      </c>
      <c r="I23" s="682"/>
      <c r="J23" s="644">
        <f t="shared" si="15"/>
        <v>-78318.893682594266</v>
      </c>
      <c r="K23" s="650">
        <f t="shared" si="27"/>
        <v>32144.444301017811</v>
      </c>
      <c r="L23" s="542">
        <v>15875.210784313729</v>
      </c>
      <c r="M23" s="667">
        <f t="shared" si="5"/>
        <v>16269.233516704082</v>
      </c>
      <c r="N23" s="620">
        <f t="shared" si="6"/>
        <v>4.68425E-3</v>
      </c>
      <c r="O23" s="665">
        <f t="shared" si="7"/>
        <v>-328.76069918238164</v>
      </c>
      <c r="P23" s="665">
        <f t="shared" si="8"/>
        <v>-62378.42086507257</v>
      </c>
      <c r="Q23" s="682"/>
      <c r="R23" s="644">
        <f t="shared" si="18"/>
        <v>0</v>
      </c>
      <c r="S23" s="542">
        <v>0</v>
      </c>
      <c r="T23" s="542">
        <v>0</v>
      </c>
      <c r="U23" s="667">
        <f t="shared" si="19"/>
        <v>0</v>
      </c>
      <c r="V23" s="620">
        <f t="shared" si="20"/>
        <v>4.68425E-3</v>
      </c>
      <c r="W23" s="665">
        <f t="shared" si="21"/>
        <v>0</v>
      </c>
      <c r="X23" s="665">
        <f t="shared" si="22"/>
        <v>0</v>
      </c>
      <c r="Y23" s="56"/>
      <c r="Z23" s="664">
        <f t="shared" si="13"/>
        <v>-1062633.6146407244</v>
      </c>
      <c r="AB23" s="551">
        <f>'2. Summary of TD'!J23</f>
        <v>2861.9606784141552</v>
      </c>
      <c r="AC23" s="551">
        <f>'2. Summary of TD'!K23</f>
        <v>29282.483622603657</v>
      </c>
      <c r="AD23" s="551">
        <f t="shared" si="17"/>
        <v>32144.444301017811</v>
      </c>
      <c r="AE23" s="551">
        <f>+AD23-'2. Summary of TD'!L23</f>
        <v>0</v>
      </c>
    </row>
    <row r="24" spans="1:31" x14ac:dyDescent="0.25">
      <c r="A24" s="646">
        <f t="shared" si="23"/>
        <v>45169</v>
      </c>
      <c r="B24" s="629">
        <f t="shared" si="14"/>
        <v>-1000255.1937756519</v>
      </c>
      <c r="C24" s="542">
        <v>51601.61403609626</v>
      </c>
      <c r="D24" s="542">
        <v>77192.098823529392</v>
      </c>
      <c r="E24" s="667">
        <f t="shared" si="24"/>
        <v>-25590.484787433132</v>
      </c>
      <c r="F24" s="620">
        <f>'7. Short Term Rates'!C11/12</f>
        <v>4.8268333333333331E-3</v>
      </c>
      <c r="G24" s="665">
        <f t="shared" si="25"/>
        <v>-4889.8256136501795</v>
      </c>
      <c r="H24" s="665">
        <f t="shared" si="26"/>
        <v>-1030735.5041767352</v>
      </c>
      <c r="I24" s="682"/>
      <c r="J24" s="644">
        <f t="shared" si="15"/>
        <v>-62378.42086507257</v>
      </c>
      <c r="K24" s="650">
        <f t="shared" si="27"/>
        <v>31546.15441274043</v>
      </c>
      <c r="L24" s="542">
        <v>12280.561176470586</v>
      </c>
      <c r="M24" s="667">
        <f t="shared" si="5"/>
        <v>19265.593236269844</v>
      </c>
      <c r="N24" s="620">
        <f t="shared" si="6"/>
        <v>4.8268333333333331E-3</v>
      </c>
      <c r="O24" s="665">
        <f t="shared" si="7"/>
        <v>-254.59433730259352</v>
      </c>
      <c r="P24" s="665">
        <f t="shared" si="8"/>
        <v>-43367.421966105321</v>
      </c>
      <c r="Q24" s="682"/>
      <c r="R24" s="644">
        <f t="shared" si="18"/>
        <v>0</v>
      </c>
      <c r="S24" s="542">
        <v>0</v>
      </c>
      <c r="T24" s="542">
        <v>0</v>
      </c>
      <c r="U24" s="667">
        <f t="shared" si="19"/>
        <v>0</v>
      </c>
      <c r="V24" s="620">
        <f t="shared" si="20"/>
        <v>4.8268333333333331E-3</v>
      </c>
      <c r="W24" s="665">
        <f t="shared" si="21"/>
        <v>0</v>
      </c>
      <c r="X24" s="665">
        <f t="shared" si="22"/>
        <v>0</v>
      </c>
      <c r="Y24" s="56"/>
      <c r="Z24" s="664">
        <f t="shared" si="13"/>
        <v>-1074102.9261428404</v>
      </c>
      <c r="AB24" s="551">
        <f>'2. Summary of TD'!J24</f>
        <v>3153.7374557108715</v>
      </c>
      <c r="AC24" s="551">
        <f>'2. Summary of TD'!K24</f>
        <v>28392.41695702956</v>
      </c>
      <c r="AD24" s="551">
        <f t="shared" si="17"/>
        <v>31546.15441274043</v>
      </c>
      <c r="AE24" s="551">
        <f>+AD24-'2. Summary of TD'!L24</f>
        <v>0</v>
      </c>
    </row>
    <row r="25" spans="1:31" x14ac:dyDescent="0.25">
      <c r="A25" s="646">
        <f t="shared" si="23"/>
        <v>45199</v>
      </c>
      <c r="B25" s="629">
        <f t="shared" si="14"/>
        <v>-1030735.5041767352</v>
      </c>
      <c r="C25" s="542">
        <v>84477.168323570819</v>
      </c>
      <c r="D25" s="542">
        <v>77342.20784313725</v>
      </c>
      <c r="E25" s="667">
        <f t="shared" si="24"/>
        <v>7134.9604804335686</v>
      </c>
      <c r="F25" s="620">
        <f>'7. Short Term Rates'!C12/12</f>
        <v>4.9008333333333334E-3</v>
      </c>
      <c r="G25" s="665">
        <f t="shared" si="25"/>
        <v>-5033.9792906422208</v>
      </c>
      <c r="H25" s="665">
        <f t="shared" si="26"/>
        <v>-1028634.5229869438</v>
      </c>
      <c r="I25" s="682"/>
      <c r="J25" s="644">
        <f t="shared" si="15"/>
        <v>-43367.421966105321</v>
      </c>
      <c r="K25" s="650">
        <f t="shared" si="27"/>
        <v>18746.823719282507</v>
      </c>
      <c r="L25" s="542">
        <v>12304.442156862746</v>
      </c>
      <c r="M25" s="667">
        <f t="shared" si="5"/>
        <v>6442.3815624197614</v>
      </c>
      <c r="N25" s="620">
        <f t="shared" si="6"/>
        <v>4.9008333333333334E-3</v>
      </c>
      <c r="O25" s="665">
        <f t="shared" si="7"/>
        <v>-196.74998799864176</v>
      </c>
      <c r="P25" s="665">
        <f t="shared" si="8"/>
        <v>-37121.790391684204</v>
      </c>
      <c r="Q25" s="682"/>
      <c r="R25" s="644">
        <f t="shared" si="18"/>
        <v>0</v>
      </c>
      <c r="S25" s="542">
        <v>0</v>
      </c>
      <c r="T25" s="542">
        <v>0</v>
      </c>
      <c r="U25" s="667">
        <f t="shared" si="19"/>
        <v>0</v>
      </c>
      <c r="V25" s="620">
        <f t="shared" si="20"/>
        <v>4.9008333333333334E-3</v>
      </c>
      <c r="W25" s="665">
        <f t="shared" si="21"/>
        <v>0</v>
      </c>
      <c r="X25" s="665">
        <f t="shared" si="22"/>
        <v>0</v>
      </c>
      <c r="Y25" s="56"/>
      <c r="Z25" s="664">
        <f t="shared" si="13"/>
        <v>-1065756.3133786281</v>
      </c>
      <c r="AB25" s="551">
        <f>'2. Summary of TD'!J25</f>
        <v>3311.2466911235697</v>
      </c>
      <c r="AC25" s="551">
        <f>'2. Summary of TD'!K25</f>
        <v>15435.577028158938</v>
      </c>
      <c r="AD25" s="551">
        <f t="shared" si="17"/>
        <v>18746.823719282507</v>
      </c>
      <c r="AE25" s="551">
        <f>+AD25-'2. Summary of TD'!L25</f>
        <v>0</v>
      </c>
    </row>
    <row r="26" spans="1:31" x14ac:dyDescent="0.25">
      <c r="A26" s="646">
        <f t="shared" si="23"/>
        <v>45230</v>
      </c>
      <c r="B26" s="629">
        <f t="shared" si="14"/>
        <v>-1028634.5229869438</v>
      </c>
      <c r="C26" s="542">
        <v>81613.003959848924</v>
      </c>
      <c r="D26" s="542">
        <v>49763.801568627438</v>
      </c>
      <c r="E26" s="667">
        <f t="shared" si="24"/>
        <v>31849.202391221486</v>
      </c>
      <c r="F26" s="620">
        <f>'7. Short Term Rates'!C13/12</f>
        <v>5.0680000000000005E-3</v>
      </c>
      <c r="G26" s="665">
        <f t="shared" si="25"/>
        <v>-5132.4138836384764</v>
      </c>
      <c r="H26" s="665">
        <f t="shared" si="26"/>
        <v>-1001917.7344793607</v>
      </c>
      <c r="I26" s="682"/>
      <c r="J26" s="644">
        <f t="shared" si="15"/>
        <v>-37121.790391684204</v>
      </c>
      <c r="K26" s="650">
        <f t="shared" si="27"/>
        <v>11850.225827027085</v>
      </c>
      <c r="L26" s="542">
        <v>7916.9684313725484</v>
      </c>
      <c r="M26" s="667">
        <f t="shared" si="5"/>
        <v>3933.2573956545366</v>
      </c>
      <c r="N26" s="620">
        <f t="shared" si="6"/>
        <v>5.0680000000000005E-3</v>
      </c>
      <c r="O26" s="665">
        <f t="shared" si="7"/>
        <v>-178.16635946446695</v>
      </c>
      <c r="P26" s="665">
        <f t="shared" si="8"/>
        <v>-33366.699355494129</v>
      </c>
      <c r="Q26" s="682"/>
      <c r="R26" s="644">
        <f t="shared" si="18"/>
        <v>0</v>
      </c>
      <c r="S26" s="542">
        <v>0</v>
      </c>
      <c r="T26" s="542">
        <v>0</v>
      </c>
      <c r="U26" s="667">
        <f t="shared" si="19"/>
        <v>0</v>
      </c>
      <c r="V26" s="620">
        <f t="shared" si="20"/>
        <v>5.0680000000000005E-3</v>
      </c>
      <c r="W26" s="665">
        <f t="shared" si="21"/>
        <v>0</v>
      </c>
      <c r="X26" s="665">
        <f t="shared" si="22"/>
        <v>0</v>
      </c>
      <c r="Y26" s="56"/>
      <c r="Z26" s="664">
        <f t="shared" si="13"/>
        <v>-1035284.4338348549</v>
      </c>
      <c r="AB26" s="551">
        <f>'2. Summary of TD'!J26</f>
        <v>3441.5540216780155</v>
      </c>
      <c r="AC26" s="551">
        <f>'2. Summary of TD'!K26</f>
        <v>8408.6718053490695</v>
      </c>
      <c r="AD26" s="551">
        <f t="shared" si="17"/>
        <v>11850.225827027085</v>
      </c>
      <c r="AE26" s="551">
        <f>+AD26-'2. Summary of TD'!L26</f>
        <v>0</v>
      </c>
    </row>
    <row r="27" spans="1:31" x14ac:dyDescent="0.25">
      <c r="A27" s="646">
        <f t="shared" si="23"/>
        <v>45260</v>
      </c>
      <c r="B27" s="629">
        <f t="shared" si="14"/>
        <v>-1001917.7344793607</v>
      </c>
      <c r="C27" s="542">
        <v>77167.853252581001</v>
      </c>
      <c r="D27" s="542">
        <v>46048</v>
      </c>
      <c r="E27" s="667">
        <f t="shared" si="24"/>
        <v>31119.853252581001</v>
      </c>
      <c r="F27" s="620">
        <f>'7. Short Term Rates'!C14/12</f>
        <v>5.1228333333333334E-3</v>
      </c>
      <c r="G27" s="665">
        <f t="shared" si="25"/>
        <v>-5052.9466566633037</v>
      </c>
      <c r="H27" s="665">
        <f t="shared" si="26"/>
        <v>-975850.8278834431</v>
      </c>
      <c r="I27" s="682"/>
      <c r="J27" s="644">
        <f t="shared" si="15"/>
        <v>-33366.699355494129</v>
      </c>
      <c r="K27" s="650">
        <f t="shared" si="27"/>
        <v>16407.860884723767</v>
      </c>
      <c r="L27" s="542">
        <v>7325.968039215687</v>
      </c>
      <c r="M27" s="667">
        <f t="shared" si="5"/>
        <v>9081.8928455080786</v>
      </c>
      <c r="N27" s="620">
        <f t="shared" si="6"/>
        <v>5.1228333333333334E-3</v>
      </c>
      <c r="O27" s="665">
        <f t="shared" si="7"/>
        <v>-147.66952798227203</v>
      </c>
      <c r="P27" s="665">
        <f t="shared" si="8"/>
        <v>-24432.476037968321</v>
      </c>
      <c r="Q27" s="682"/>
      <c r="R27" s="644">
        <f t="shared" si="18"/>
        <v>0</v>
      </c>
      <c r="S27" s="542">
        <v>0</v>
      </c>
      <c r="T27" s="542">
        <v>0</v>
      </c>
      <c r="U27" s="667">
        <f t="shared" si="19"/>
        <v>0</v>
      </c>
      <c r="V27" s="620">
        <f t="shared" si="20"/>
        <v>5.1228333333333334E-3</v>
      </c>
      <c r="W27" s="665">
        <f t="shared" si="21"/>
        <v>0</v>
      </c>
      <c r="X27" s="665">
        <f t="shared" si="22"/>
        <v>0</v>
      </c>
      <c r="Y27" s="56"/>
      <c r="Z27" s="664">
        <f t="shared" si="13"/>
        <v>-1000283.3039214114</v>
      </c>
      <c r="AB27" s="551">
        <f>'2. Summary of TD'!J27</f>
        <v>3283.2019385047029</v>
      </c>
      <c r="AC27" s="551">
        <f>'2. Summary of TD'!K27</f>
        <v>13124.658946219064</v>
      </c>
      <c r="AD27" s="551">
        <f t="shared" si="17"/>
        <v>16407.860884723767</v>
      </c>
      <c r="AE27" s="551">
        <f>+AD27-'2. Summary of TD'!L27</f>
        <v>0</v>
      </c>
    </row>
    <row r="28" spans="1:31" x14ac:dyDescent="0.25">
      <c r="A28" s="646">
        <f t="shared" si="23"/>
        <v>45291</v>
      </c>
      <c r="B28" s="629">
        <f t="shared" si="14"/>
        <v>-975850.8278834431</v>
      </c>
      <c r="C28" s="542">
        <v>157779.32785698038</v>
      </c>
      <c r="D28" s="542">
        <v>58442</v>
      </c>
      <c r="E28" s="667">
        <f t="shared" si="24"/>
        <v>99337.327856980381</v>
      </c>
      <c r="F28" s="620">
        <f>'7. Short Term Rates'!C15/12</f>
        <v>5.2255000000000001E-3</v>
      </c>
      <c r="G28" s="665">
        <f t="shared" si="25"/>
        <v>-4839.7648977466069</v>
      </c>
      <c r="H28" s="665">
        <f t="shared" si="26"/>
        <v>-881353.26492420933</v>
      </c>
      <c r="I28" s="682"/>
      <c r="J28" s="644">
        <f t="shared" si="15"/>
        <v>-24432.476037968321</v>
      </c>
      <c r="K28" s="650">
        <f t="shared" si="27"/>
        <v>28831.383623414575</v>
      </c>
      <c r="L28" s="542">
        <v>9297.8241176470583</v>
      </c>
      <c r="M28" s="667">
        <f t="shared" si="5"/>
        <v>19533.559505767516</v>
      </c>
      <c r="N28" s="620">
        <f t="shared" si="6"/>
        <v>5.2255000000000001E-3</v>
      </c>
      <c r="O28" s="665">
        <f t="shared" si="7"/>
        <v>-76.635595937709382</v>
      </c>
      <c r="P28" s="665">
        <f t="shared" si="8"/>
        <v>-4975.5521281385145</v>
      </c>
      <c r="Q28" s="682"/>
      <c r="R28" s="643">
        <f t="shared" si="18"/>
        <v>0</v>
      </c>
      <c r="S28" s="541">
        <v>0</v>
      </c>
      <c r="T28" s="541">
        <v>0</v>
      </c>
      <c r="U28" s="668">
        <f t="shared" si="19"/>
        <v>0</v>
      </c>
      <c r="V28" s="630">
        <f t="shared" si="20"/>
        <v>5.2255000000000001E-3</v>
      </c>
      <c r="W28" s="337">
        <f t="shared" si="21"/>
        <v>0</v>
      </c>
      <c r="X28" s="337">
        <f t="shared" si="22"/>
        <v>0</v>
      </c>
      <c r="Y28" s="56"/>
      <c r="Z28" s="664">
        <f t="shared" si="13"/>
        <v>-886328.81705234782</v>
      </c>
      <c r="AB28" s="551">
        <f>'2. Summary of TD'!J28</f>
        <v>3594.0103917416059</v>
      </c>
      <c r="AC28" s="551">
        <f>'2. Summary of TD'!K28</f>
        <v>25237.373231672969</v>
      </c>
      <c r="AD28" s="551">
        <f t="shared" si="17"/>
        <v>28831.383623414575</v>
      </c>
      <c r="AE28" s="551">
        <f>+AD28-'2. Summary of TD'!L28</f>
        <v>0</v>
      </c>
    </row>
    <row r="29" spans="1:31" x14ac:dyDescent="0.25">
      <c r="A29" s="646">
        <v>45292</v>
      </c>
      <c r="B29" s="640">
        <f t="shared" si="14"/>
        <v>-881353.26492420933</v>
      </c>
      <c r="C29" s="545">
        <f>'4. 2024 Program Costs'!D5</f>
        <v>6402.1178521753136</v>
      </c>
      <c r="D29" s="545">
        <f t="array" ref="D29:D40">TRANSPOSE('5. 2024 Program Collections'!D5:O5)</f>
        <v>85607.892549019612</v>
      </c>
      <c r="E29" s="670">
        <f t="shared" ref="E29:E40" si="28">+C29-D29</f>
        <v>-79205.774696844295</v>
      </c>
      <c r="F29" s="647">
        <f>'7. Short Term Rates'!D4/12</f>
        <v>4.8333333333333336E-3</v>
      </c>
      <c r="G29" s="633">
        <f t="shared" ref="G29:G40" si="29">(B29+E29/2)*F29</f>
        <v>-4451.2880693177194</v>
      </c>
      <c r="H29" s="633">
        <f t="shared" ref="H29:H40" si="30">B29+E29+G29</f>
        <v>-965010.32769037131</v>
      </c>
      <c r="I29" s="686"/>
      <c r="J29" s="545">
        <f t="shared" si="15"/>
        <v>-4975.5521281385145</v>
      </c>
      <c r="K29" s="545">
        <f>AD29</f>
        <v>30482.389820535551</v>
      </c>
      <c r="L29" s="545">
        <f t="array" ref="L29:L40">TRANSPOSE('5. 2024 Program Collections'!D9:O9)</f>
        <v>13619.437450980391</v>
      </c>
      <c r="M29" s="670">
        <f t="shared" si="5"/>
        <v>16862.952369555162</v>
      </c>
      <c r="N29" s="676">
        <f t="shared" si="6"/>
        <v>4.8333333333333336E-3</v>
      </c>
      <c r="O29" s="670">
        <f t="shared" si="7"/>
        <v>16.703632940422153</v>
      </c>
      <c r="P29" s="670">
        <f t="shared" si="8"/>
        <v>11904.103874357068</v>
      </c>
      <c r="Q29" s="683"/>
      <c r="R29" s="543">
        <f t="shared" si="18"/>
        <v>0</v>
      </c>
      <c r="S29" s="621">
        <f>108429/12</f>
        <v>9035.75</v>
      </c>
      <c r="T29" s="543">
        <f t="array" ref="T29:T40">TRANSPOSE('5. 2024 Program Collections'!D13:O13)</f>
        <v>0</v>
      </c>
      <c r="U29" s="672">
        <f t="shared" si="19"/>
        <v>9035.75</v>
      </c>
      <c r="V29" s="677">
        <f t="shared" si="20"/>
        <v>4.8333333333333336E-3</v>
      </c>
      <c r="W29" s="672">
        <f t="shared" si="21"/>
        <v>21.836395833333334</v>
      </c>
      <c r="X29" s="672">
        <f t="shared" si="22"/>
        <v>9057.5863958333339</v>
      </c>
      <c r="Y29" s="476"/>
      <c r="Z29" s="664">
        <f t="shared" si="13"/>
        <v>-944048.63742018095</v>
      </c>
      <c r="AA29" s="641"/>
      <c r="AB29" s="551">
        <f>'2. Summary of TD'!J29</f>
        <v>3698.9295249532015</v>
      </c>
      <c r="AC29" s="551">
        <f>'2. Summary of TD'!K29</f>
        <v>26783.46029558235</v>
      </c>
      <c r="AD29" s="551">
        <f t="shared" ref="AD29:AD40" si="31">SUM(AB29:AC29)</f>
        <v>30482.389820535551</v>
      </c>
      <c r="AE29" s="551">
        <f>+AD29-'2. Summary of TD'!L29</f>
        <v>0</v>
      </c>
    </row>
    <row r="30" spans="1:31" x14ac:dyDescent="0.25">
      <c r="A30" s="646">
        <f t="shared" si="23"/>
        <v>45351</v>
      </c>
      <c r="B30" s="631">
        <f t="shared" si="14"/>
        <v>-965010.32769037131</v>
      </c>
      <c r="C30" s="543">
        <f>'4. 2024 Program Costs'!D6</f>
        <v>22161.517926329587</v>
      </c>
      <c r="D30" s="543">
        <v>97773.167843137242</v>
      </c>
      <c r="E30" s="672">
        <f t="shared" si="28"/>
        <v>-75611.649916807655</v>
      </c>
      <c r="F30" s="623">
        <f>'7. Short Term Rates'!D5/12</f>
        <v>4.6166666666666665E-3</v>
      </c>
      <c r="G30" s="664">
        <f t="shared" si="29"/>
        <v>-4629.6679047285115</v>
      </c>
      <c r="H30" s="664">
        <f t="shared" si="30"/>
        <v>-1045251.6455119075</v>
      </c>
      <c r="I30" s="686"/>
      <c r="J30" s="543">
        <f t="shared" si="15"/>
        <v>11904.103874357068</v>
      </c>
      <c r="K30" s="543">
        <f>AD30</f>
        <v>25634.383645818903</v>
      </c>
      <c r="L30" s="543">
        <v>15554.822156862741</v>
      </c>
      <c r="M30" s="672">
        <f t="shared" si="5"/>
        <v>10079.561488956162</v>
      </c>
      <c r="N30" s="677">
        <f t="shared" si="6"/>
        <v>4.6166666666666665E-3</v>
      </c>
      <c r="O30" s="672">
        <f t="shared" si="7"/>
        <v>78.224267323622271</v>
      </c>
      <c r="P30" s="672">
        <f t="shared" si="8"/>
        <v>22061.889630636852</v>
      </c>
      <c r="Q30" s="683"/>
      <c r="R30" s="543">
        <f t="shared" si="18"/>
        <v>9057.5863958333339</v>
      </c>
      <c r="S30" s="621">
        <f t="shared" ref="S30:S40" si="32">108429/12</f>
        <v>9035.75</v>
      </c>
      <c r="T30" s="543">
        <v>0</v>
      </c>
      <c r="U30" s="672">
        <f t="shared" si="19"/>
        <v>9035.75</v>
      </c>
      <c r="V30" s="677">
        <f t="shared" si="20"/>
        <v>4.6166666666666665E-3</v>
      </c>
      <c r="W30" s="672">
        <f t="shared" si="21"/>
        <v>62.673380110763887</v>
      </c>
      <c r="X30" s="672">
        <f t="shared" si="22"/>
        <v>18156.009775944098</v>
      </c>
      <c r="Y30" s="476"/>
      <c r="Z30" s="664">
        <f t="shared" si="13"/>
        <v>-1005033.7461053266</v>
      </c>
      <c r="AA30" s="641"/>
      <c r="AB30" s="551">
        <f>'2. Summary of TD'!J30</f>
        <v>3233.1543764344069</v>
      </c>
      <c r="AC30" s="551">
        <f>'2. Summary of TD'!K30</f>
        <v>22401.229269384497</v>
      </c>
      <c r="AD30" s="551">
        <f t="shared" si="31"/>
        <v>25634.383645818903</v>
      </c>
      <c r="AE30" s="551">
        <f>+AD30-'2. Summary of TD'!L30</f>
        <v>0</v>
      </c>
    </row>
    <row r="31" spans="1:31" x14ac:dyDescent="0.25">
      <c r="A31" s="646">
        <f t="shared" si="23"/>
        <v>45382</v>
      </c>
      <c r="B31" s="631">
        <f t="shared" si="14"/>
        <v>-1045251.6455119075</v>
      </c>
      <c r="C31" s="543">
        <f>'4. 2024 Program Costs'!D7</f>
        <v>34840.753685633623</v>
      </c>
      <c r="D31" s="543">
        <v>53556.920784313719</v>
      </c>
      <c r="E31" s="672">
        <f t="shared" si="28"/>
        <v>-18716.167098680096</v>
      </c>
      <c r="F31" s="623">
        <f>'7. Short Term Rates'!D6/12</f>
        <v>4.6333333333333331E-3</v>
      </c>
      <c r="G31" s="664">
        <f t="shared" si="29"/>
        <v>-4886.3584113171137</v>
      </c>
      <c r="H31" s="664">
        <f t="shared" si="30"/>
        <v>-1068854.1710219048</v>
      </c>
      <c r="I31" s="686"/>
      <c r="J31" s="543">
        <f t="shared" si="15"/>
        <v>22061.889630636852</v>
      </c>
      <c r="K31" s="543">
        <f t="shared" ref="K31:K40" si="33">AD31</f>
        <v>20918.324792295127</v>
      </c>
      <c r="L31" s="543">
        <v>8520.4192156862719</v>
      </c>
      <c r="M31" s="672">
        <f t="shared" si="5"/>
        <v>12397.905576608855</v>
      </c>
      <c r="N31" s="677">
        <f t="shared" si="6"/>
        <v>4.6333333333333331E-3</v>
      </c>
      <c r="O31" s="672">
        <f t="shared" si="7"/>
        <v>130.94190320776124</v>
      </c>
      <c r="P31" s="672">
        <f t="shared" si="8"/>
        <v>34590.737110453469</v>
      </c>
      <c r="Q31" s="683"/>
      <c r="R31" s="543">
        <f t="shared" si="18"/>
        <v>18156.009775944098</v>
      </c>
      <c r="S31" s="621">
        <f t="shared" si="32"/>
        <v>9035.75</v>
      </c>
      <c r="T31" s="543">
        <v>0</v>
      </c>
      <c r="U31" s="672">
        <f t="shared" si="19"/>
        <v>9035.75</v>
      </c>
      <c r="V31" s="677">
        <f t="shared" si="20"/>
        <v>4.6333333333333331E-3</v>
      </c>
      <c r="W31" s="672">
        <f t="shared" si="21"/>
        <v>105.05566612854098</v>
      </c>
      <c r="X31" s="672">
        <f t="shared" si="22"/>
        <v>27296.815442072639</v>
      </c>
      <c r="Y31" s="476"/>
      <c r="Z31" s="664">
        <f t="shared" si="13"/>
        <v>-1006966.6184693787</v>
      </c>
      <c r="AA31" s="641"/>
      <c r="AB31" s="551">
        <f>'2. Summary of TD'!J31</f>
        <v>3395.3951824250207</v>
      </c>
      <c r="AC31" s="551">
        <f>'2. Summary of TD'!K31</f>
        <v>17522.929609870105</v>
      </c>
      <c r="AD31" s="551">
        <f t="shared" si="31"/>
        <v>20918.324792295127</v>
      </c>
      <c r="AE31" s="551">
        <f>+AD31-'2. Summary of TD'!L31</f>
        <v>0</v>
      </c>
    </row>
    <row r="32" spans="1:31" x14ac:dyDescent="0.25">
      <c r="A32" s="646">
        <f t="shared" si="23"/>
        <v>45412</v>
      </c>
      <c r="B32" s="631">
        <f t="shared" si="14"/>
        <v>-1068854.1710219048</v>
      </c>
      <c r="C32" s="543">
        <f>'4. 2024 Program Costs'!D8</f>
        <v>37480.464680761164</v>
      </c>
      <c r="D32" s="543">
        <v>46434.977254901954</v>
      </c>
      <c r="E32" s="672">
        <f t="shared" si="28"/>
        <v>-8954.5125741407901</v>
      </c>
      <c r="F32" s="623">
        <f>'7. Short Term Rates'!D7/12</f>
        <v>4.6583333333333329E-3</v>
      </c>
      <c r="G32" s="664">
        <f t="shared" si="29"/>
        <v>-4999.9355655476429</v>
      </c>
      <c r="H32" s="664">
        <f t="shared" si="30"/>
        <v>-1082808.619161593</v>
      </c>
      <c r="I32" s="686"/>
      <c r="J32" s="543">
        <f t="shared" si="15"/>
        <v>34590.737110453469</v>
      </c>
      <c r="K32" s="543">
        <f t="shared" si="33"/>
        <v>12898.984348613134</v>
      </c>
      <c r="L32" s="543">
        <v>7387.382745098038</v>
      </c>
      <c r="M32" s="672">
        <f t="shared" si="5"/>
        <v>5511.601603515096</v>
      </c>
      <c r="N32" s="677">
        <f t="shared" si="6"/>
        <v>4.6583333333333329E-3</v>
      </c>
      <c r="O32" s="672">
        <f t="shared" si="7"/>
        <v>173.97262244104965</v>
      </c>
      <c r="P32" s="672">
        <f t="shared" si="8"/>
        <v>40276.311336409613</v>
      </c>
      <c r="Q32" s="683"/>
      <c r="R32" s="543">
        <f t="shared" si="18"/>
        <v>27296.815442072639</v>
      </c>
      <c r="S32" s="621">
        <f t="shared" si="32"/>
        <v>9035.75</v>
      </c>
      <c r="T32" s="543">
        <v>0</v>
      </c>
      <c r="U32" s="672">
        <f t="shared" si="19"/>
        <v>9035.75</v>
      </c>
      <c r="V32" s="677">
        <f t="shared" si="20"/>
        <v>4.6583333333333329E-3</v>
      </c>
      <c r="W32" s="672">
        <f t="shared" si="21"/>
        <v>148.20343297598836</v>
      </c>
      <c r="X32" s="672">
        <f t="shared" si="22"/>
        <v>36480.768875048627</v>
      </c>
      <c r="Y32" s="476"/>
      <c r="Z32" s="664">
        <f t="shared" si="13"/>
        <v>-1006051.5389501348</v>
      </c>
      <c r="AA32" s="641"/>
      <c r="AB32" s="551">
        <f>'2. Summary of TD'!J32</f>
        <v>3120.558721567038</v>
      </c>
      <c r="AC32" s="551">
        <f>'2. Summary of TD'!K32</f>
        <v>9778.4256270460955</v>
      </c>
      <c r="AD32" s="551">
        <f t="shared" si="31"/>
        <v>12898.984348613134</v>
      </c>
      <c r="AE32" s="551">
        <f>+AD32-'2. Summary of TD'!L32</f>
        <v>0</v>
      </c>
    </row>
    <row r="33" spans="1:31" x14ac:dyDescent="0.25">
      <c r="A33" s="646">
        <f t="shared" si="23"/>
        <v>45443</v>
      </c>
      <c r="B33" s="631">
        <f t="shared" si="14"/>
        <v>-1082808.619161593</v>
      </c>
      <c r="C33" s="543">
        <f>'4. 2024 Program Costs'!D9</f>
        <v>157681.38347867227</v>
      </c>
      <c r="D33" s="543">
        <v>45074.980392156867</v>
      </c>
      <c r="E33" s="672">
        <f t="shared" si="28"/>
        <v>112606.40308651541</v>
      </c>
      <c r="F33" s="623">
        <f>'7. Short Term Rates'!D8/12</f>
        <v>4.6166666666666665E-3</v>
      </c>
      <c r="G33" s="664">
        <f t="shared" si="29"/>
        <v>-4739.0333446713148</v>
      </c>
      <c r="H33" s="664">
        <f t="shared" si="30"/>
        <v>-974941.24941974902</v>
      </c>
      <c r="I33" s="686"/>
      <c r="J33" s="543">
        <f t="shared" si="15"/>
        <v>40276.311336409613</v>
      </c>
      <c r="K33" s="543">
        <f t="shared" si="33"/>
        <v>14511.750304649373</v>
      </c>
      <c r="L33" s="543">
        <v>7171.0196078431363</v>
      </c>
      <c r="M33" s="672">
        <f t="shared" si="5"/>
        <v>7340.7306968062367</v>
      </c>
      <c r="N33" s="677">
        <f t="shared" si="6"/>
        <v>4.6166666666666665E-3</v>
      </c>
      <c r="O33" s="672">
        <f t="shared" si="7"/>
        <v>202.88715736155208</v>
      </c>
      <c r="P33" s="672">
        <f t="shared" si="8"/>
        <v>47819.929190577408</v>
      </c>
      <c r="Q33" s="683"/>
      <c r="R33" s="543">
        <f t="shared" si="18"/>
        <v>36480.768875048627</v>
      </c>
      <c r="S33" s="621">
        <f t="shared" si="32"/>
        <v>9035.75</v>
      </c>
      <c r="T33" s="543">
        <v>0</v>
      </c>
      <c r="U33" s="672">
        <f t="shared" si="19"/>
        <v>9035.75</v>
      </c>
      <c r="V33" s="677">
        <f t="shared" si="20"/>
        <v>4.6166666666666665E-3</v>
      </c>
      <c r="W33" s="672">
        <f t="shared" si="21"/>
        <v>189.27707255647448</v>
      </c>
      <c r="X33" s="672">
        <f t="shared" si="22"/>
        <v>45705.795947605104</v>
      </c>
      <c r="Y33" s="476"/>
      <c r="Z33" s="664">
        <f t="shared" si="13"/>
        <v>-881415.5242815665</v>
      </c>
      <c r="AA33" s="641"/>
      <c r="AB33" s="551">
        <f>'2. Summary of TD'!J33</f>
        <v>2951.487565016113</v>
      </c>
      <c r="AC33" s="551">
        <f>'2. Summary of TD'!K33</f>
        <v>11560.262739633259</v>
      </c>
      <c r="AD33" s="551">
        <f t="shared" si="31"/>
        <v>14511.750304649373</v>
      </c>
      <c r="AE33" s="551">
        <f>+AD33-'2. Summary of TD'!L33</f>
        <v>0</v>
      </c>
    </row>
    <row r="34" spans="1:31" x14ac:dyDescent="0.25">
      <c r="A34" s="646">
        <f t="shared" si="23"/>
        <v>45473</v>
      </c>
      <c r="B34" s="631">
        <f t="shared" si="14"/>
        <v>-974941.24941974902</v>
      </c>
      <c r="C34" s="543">
        <f>'4. 2024 Program Costs'!D10</f>
        <v>30225.740835182449</v>
      </c>
      <c r="D34" s="543">
        <v>55470.463529411762</v>
      </c>
      <c r="E34" s="672">
        <f t="shared" si="28"/>
        <v>-25244.722694229313</v>
      </c>
      <c r="F34" s="623">
        <f>'7. Short Term Rates'!D9/12</f>
        <v>4.6166666666666665E-3</v>
      </c>
      <c r="G34" s="664">
        <f t="shared" si="29"/>
        <v>-4559.2520030403539</v>
      </c>
      <c r="H34" s="664">
        <f t="shared" si="30"/>
        <v>-1004745.2241170187</v>
      </c>
      <c r="I34" s="686"/>
      <c r="J34" s="543">
        <f t="shared" si="15"/>
        <v>47819.929190577408</v>
      </c>
      <c r="K34" s="543">
        <f t="shared" si="33"/>
        <v>38964.342699237008</v>
      </c>
      <c r="L34" s="543">
        <v>8824.8464705882325</v>
      </c>
      <c r="M34" s="672">
        <f t="shared" si="5"/>
        <v>30139.496228648775</v>
      </c>
      <c r="N34" s="677">
        <f t="shared" si="6"/>
        <v>4.6166666666666665E-3</v>
      </c>
      <c r="O34" s="672">
        <f t="shared" si="7"/>
        <v>290.34067689096327</v>
      </c>
      <c r="P34" s="672">
        <f t="shared" si="8"/>
        <v>78249.76609611715</v>
      </c>
      <c r="Q34" s="683"/>
      <c r="R34" s="543">
        <f t="shared" si="18"/>
        <v>45705.795947605104</v>
      </c>
      <c r="S34" s="621">
        <f t="shared" si="32"/>
        <v>9035.75</v>
      </c>
      <c r="T34" s="543">
        <v>0</v>
      </c>
      <c r="U34" s="672">
        <f t="shared" si="19"/>
        <v>9035.75</v>
      </c>
      <c r="V34" s="677">
        <f t="shared" si="20"/>
        <v>4.6166666666666665E-3</v>
      </c>
      <c r="W34" s="672">
        <f t="shared" si="21"/>
        <v>231.86594754144355</v>
      </c>
      <c r="X34" s="672">
        <f t="shared" si="22"/>
        <v>54973.41189514655</v>
      </c>
      <c r="Y34" s="476"/>
      <c r="Z34" s="664">
        <f t="shared" si="13"/>
        <v>-871522.04612575495</v>
      </c>
      <c r="AA34" s="641"/>
      <c r="AB34" s="551">
        <f>'2. Summary of TD'!J34</f>
        <v>2842.7607430949433</v>
      </c>
      <c r="AC34" s="551">
        <f>'2. Summary of TD'!K34</f>
        <v>36121.581956142065</v>
      </c>
      <c r="AD34" s="551">
        <f t="shared" si="31"/>
        <v>38964.342699237008</v>
      </c>
      <c r="AE34" s="551">
        <f>+AD34-'2. Summary of TD'!L34</f>
        <v>0</v>
      </c>
    </row>
    <row r="35" spans="1:31" x14ac:dyDescent="0.25">
      <c r="A35" s="646">
        <f t="shared" si="23"/>
        <v>45504</v>
      </c>
      <c r="B35" s="631">
        <f t="shared" si="14"/>
        <v>-1004745.2241170187</v>
      </c>
      <c r="C35" s="543">
        <f>'4. 2024 Program Costs'!D11</f>
        <v>94077.827490281896</v>
      </c>
      <c r="D35" s="543">
        <v>59998.74509803921</v>
      </c>
      <c r="E35" s="672">
        <f t="shared" si="28"/>
        <v>34079.082392242686</v>
      </c>
      <c r="F35" s="623">
        <f>'7. Short Term Rates'!D10/12</f>
        <v>4.5583333333333335E-3</v>
      </c>
      <c r="G35" s="664">
        <f t="shared" si="29"/>
        <v>-4502.2917379810906</v>
      </c>
      <c r="H35" s="664">
        <f t="shared" si="30"/>
        <v>-975168.43346275715</v>
      </c>
      <c r="I35" s="686"/>
      <c r="J35" s="543">
        <f t="shared" si="15"/>
        <v>78249.76609611715</v>
      </c>
      <c r="K35" s="543">
        <f t="shared" si="33"/>
        <v>60618.897154812556</v>
      </c>
      <c r="L35" s="543">
        <v>9545.2549019607814</v>
      </c>
      <c r="M35" s="672">
        <f t="shared" si="5"/>
        <v>51073.642252851772</v>
      </c>
      <c r="N35" s="677">
        <f t="shared" si="6"/>
        <v>4.5583333333333335E-3</v>
      </c>
      <c r="O35" s="672">
        <f t="shared" si="7"/>
        <v>473.09386008942533</v>
      </c>
      <c r="P35" s="672">
        <f t="shared" si="8"/>
        <v>129796.50220905835</v>
      </c>
      <c r="Q35" s="683"/>
      <c r="R35" s="543">
        <f t="shared" si="18"/>
        <v>54973.41189514655</v>
      </c>
      <c r="S35" s="621">
        <f t="shared" si="32"/>
        <v>9035.75</v>
      </c>
      <c r="T35" s="543">
        <v>0</v>
      </c>
      <c r="U35" s="672">
        <f t="shared" si="19"/>
        <v>9035.75</v>
      </c>
      <c r="V35" s="677">
        <f t="shared" si="20"/>
        <v>4.5583333333333335E-3</v>
      </c>
      <c r="W35" s="672">
        <f t="shared" si="21"/>
        <v>271.18111609704306</v>
      </c>
      <c r="X35" s="672">
        <f t="shared" si="22"/>
        <v>64280.343011243596</v>
      </c>
      <c r="Y35" s="476"/>
      <c r="Z35" s="664">
        <f t="shared" si="13"/>
        <v>-781091.58824245515</v>
      </c>
      <c r="AA35" s="641"/>
      <c r="AB35" s="551">
        <f>'2. Summary of TD'!J35</f>
        <v>3109.1862019021341</v>
      </c>
      <c r="AC35" s="551">
        <f>'2. Summary of TD'!K35</f>
        <v>57509.71095291042</v>
      </c>
      <c r="AD35" s="551">
        <f t="shared" si="31"/>
        <v>60618.897154812556</v>
      </c>
      <c r="AE35" s="551">
        <f>+AD35-'2. Summary of TD'!L35</f>
        <v>0</v>
      </c>
    </row>
    <row r="36" spans="1:31" x14ac:dyDescent="0.25">
      <c r="A36" s="646">
        <f t="shared" si="23"/>
        <v>45535</v>
      </c>
      <c r="B36" s="631">
        <f t="shared" si="14"/>
        <v>-975168.43346275715</v>
      </c>
      <c r="C36" s="543">
        <f>'4. 2024 Program Costs'!D12</f>
        <v>153242.84980454319</v>
      </c>
      <c r="D36" s="543">
        <v>94198.806274509785</v>
      </c>
      <c r="E36" s="672">
        <f t="shared" si="28"/>
        <v>59044.043530033407</v>
      </c>
      <c r="F36" s="623">
        <f>'7. Short Term Rates'!D11/12</f>
        <v>4.5583333333333335E-3</v>
      </c>
      <c r="G36" s="664">
        <f t="shared" si="29"/>
        <v>-4310.5715599888672</v>
      </c>
      <c r="H36" s="664">
        <f t="shared" si="30"/>
        <v>-920434.96149271261</v>
      </c>
      <c r="I36" s="686"/>
      <c r="J36" s="543">
        <f t="shared" si="15"/>
        <v>129796.50220905835</v>
      </c>
      <c r="K36" s="543">
        <f t="shared" si="33"/>
        <v>61458.420754886647</v>
      </c>
      <c r="L36" s="543">
        <v>14986.173725490193</v>
      </c>
      <c r="M36" s="672">
        <f t="shared" si="5"/>
        <v>46472.247029396458</v>
      </c>
      <c r="N36" s="677">
        <f t="shared" si="6"/>
        <v>4.5583333333333335E-3</v>
      </c>
      <c r="O36" s="672">
        <f t="shared" si="7"/>
        <v>697.5737189241238</v>
      </c>
      <c r="P36" s="672">
        <f t="shared" si="8"/>
        <v>176966.32295737893</v>
      </c>
      <c r="Q36" s="683"/>
      <c r="R36" s="543">
        <f t="shared" si="18"/>
        <v>64280.343011243596</v>
      </c>
      <c r="S36" s="621">
        <f t="shared" si="32"/>
        <v>9035.75</v>
      </c>
      <c r="T36" s="543">
        <v>0</v>
      </c>
      <c r="U36" s="672">
        <f t="shared" si="19"/>
        <v>9035.75</v>
      </c>
      <c r="V36" s="677">
        <f t="shared" si="20"/>
        <v>4.5583333333333335E-3</v>
      </c>
      <c r="W36" s="672">
        <f t="shared" si="21"/>
        <v>313.60521043458539</v>
      </c>
      <c r="X36" s="672">
        <f t="shared" si="22"/>
        <v>73629.698221678176</v>
      </c>
      <c r="Y36" s="476"/>
      <c r="Z36" s="664">
        <f t="shared" si="13"/>
        <v>-669838.94031365553</v>
      </c>
      <c r="AA36" s="641"/>
      <c r="AB36" s="551">
        <f>'2. Summary of TD'!J36</f>
        <v>3729.1797948063668</v>
      </c>
      <c r="AC36" s="551">
        <f>'2. Summary of TD'!K36</f>
        <v>57729.240960080278</v>
      </c>
      <c r="AD36" s="551">
        <f t="shared" si="31"/>
        <v>61458.420754886647</v>
      </c>
      <c r="AE36" s="551">
        <f>+AD36-'2. Summary of TD'!L36</f>
        <v>0</v>
      </c>
    </row>
    <row r="37" spans="1:31" x14ac:dyDescent="0.25">
      <c r="A37" s="646">
        <f t="shared" si="23"/>
        <v>45565</v>
      </c>
      <c r="B37" s="631">
        <f t="shared" si="14"/>
        <v>-920434.96149271261</v>
      </c>
      <c r="C37" s="543">
        <f>'4. 2024 Program Costs'!D13</f>
        <v>164601.82956863759</v>
      </c>
      <c r="D37" s="543">
        <v>62858.054901960779</v>
      </c>
      <c r="E37" s="672">
        <f t="shared" si="28"/>
        <v>101743.77466667682</v>
      </c>
      <c r="F37" s="623">
        <f>'7. Short Term Rates'!D12/12</f>
        <v>4.4000000000000003E-3</v>
      </c>
      <c r="G37" s="664">
        <f t="shared" si="29"/>
        <v>-3826.077526301247</v>
      </c>
      <c r="H37" s="664">
        <f t="shared" si="30"/>
        <v>-822517.26435233711</v>
      </c>
      <c r="I37" s="686"/>
      <c r="J37" s="543">
        <f t="shared" si="15"/>
        <v>176966.32295737893</v>
      </c>
      <c r="K37" s="543">
        <f t="shared" si="33"/>
        <v>35018.437367853039</v>
      </c>
      <c r="L37" s="543">
        <v>10000.145098039215</v>
      </c>
      <c r="M37" s="672">
        <f t="shared" si="5"/>
        <v>25018.292269813825</v>
      </c>
      <c r="N37" s="677">
        <f t="shared" si="6"/>
        <v>4.4000000000000003E-3</v>
      </c>
      <c r="O37" s="672">
        <f t="shared" si="7"/>
        <v>833.69206400605776</v>
      </c>
      <c r="P37" s="672">
        <f t="shared" si="8"/>
        <v>202818.30729119881</v>
      </c>
      <c r="Q37" s="683"/>
      <c r="R37" s="543">
        <f t="shared" si="18"/>
        <v>73629.698221678176</v>
      </c>
      <c r="S37" s="621">
        <f t="shared" si="32"/>
        <v>9035.75</v>
      </c>
      <c r="T37" s="543">
        <v>0</v>
      </c>
      <c r="U37" s="672">
        <f t="shared" si="19"/>
        <v>9035.75</v>
      </c>
      <c r="V37" s="677">
        <f t="shared" si="20"/>
        <v>4.4000000000000003E-3</v>
      </c>
      <c r="W37" s="672">
        <f t="shared" si="21"/>
        <v>343.84932217538397</v>
      </c>
      <c r="X37" s="672">
        <f t="shared" si="22"/>
        <v>83009.297543853565</v>
      </c>
      <c r="Y37" s="476"/>
      <c r="Z37" s="664">
        <f t="shared" si="13"/>
        <v>-536689.65951728472</v>
      </c>
      <c r="AA37" s="641"/>
      <c r="AB37" s="551">
        <f>'2. Summary of TD'!J37</f>
        <v>4418.6597213519899</v>
      </c>
      <c r="AC37" s="551">
        <f>'2. Summary of TD'!K37</f>
        <v>30599.77764650105</v>
      </c>
      <c r="AD37" s="551">
        <f t="shared" si="31"/>
        <v>35018.437367853039</v>
      </c>
      <c r="AE37" s="551">
        <f>+AD37-'2. Summary of TD'!L37</f>
        <v>0</v>
      </c>
    </row>
    <row r="38" spans="1:31" x14ac:dyDescent="0.25">
      <c r="A38" s="646">
        <f t="shared" si="23"/>
        <v>45596</v>
      </c>
      <c r="B38" s="631">
        <f t="shared" si="14"/>
        <v>-822517.26435233711</v>
      </c>
      <c r="C38" s="543">
        <f>'4. 2024 Program Costs'!D14</f>
        <v>84671.461619505615</v>
      </c>
      <c r="D38" s="543">
        <v>45260.823374999993</v>
      </c>
      <c r="E38" s="672">
        <f t="shared" si="28"/>
        <v>39410.638244505622</v>
      </c>
      <c r="F38" s="623">
        <f>'7. Short Term Rates'!D13/12</f>
        <v>4.2333333333333329E-3</v>
      </c>
      <c r="G38" s="664">
        <f t="shared" si="29"/>
        <v>-3398.5705681406894</v>
      </c>
      <c r="H38" s="664">
        <f t="shared" si="30"/>
        <v>-786505.1966759722</v>
      </c>
      <c r="I38" s="686"/>
      <c r="J38" s="543">
        <f t="shared" si="15"/>
        <v>202818.30729119881</v>
      </c>
      <c r="K38" s="543">
        <f t="shared" si="33"/>
        <v>20714.634634725498</v>
      </c>
      <c r="L38" s="543">
        <v>20411.743874999996</v>
      </c>
      <c r="M38" s="672">
        <f t="shared" si="5"/>
        <v>302.89075972550199</v>
      </c>
      <c r="N38" s="677">
        <f t="shared" si="6"/>
        <v>4.2333333333333329E-3</v>
      </c>
      <c r="O38" s="672">
        <f t="shared" si="7"/>
        <v>859.2386196408271</v>
      </c>
      <c r="P38" s="672">
        <f t="shared" si="8"/>
        <v>203980.43667056513</v>
      </c>
      <c r="Q38" s="683"/>
      <c r="R38" s="543">
        <f t="shared" si="18"/>
        <v>83009.297543853565</v>
      </c>
      <c r="S38" s="621">
        <f t="shared" si="32"/>
        <v>9035.75</v>
      </c>
      <c r="T38" s="543">
        <v>5324.8027499999989</v>
      </c>
      <c r="U38" s="672">
        <f t="shared" si="19"/>
        <v>3710.9472500000011</v>
      </c>
      <c r="V38" s="677">
        <f t="shared" si="20"/>
        <v>4.2333333333333329E-3</v>
      </c>
      <c r="W38" s="672">
        <f t="shared" si="21"/>
        <v>359.26086461481339</v>
      </c>
      <c r="X38" s="672">
        <f t="shared" si="22"/>
        <v>87079.505658468377</v>
      </c>
      <c r="Y38" s="476"/>
      <c r="Z38" s="664">
        <f t="shared" si="13"/>
        <v>-495445.25434693869</v>
      </c>
      <c r="AA38" s="641"/>
      <c r="AB38" s="551">
        <f>'2. Summary of TD'!J38</f>
        <v>4584.9027232531162</v>
      </c>
      <c r="AC38" s="551">
        <f>'2. Summary of TD'!K38</f>
        <v>16129.731911472381</v>
      </c>
      <c r="AD38" s="551">
        <f t="shared" si="31"/>
        <v>20714.634634725498</v>
      </c>
      <c r="AE38" s="551">
        <f>+AD38-'2. Summary of TD'!L38</f>
        <v>0</v>
      </c>
    </row>
    <row r="39" spans="1:31" x14ac:dyDescent="0.25">
      <c r="A39" s="646">
        <f t="shared" si="23"/>
        <v>45626</v>
      </c>
      <c r="B39" s="631">
        <f t="shared" si="14"/>
        <v>-786505.1966759722</v>
      </c>
      <c r="C39" s="543">
        <f>'4. 2024 Program Costs'!D15</f>
        <v>49616.354830261385</v>
      </c>
      <c r="D39" s="543">
        <v>49428.792000000001</v>
      </c>
      <c r="E39" s="672">
        <f t="shared" si="28"/>
        <v>187.56283026138408</v>
      </c>
      <c r="F39" s="623">
        <f>'7. Short Term Rates'!D14/12</f>
        <v>4.5750000000000001E-3</v>
      </c>
      <c r="G39" s="664">
        <f t="shared" si="29"/>
        <v>-3597.8322248183499</v>
      </c>
      <c r="H39" s="664">
        <f t="shared" si="30"/>
        <v>-789915.46607052907</v>
      </c>
      <c r="I39" s="686"/>
      <c r="J39" s="543">
        <f t="shared" si="15"/>
        <v>203980.43667056513</v>
      </c>
      <c r="K39" s="543">
        <f t="shared" si="33"/>
        <v>28701.800230786459</v>
      </c>
      <c r="L39" s="543">
        <v>22291.416000000001</v>
      </c>
      <c r="M39" s="672">
        <f t="shared" si="5"/>
        <v>6410.3842307864579</v>
      </c>
      <c r="N39" s="677">
        <f t="shared" si="6"/>
        <v>4.5750000000000001E-3</v>
      </c>
      <c r="O39" s="672">
        <f t="shared" si="7"/>
        <v>947.87425169575954</v>
      </c>
      <c r="P39" s="672">
        <f t="shared" si="8"/>
        <v>211338.69515304736</v>
      </c>
      <c r="Q39" s="683"/>
      <c r="R39" s="543">
        <f t="shared" si="18"/>
        <v>87079.505658468377</v>
      </c>
      <c r="S39" s="621">
        <f t="shared" si="32"/>
        <v>9035.75</v>
      </c>
      <c r="T39" s="543">
        <v>5815.152</v>
      </c>
      <c r="U39" s="672">
        <f t="shared" si="19"/>
        <v>3220.598</v>
      </c>
      <c r="V39" s="677">
        <f t="shared" si="20"/>
        <v>4.5750000000000001E-3</v>
      </c>
      <c r="W39" s="672">
        <f t="shared" si="21"/>
        <v>405.75585631249282</v>
      </c>
      <c r="X39" s="672">
        <f t="shared" si="22"/>
        <v>90705.859514780866</v>
      </c>
      <c r="Y39" s="476"/>
      <c r="Z39" s="664">
        <f t="shared" si="13"/>
        <v>-487870.91140270088</v>
      </c>
      <c r="AA39" s="641"/>
      <c r="AB39" s="551">
        <f>'2. Summary of TD'!J39</f>
        <v>4367.1268597237286</v>
      </c>
      <c r="AC39" s="551">
        <f>'2. Summary of TD'!K39</f>
        <v>24334.67337106273</v>
      </c>
      <c r="AD39" s="551">
        <f t="shared" si="31"/>
        <v>28701.800230786459</v>
      </c>
      <c r="AE39" s="551">
        <f>+AD39-'2. Summary of TD'!L39</f>
        <v>0</v>
      </c>
    </row>
    <row r="40" spans="1:31" x14ac:dyDescent="0.25">
      <c r="A40" s="646">
        <f t="shared" si="23"/>
        <v>45657</v>
      </c>
      <c r="B40" s="635">
        <f t="shared" si="14"/>
        <v>-789915.46607052907</v>
      </c>
      <c r="C40" s="547">
        <f>'4. 2024 Program Costs'!D16</f>
        <v>119532.14237348401</v>
      </c>
      <c r="D40" s="547">
        <v>75245.157749999998</v>
      </c>
      <c r="E40" s="673">
        <f t="shared" si="28"/>
        <v>44286.984623484008</v>
      </c>
      <c r="F40" s="628">
        <f>'7. Short Term Rates'!D15/12</f>
        <v>4.4250000000000001E-3</v>
      </c>
      <c r="G40" s="674">
        <f t="shared" si="29"/>
        <v>-3397.3909838826326</v>
      </c>
      <c r="H40" s="674">
        <f t="shared" si="30"/>
        <v>-749025.8724309277</v>
      </c>
      <c r="I40" s="686"/>
      <c r="J40" s="547">
        <f t="shared" si="15"/>
        <v>211338.69515304736</v>
      </c>
      <c r="K40" s="547">
        <f t="shared" si="33"/>
        <v>49106.704989152378</v>
      </c>
      <c r="L40" s="547">
        <v>33934.090750000003</v>
      </c>
      <c r="M40" s="673">
        <f t="shared" si="5"/>
        <v>15172.614239152375</v>
      </c>
      <c r="N40" s="678">
        <f t="shared" si="6"/>
        <v>4.4250000000000001E-3</v>
      </c>
      <c r="O40" s="673">
        <f t="shared" si="7"/>
        <v>968.74313505635916</v>
      </c>
      <c r="P40" s="673">
        <f t="shared" si="8"/>
        <v>227480.05252725611</v>
      </c>
      <c r="Q40" s="683"/>
      <c r="R40" s="547">
        <f t="shared" si="18"/>
        <v>90705.859514780866</v>
      </c>
      <c r="S40" s="622">
        <f t="shared" si="32"/>
        <v>9035.75</v>
      </c>
      <c r="T40" s="547">
        <v>8852.3715000000011</v>
      </c>
      <c r="U40" s="673">
        <f t="shared" si="19"/>
        <v>183.37849999999889</v>
      </c>
      <c r="V40" s="678">
        <f t="shared" si="20"/>
        <v>4.4250000000000001E-3</v>
      </c>
      <c r="W40" s="673">
        <f t="shared" si="21"/>
        <v>401.77915328415531</v>
      </c>
      <c r="X40" s="673">
        <f t="shared" si="22"/>
        <v>91291.017168065009</v>
      </c>
      <c r="Y40" s="476"/>
      <c r="Z40" s="664">
        <f t="shared" si="13"/>
        <v>-430254.80273560662</v>
      </c>
      <c r="AA40" s="641"/>
      <c r="AB40" s="551">
        <f>'2. Summary of TD'!J40</f>
        <v>4776.8243862167246</v>
      </c>
      <c r="AC40" s="551">
        <f>'2. Summary of TD'!K40</f>
        <v>44329.880602935656</v>
      </c>
      <c r="AD40" s="551">
        <f t="shared" si="31"/>
        <v>49106.704989152378</v>
      </c>
      <c r="AE40" s="551">
        <f>+AD40-'2. Summary of TD'!L40</f>
        <v>0</v>
      </c>
    </row>
    <row r="41" spans="1:31" x14ac:dyDescent="0.25">
      <c r="A41" s="8"/>
    </row>
    <row r="42" spans="1:31" ht="13.75" thickBot="1" x14ac:dyDescent="0.3">
      <c r="A42" s="645" t="s">
        <v>85</v>
      </c>
      <c r="B42" s="7"/>
      <c r="C42" s="7">
        <f>SUM(C5:C40)</f>
        <v>2584976.7694032672</v>
      </c>
      <c r="D42" s="7">
        <f>SUM(D5:D40)</f>
        <v>3216166.4440107341</v>
      </c>
      <c r="E42" s="7"/>
      <c r="F42" s="7"/>
      <c r="G42" s="7">
        <f>SUM(G5:G40)</f>
        <v>-117836.19782346131</v>
      </c>
      <c r="H42" s="7">
        <f>H40</f>
        <v>-749025.8724309277</v>
      </c>
      <c r="I42" s="684"/>
      <c r="J42" s="7"/>
      <c r="K42" s="7">
        <f t="shared" ref="K42:L42" si="34">SUM(K5:K40)</f>
        <v>642329.19596219715</v>
      </c>
      <c r="L42" s="7">
        <f t="shared" si="34"/>
        <v>415457.50268044288</v>
      </c>
      <c r="M42" s="7"/>
      <c r="N42" s="7"/>
      <c r="O42" s="7">
        <f t="shared" ref="O42" si="35">SUM(O5:O40)</f>
        <v>608.35924550180096</v>
      </c>
      <c r="P42" s="7">
        <f>P40</f>
        <v>227480.05252725611</v>
      </c>
      <c r="Q42" s="684"/>
      <c r="R42" s="7"/>
      <c r="S42" s="7">
        <f t="shared" ref="S42:T42" si="36">SUM(S5:S40)</f>
        <v>108429</v>
      </c>
      <c r="T42" s="7">
        <f t="shared" si="36"/>
        <v>19992.326249999998</v>
      </c>
      <c r="U42" s="7"/>
      <c r="V42" s="7"/>
      <c r="W42" s="7">
        <f t="shared" ref="W42" si="37">SUM(W5:W40)</f>
        <v>2854.3434180650188</v>
      </c>
      <c r="X42" s="7">
        <f>X40</f>
        <v>91291.017168065009</v>
      </c>
      <c r="Y42" s="666"/>
      <c r="Z42" s="7">
        <f>Z40</f>
        <v>-430254.80273560662</v>
      </c>
      <c r="AB42" s="7">
        <f t="shared" ref="AB42:AD42" si="38">SUM(AB5:AB40)</f>
        <v>83771.251620520168</v>
      </c>
      <c r="AC42" s="7">
        <f t="shared" si="38"/>
        <v>558557.94434167701</v>
      </c>
      <c r="AD42" s="7">
        <f t="shared" si="38"/>
        <v>642329.19596219715</v>
      </c>
      <c r="AE42" s="637"/>
    </row>
    <row r="43" spans="1:31" ht="13.75" thickTop="1" x14ac:dyDescent="0.25">
      <c r="A43" s="639" t="s">
        <v>276</v>
      </c>
      <c r="B43" s="549"/>
      <c r="C43" s="550">
        <f>SUM(C5:C16)</f>
        <v>745068</v>
      </c>
      <c r="D43" s="550">
        <f>SUM(D5:D16)</f>
        <v>1347352.6436781608</v>
      </c>
      <c r="E43" s="550"/>
      <c r="F43" s="550"/>
      <c r="G43" s="550">
        <f>SUM(G5:G16)</f>
        <v>-13534.251893160041</v>
      </c>
      <c r="H43" s="550">
        <f>H16</f>
        <v>-615818.89557132102</v>
      </c>
      <c r="I43" s="683"/>
      <c r="J43" s="550"/>
      <c r="K43" s="550">
        <f>SUM(K5:K16)</f>
        <v>30849.019394288633</v>
      </c>
      <c r="L43" s="550">
        <f>SUM(L5:L16)</f>
        <v>117893.35632183909</v>
      </c>
      <c r="M43" s="549"/>
      <c r="N43" s="549"/>
      <c r="O43" s="550">
        <f>SUM(O5:O16)</f>
        <v>-1550.6790487785329</v>
      </c>
      <c r="P43" s="550">
        <f>P16</f>
        <v>-88595.01597632897</v>
      </c>
      <c r="Q43" s="684"/>
      <c r="R43" s="550"/>
      <c r="S43" s="550">
        <f t="shared" ref="S43:T44" si="39">SUM(S16:S27)</f>
        <v>0</v>
      </c>
      <c r="T43" s="550">
        <f t="shared" si="39"/>
        <v>0</v>
      </c>
      <c r="U43" s="550">
        <f t="shared" ref="U43" si="40">SUM(U16:U27)</f>
        <v>0</v>
      </c>
      <c r="V43" s="549"/>
      <c r="W43" s="550">
        <f>SUM(W5:W16)</f>
        <v>0</v>
      </c>
      <c r="X43" s="550">
        <f>X16</f>
        <v>0</v>
      </c>
      <c r="Y43" s="666"/>
      <c r="Z43" s="550">
        <f>Z16</f>
        <v>-704413.91154765</v>
      </c>
      <c r="AB43" s="549"/>
      <c r="AC43" s="549"/>
      <c r="AD43" s="549"/>
      <c r="AE43" s="637">
        <f>K43-'2. Summary of TD'!L54</f>
        <v>0</v>
      </c>
    </row>
    <row r="44" spans="1:31" x14ac:dyDescent="0.25">
      <c r="A44" s="639" t="s">
        <v>255</v>
      </c>
      <c r="B44" s="549"/>
      <c r="C44" s="550">
        <f>SUM(C17:C28)</f>
        <v>885374.32525779936</v>
      </c>
      <c r="D44" s="550">
        <f>SUM(D17:D28)</f>
        <v>1097905.0185801224</v>
      </c>
      <c r="E44" s="550"/>
      <c r="F44" s="550"/>
      <c r="G44" s="550">
        <f>SUM(G17:G28)</f>
        <v>-53003.676030565744</v>
      </c>
      <c r="H44" s="550">
        <f>H28</f>
        <v>-881353.26492420933</v>
      </c>
      <c r="I44" s="683"/>
      <c r="J44" s="550"/>
      <c r="K44" s="550">
        <f t="shared" ref="K44:L44" si="41">SUM(K17:K28)</f>
        <v>212451.10582454281</v>
      </c>
      <c r="L44" s="550">
        <f t="shared" si="41"/>
        <v>125317.39436105477</v>
      </c>
      <c r="M44" s="549"/>
      <c r="N44" s="549"/>
      <c r="O44" s="550">
        <f>SUM(O17:O28)</f>
        <v>-3514.2476152975883</v>
      </c>
      <c r="P44" s="550">
        <f>P28</f>
        <v>-4975.5521281385145</v>
      </c>
      <c r="Q44" s="684"/>
      <c r="R44" s="550"/>
      <c r="S44" s="550">
        <f t="shared" si="39"/>
        <v>0</v>
      </c>
      <c r="T44" s="550">
        <f t="shared" si="39"/>
        <v>0</v>
      </c>
      <c r="U44" s="550">
        <f t="shared" ref="U44" si="42">SUM(U17:U28)</f>
        <v>0</v>
      </c>
      <c r="V44" s="549"/>
      <c r="W44" s="550">
        <f>SUM(W17:W28)</f>
        <v>0</v>
      </c>
      <c r="X44" s="550">
        <f>X28</f>
        <v>0</v>
      </c>
      <c r="Y44" s="666"/>
      <c r="Z44" s="550">
        <f>Z28</f>
        <v>-886328.81705234782</v>
      </c>
      <c r="AB44" s="549"/>
      <c r="AC44" s="549"/>
      <c r="AD44" s="549"/>
      <c r="AE44" s="637">
        <f>K44-'2. Summary of TD'!L55</f>
        <v>0</v>
      </c>
    </row>
    <row r="45" spans="1:31" x14ac:dyDescent="0.25">
      <c r="A45" s="639" t="s">
        <v>256</v>
      </c>
      <c r="C45" s="551">
        <f>SUM(C29:C40)</f>
        <v>954534.44414546806</v>
      </c>
      <c r="D45" s="551">
        <f>SUM(D29:D40)</f>
        <v>770908.78175245097</v>
      </c>
      <c r="E45" s="551"/>
      <c r="F45" s="551"/>
      <c r="G45" s="551">
        <f>SUM(G29:G40)</f>
        <v>-51298.269899735526</v>
      </c>
      <c r="H45" s="551">
        <f>H40</f>
        <v>-749025.8724309277</v>
      </c>
      <c r="I45" s="683"/>
      <c r="J45" s="551"/>
      <c r="K45" s="551">
        <f t="shared" ref="K45:L45" si="43">SUM(K29:K40)</f>
        <v>399029.07074336568</v>
      </c>
      <c r="L45" s="551">
        <f t="shared" si="43"/>
        <v>172246.751997549</v>
      </c>
      <c r="M45" s="335"/>
      <c r="O45" s="551">
        <f>SUM(O29:O40)</f>
        <v>5673.2859095779231</v>
      </c>
      <c r="P45" s="551">
        <f>P40</f>
        <v>227480.05252725611</v>
      </c>
      <c r="R45" s="551"/>
      <c r="S45" s="551">
        <f t="shared" ref="S45:T45" si="44">SUM(S29:S40)</f>
        <v>108429</v>
      </c>
      <c r="T45" s="551">
        <f t="shared" si="44"/>
        <v>19992.326249999998</v>
      </c>
      <c r="U45" s="551">
        <f t="shared" ref="U45" si="45">SUM(U29:U40)</f>
        <v>88436.673749999987</v>
      </c>
      <c r="W45" s="551">
        <f>SUM(W29:W40)</f>
        <v>2854.3434180650188</v>
      </c>
      <c r="X45" s="551">
        <f>X40</f>
        <v>91291.017168065009</v>
      </c>
      <c r="Z45" s="551">
        <f>Z40</f>
        <v>-430254.80273560662</v>
      </c>
      <c r="AE45" s="637">
        <f>K45-'2. Summary of TD'!L56</f>
        <v>0</v>
      </c>
    </row>
    <row r="47" spans="1:31" x14ac:dyDescent="0.25">
      <c r="A47" s="658"/>
      <c r="B47" s="608" t="s">
        <v>3</v>
      </c>
      <c r="C47" s="624"/>
      <c r="D47" s="624"/>
      <c r="E47" s="611" t="s">
        <v>263</v>
      </c>
      <c r="F47" s="611"/>
      <c r="G47" s="611"/>
      <c r="H47" s="611"/>
      <c r="I47" s="691"/>
      <c r="J47" s="608" t="s">
        <v>3</v>
      </c>
      <c r="K47" s="624"/>
      <c r="L47" s="624"/>
      <c r="M47" s="611" t="s">
        <v>263</v>
      </c>
      <c r="N47" s="624"/>
      <c r="O47" s="624"/>
      <c r="P47" s="624"/>
      <c r="Q47" s="685"/>
      <c r="R47" s="608" t="s">
        <v>3</v>
      </c>
      <c r="S47" s="624"/>
      <c r="T47" s="624"/>
      <c r="U47" s="611" t="s">
        <v>263</v>
      </c>
      <c r="V47" s="624"/>
      <c r="W47" s="624"/>
      <c r="X47" s="624"/>
      <c r="Y47" s="63"/>
      <c r="Z47" s="163"/>
      <c r="AB47" s="652" t="s">
        <v>146</v>
      </c>
      <c r="AC47" s="189" t="s">
        <v>92</v>
      </c>
      <c r="AD47" s="190" t="s">
        <v>96</v>
      </c>
    </row>
    <row r="48" spans="1:31" x14ac:dyDescent="0.25">
      <c r="A48" s="657" t="s">
        <v>3</v>
      </c>
      <c r="B48" s="611" t="s">
        <v>28</v>
      </c>
      <c r="C48" s="611" t="s">
        <v>28</v>
      </c>
      <c r="D48" s="611" t="s">
        <v>28</v>
      </c>
      <c r="E48" s="611" t="s">
        <v>28</v>
      </c>
      <c r="F48" s="611" t="s">
        <v>264</v>
      </c>
      <c r="G48" s="611" t="s">
        <v>264</v>
      </c>
      <c r="H48" s="611" t="s">
        <v>28</v>
      </c>
      <c r="I48" s="685"/>
      <c r="J48" s="611" t="s">
        <v>267</v>
      </c>
      <c r="K48" s="611" t="s">
        <v>267</v>
      </c>
      <c r="L48" s="611" t="s">
        <v>267</v>
      </c>
      <c r="M48" s="611" t="s">
        <v>267</v>
      </c>
      <c r="N48" s="611" t="s">
        <v>29</v>
      </c>
      <c r="O48" s="611" t="s">
        <v>29</v>
      </c>
      <c r="P48" s="611"/>
      <c r="Q48" s="685"/>
      <c r="R48" s="611" t="s">
        <v>269</v>
      </c>
      <c r="S48" s="611" t="s">
        <v>269</v>
      </c>
      <c r="T48" s="611" t="s">
        <v>269</v>
      </c>
      <c r="U48" s="611" t="s">
        <v>269</v>
      </c>
      <c r="V48" s="611" t="s">
        <v>29</v>
      </c>
      <c r="W48" s="611" t="s">
        <v>29</v>
      </c>
      <c r="X48" s="611"/>
      <c r="Y48" s="63"/>
      <c r="Z48" s="163"/>
      <c r="AB48" s="653" t="s">
        <v>144</v>
      </c>
      <c r="AC48" s="163" t="s">
        <v>144</v>
      </c>
      <c r="AD48" s="188" t="s">
        <v>144</v>
      </c>
    </row>
    <row r="49" spans="1:31" x14ac:dyDescent="0.25">
      <c r="A49" s="212" t="s">
        <v>280</v>
      </c>
      <c r="B49" s="615" t="s">
        <v>30</v>
      </c>
      <c r="C49" s="615" t="s">
        <v>262</v>
      </c>
      <c r="D49" s="615" t="s">
        <v>268</v>
      </c>
      <c r="E49" s="615" t="s">
        <v>143</v>
      </c>
      <c r="F49" s="615" t="s">
        <v>265</v>
      </c>
      <c r="G49" s="615" t="s">
        <v>266</v>
      </c>
      <c r="H49" s="615" t="s">
        <v>32</v>
      </c>
      <c r="I49" s="685"/>
      <c r="J49" s="615" t="s">
        <v>30</v>
      </c>
      <c r="K49" s="615" t="s">
        <v>262</v>
      </c>
      <c r="L49" s="615" t="s">
        <v>268</v>
      </c>
      <c r="M49" s="615" t="s">
        <v>143</v>
      </c>
      <c r="N49" s="615" t="s">
        <v>31</v>
      </c>
      <c r="O49" s="615" t="s">
        <v>0</v>
      </c>
      <c r="P49" s="615" t="s">
        <v>32</v>
      </c>
      <c r="Q49" s="685"/>
      <c r="R49" s="615" t="s">
        <v>30</v>
      </c>
      <c r="S49" s="615" t="s">
        <v>262</v>
      </c>
      <c r="T49" s="615" t="s">
        <v>268</v>
      </c>
      <c r="U49" s="615" t="s">
        <v>143</v>
      </c>
      <c r="V49" s="615" t="s">
        <v>31</v>
      </c>
      <c r="W49" s="615" t="s">
        <v>0</v>
      </c>
      <c r="X49" s="615" t="s">
        <v>32</v>
      </c>
      <c r="Y49" s="63"/>
      <c r="Z49" s="163"/>
      <c r="AB49" s="654" t="s">
        <v>145</v>
      </c>
      <c r="AC49" s="9" t="s">
        <v>145</v>
      </c>
      <c r="AD49" s="10" t="s">
        <v>145</v>
      </c>
    </row>
    <row r="50" spans="1:31" x14ac:dyDescent="0.25">
      <c r="C50" s="636"/>
      <c r="D50" s="636"/>
      <c r="E50" s="636"/>
      <c r="F50" s="636"/>
      <c r="G50" s="636"/>
      <c r="H50" s="636"/>
      <c r="I50" s="687"/>
      <c r="J50" s="636"/>
      <c r="K50" s="636"/>
      <c r="L50" s="636"/>
      <c r="M50" s="636"/>
      <c r="R50" s="636"/>
      <c r="S50" s="636"/>
      <c r="T50" s="636"/>
      <c r="U50" s="636"/>
    </row>
    <row r="51" spans="1:31" x14ac:dyDescent="0.25">
      <c r="A51" s="646">
        <v>44562</v>
      </c>
      <c r="B51" s="633">
        <v>0</v>
      </c>
      <c r="C51" s="671">
        <v>18604</v>
      </c>
      <c r="D51" s="671">
        <v>51462.5</v>
      </c>
      <c r="E51" s="670">
        <f>+C51-D51</f>
        <v>-32858.5</v>
      </c>
      <c r="F51" s="647">
        <f>F5</f>
        <v>3.8333333333333334E-4</v>
      </c>
      <c r="G51" s="633">
        <f>(B51+E51/2)*F51</f>
        <v>-6.2978791666666671</v>
      </c>
      <c r="H51" s="633">
        <f>B51+E51+G51</f>
        <v>-32864.797879166668</v>
      </c>
      <c r="I51" s="688"/>
      <c r="J51" s="633">
        <v>0</v>
      </c>
      <c r="K51" s="670">
        <f>AD51</f>
        <v>1393.9135216917464</v>
      </c>
      <c r="L51" s="671">
        <v>6712.4999999999991</v>
      </c>
      <c r="M51" s="670">
        <f>+K51-L51</f>
        <v>-5318.5864783082525</v>
      </c>
      <c r="N51" s="647">
        <f>F51</f>
        <v>3.8333333333333334E-4</v>
      </c>
      <c r="O51" s="633">
        <f>(J51+M51/2)*N51</f>
        <v>-1.0193957416757484</v>
      </c>
      <c r="P51" s="633">
        <f>J51+M51+O51</f>
        <v>-5319.6058740499284</v>
      </c>
      <c r="Q51" s="682"/>
      <c r="R51" s="633">
        <v>0</v>
      </c>
      <c r="S51" s="671">
        <v>0</v>
      </c>
      <c r="T51" s="671">
        <v>0</v>
      </c>
      <c r="U51" s="670">
        <f>+S51-T51</f>
        <v>0</v>
      </c>
      <c r="V51" s="647">
        <f>N51</f>
        <v>3.8333333333333334E-4</v>
      </c>
      <c r="W51" s="633">
        <f>(R51+U51/2)*V51</f>
        <v>0</v>
      </c>
      <c r="X51" s="633">
        <f>R51+U51+W51</f>
        <v>0</v>
      </c>
      <c r="Y51" s="56"/>
      <c r="Z51" s="633">
        <f>H51+P51+X51</f>
        <v>-38184.403753216597</v>
      </c>
      <c r="AB51" s="327">
        <f>'2. Summary of TD'!J65</f>
        <v>0</v>
      </c>
      <c r="AC51" s="328">
        <f>'2. Summary of TD'!K65</f>
        <v>1393.9135216917464</v>
      </c>
      <c r="AD51" s="626">
        <f>SUM(AB51:AC51)</f>
        <v>1393.9135216917464</v>
      </c>
      <c r="AE51" s="551">
        <f>+AD51-'2. Summary of TD'!L65</f>
        <v>0</v>
      </c>
    </row>
    <row r="52" spans="1:31" x14ac:dyDescent="0.25">
      <c r="A52" s="646">
        <f t="shared" ref="A52:A62" si="46">EOMONTH(A51,1)</f>
        <v>44620</v>
      </c>
      <c r="B52" s="634">
        <f>H51</f>
        <v>-32864.797879166668</v>
      </c>
      <c r="C52" s="621">
        <v>148849</v>
      </c>
      <c r="D52" s="621">
        <v>161973.96153846153</v>
      </c>
      <c r="E52" s="672">
        <f t="shared" ref="E52:E86" si="47">+C52-D52</f>
        <v>-13124.961538461532</v>
      </c>
      <c r="F52" s="623">
        <f t="shared" ref="F52:F86" si="48">F6</f>
        <v>2.5000000000000001E-4</v>
      </c>
      <c r="G52" s="664">
        <f t="shared" ref="G52:G86" si="49">(B52+E52/2)*F52</f>
        <v>-9.8568196620993582</v>
      </c>
      <c r="H52" s="664">
        <f t="shared" ref="H52:H86" si="50">B52+E52+G52</f>
        <v>-45999.616237290298</v>
      </c>
      <c r="I52" s="686"/>
      <c r="J52" s="634">
        <f>P51</f>
        <v>-5319.6058740499284</v>
      </c>
      <c r="K52" s="543">
        <f t="shared" ref="K52:K62" si="51">AD52</f>
        <v>3363.0773149843208</v>
      </c>
      <c r="L52" s="621">
        <v>21127.038461538457</v>
      </c>
      <c r="M52" s="543">
        <f>+K52-L52</f>
        <v>-17763.961146554138</v>
      </c>
      <c r="N52" s="623">
        <f t="shared" ref="N52:N86" si="52">F52</f>
        <v>2.5000000000000001E-4</v>
      </c>
      <c r="O52" s="634">
        <f>(J52+M52/2)*N52</f>
        <v>-3.5503966118317494</v>
      </c>
      <c r="P52" s="634">
        <f>J52+M52+O52</f>
        <v>-23087.117417215897</v>
      </c>
      <c r="Q52" s="683"/>
      <c r="R52" s="634">
        <f>X51</f>
        <v>0</v>
      </c>
      <c r="S52" s="621">
        <v>0</v>
      </c>
      <c r="T52" s="621">
        <v>0</v>
      </c>
      <c r="U52" s="672">
        <f t="shared" ref="U52:U86" si="53">+S52-T52</f>
        <v>0</v>
      </c>
      <c r="V52" s="623">
        <f t="shared" ref="V52:V86" si="54">N52</f>
        <v>2.5000000000000001E-4</v>
      </c>
      <c r="W52" s="664">
        <f t="shared" ref="W52:W86" si="55">(R52+U52/2)*V52</f>
        <v>0</v>
      </c>
      <c r="X52" s="664">
        <f t="shared" ref="X52:X86" si="56">R52+U52+W52</f>
        <v>0</v>
      </c>
      <c r="Y52" s="476"/>
      <c r="Z52" s="664">
        <f t="shared" ref="Z52:Z86" si="57">H52+P52+X52</f>
        <v>-69086.733654506199</v>
      </c>
      <c r="AB52" s="629">
        <f>'2. Summary of TD'!J66</f>
        <v>0</v>
      </c>
      <c r="AC52" s="644">
        <f>'2. Summary of TD'!K66</f>
        <v>3363.0773149843208</v>
      </c>
      <c r="AD52" s="632">
        <f>SUM(AB52:AC52)</f>
        <v>3363.0773149843208</v>
      </c>
      <c r="AE52" s="551">
        <f>+AD52-'2. Summary of TD'!L66</f>
        <v>0</v>
      </c>
    </row>
    <row r="53" spans="1:31" x14ac:dyDescent="0.25">
      <c r="A53" s="646">
        <f t="shared" si="46"/>
        <v>44651</v>
      </c>
      <c r="B53" s="634">
        <f t="shared" ref="B53:B86" si="58">H52</f>
        <v>-45999.616237290298</v>
      </c>
      <c r="C53" s="621">
        <v>31295</v>
      </c>
      <c r="D53" s="621">
        <v>157006.84615384616</v>
      </c>
      <c r="E53" s="672">
        <f t="shared" si="47"/>
        <v>-125711.84615384616</v>
      </c>
      <c r="F53" s="623">
        <f t="shared" si="48"/>
        <v>3.8333333333333334E-4</v>
      </c>
      <c r="G53" s="664">
        <f t="shared" si="49"/>
        <v>-41.727956737115129</v>
      </c>
      <c r="H53" s="664">
        <f t="shared" si="50"/>
        <v>-171753.19034787355</v>
      </c>
      <c r="I53" s="686"/>
      <c r="J53" s="634">
        <f t="shared" ref="J53:J86" si="59">P52</f>
        <v>-23087.117417215897</v>
      </c>
      <c r="K53" s="543">
        <f t="shared" si="51"/>
        <v>6007.962925681145</v>
      </c>
      <c r="L53" s="621">
        <v>20479.153846153848</v>
      </c>
      <c r="M53" s="543">
        <f t="shared" ref="M53:M86" si="60">+K53-L53</f>
        <v>-14471.190920472702</v>
      </c>
      <c r="N53" s="623">
        <f t="shared" si="52"/>
        <v>3.8333333333333334E-4</v>
      </c>
      <c r="O53" s="634">
        <f t="shared" ref="O53:O86" si="61">(J53+M53/2)*N53</f>
        <v>-11.623706603023363</v>
      </c>
      <c r="P53" s="634">
        <f t="shared" ref="P53:P86" si="62">J53+M53+O53</f>
        <v>-37569.932044291621</v>
      </c>
      <c r="Q53" s="683"/>
      <c r="R53" s="634">
        <f t="shared" ref="R53:R86" si="63">X52</f>
        <v>0</v>
      </c>
      <c r="S53" s="621">
        <v>0</v>
      </c>
      <c r="T53" s="621">
        <v>0</v>
      </c>
      <c r="U53" s="672">
        <f t="shared" si="53"/>
        <v>0</v>
      </c>
      <c r="V53" s="623">
        <f t="shared" si="54"/>
        <v>3.8333333333333334E-4</v>
      </c>
      <c r="W53" s="664">
        <f t="shared" si="55"/>
        <v>0</v>
      </c>
      <c r="X53" s="664">
        <f t="shared" si="56"/>
        <v>0</v>
      </c>
      <c r="Y53" s="476"/>
      <c r="Z53" s="664">
        <f t="shared" si="57"/>
        <v>-209323.12239216518</v>
      </c>
      <c r="AB53" s="629">
        <f>'2. Summary of TD'!J67</f>
        <v>0</v>
      </c>
      <c r="AC53" s="644">
        <f>'2. Summary of TD'!K67</f>
        <v>6007.962925681145</v>
      </c>
      <c r="AD53" s="632">
        <f t="shared" ref="AD53:AD62" si="64">SUM(AB53:AC53)</f>
        <v>6007.962925681145</v>
      </c>
      <c r="AE53" s="551">
        <f>+AD53-'2. Summary of TD'!L67</f>
        <v>0</v>
      </c>
    </row>
    <row r="54" spans="1:31" x14ac:dyDescent="0.25">
      <c r="A54" s="646">
        <f t="shared" si="46"/>
        <v>44681</v>
      </c>
      <c r="B54" s="634">
        <f t="shared" si="58"/>
        <v>-171753.19034787355</v>
      </c>
      <c r="C54" s="621">
        <v>267</v>
      </c>
      <c r="D54" s="621">
        <v>148679.96153846156</v>
      </c>
      <c r="E54" s="672">
        <f t="shared" si="47"/>
        <v>-148412.96153846156</v>
      </c>
      <c r="F54" s="623">
        <f t="shared" si="48"/>
        <v>5.5000000000000003E-4</v>
      </c>
      <c r="G54" s="664">
        <f t="shared" si="49"/>
        <v>-135.27781911440738</v>
      </c>
      <c r="H54" s="664">
        <f t="shared" si="50"/>
        <v>-320301.4297054495</v>
      </c>
      <c r="I54" s="686"/>
      <c r="J54" s="634">
        <f t="shared" si="59"/>
        <v>-37569.932044291621</v>
      </c>
      <c r="K54" s="543">
        <f t="shared" si="51"/>
        <v>7353.2598282958106</v>
      </c>
      <c r="L54" s="621">
        <v>19393.038461538461</v>
      </c>
      <c r="M54" s="543">
        <f t="shared" si="60"/>
        <v>-12039.778633242651</v>
      </c>
      <c r="N54" s="623">
        <f t="shared" si="52"/>
        <v>5.5000000000000003E-4</v>
      </c>
      <c r="O54" s="634">
        <f t="shared" si="61"/>
        <v>-23.974401748502121</v>
      </c>
      <c r="P54" s="634">
        <f t="shared" si="62"/>
        <v>-49633.685079282768</v>
      </c>
      <c r="Q54" s="683"/>
      <c r="R54" s="634">
        <f t="shared" si="63"/>
        <v>0</v>
      </c>
      <c r="S54" s="621">
        <v>0</v>
      </c>
      <c r="T54" s="621">
        <v>0</v>
      </c>
      <c r="U54" s="672">
        <f t="shared" si="53"/>
        <v>0</v>
      </c>
      <c r="V54" s="623">
        <f t="shared" si="54"/>
        <v>5.5000000000000003E-4</v>
      </c>
      <c r="W54" s="664">
        <f t="shared" si="55"/>
        <v>0</v>
      </c>
      <c r="X54" s="664">
        <f t="shared" si="56"/>
        <v>0</v>
      </c>
      <c r="Y54" s="476"/>
      <c r="Z54" s="664">
        <f t="shared" si="57"/>
        <v>-369935.11478473229</v>
      </c>
      <c r="AB54" s="629">
        <f>'2. Summary of TD'!J68</f>
        <v>0</v>
      </c>
      <c r="AC54" s="644">
        <f>'2. Summary of TD'!K68</f>
        <v>7353.2598282958106</v>
      </c>
      <c r="AD54" s="632">
        <f t="shared" si="64"/>
        <v>7353.2598282958106</v>
      </c>
      <c r="AE54" s="551">
        <f>+AD54-'2. Summary of TD'!L68</f>
        <v>0</v>
      </c>
    </row>
    <row r="55" spans="1:31" x14ac:dyDescent="0.25">
      <c r="A55" s="646">
        <f t="shared" si="46"/>
        <v>44712</v>
      </c>
      <c r="B55" s="634">
        <f t="shared" si="58"/>
        <v>-320301.4297054495</v>
      </c>
      <c r="C55" s="621">
        <v>155707</v>
      </c>
      <c r="D55" s="621">
        <v>140419.42307692309</v>
      </c>
      <c r="E55" s="672">
        <f t="shared" si="47"/>
        <v>15287.576923076907</v>
      </c>
      <c r="F55" s="623">
        <f t="shared" si="48"/>
        <v>9.5833333333333328E-4</v>
      </c>
      <c r="G55" s="664">
        <f t="shared" si="49"/>
        <v>-299.63023952541477</v>
      </c>
      <c r="H55" s="664">
        <f t="shared" si="50"/>
        <v>-305313.48302189802</v>
      </c>
      <c r="I55" s="686"/>
      <c r="J55" s="634">
        <f t="shared" si="59"/>
        <v>-49633.685079282768</v>
      </c>
      <c r="K55" s="543">
        <f t="shared" si="51"/>
        <v>7835.5002701336125</v>
      </c>
      <c r="L55" s="621">
        <v>18315.576923076922</v>
      </c>
      <c r="M55" s="543">
        <f t="shared" si="60"/>
        <v>-10480.076652943309</v>
      </c>
      <c r="N55" s="623">
        <f t="shared" si="52"/>
        <v>9.5833333333333328E-4</v>
      </c>
      <c r="O55" s="634">
        <f t="shared" si="61"/>
        <v>-52.58731826384799</v>
      </c>
      <c r="P55" s="634">
        <f t="shared" si="62"/>
        <v>-60166.349050489924</v>
      </c>
      <c r="Q55" s="683"/>
      <c r="R55" s="634">
        <f t="shared" si="63"/>
        <v>0</v>
      </c>
      <c r="S55" s="621">
        <v>0</v>
      </c>
      <c r="T55" s="621">
        <v>0</v>
      </c>
      <c r="U55" s="672">
        <f t="shared" si="53"/>
        <v>0</v>
      </c>
      <c r="V55" s="623">
        <f t="shared" si="54"/>
        <v>9.5833333333333328E-4</v>
      </c>
      <c r="W55" s="664">
        <f t="shared" si="55"/>
        <v>0</v>
      </c>
      <c r="X55" s="664">
        <f t="shared" si="56"/>
        <v>0</v>
      </c>
      <c r="Y55" s="476"/>
      <c r="Z55" s="664">
        <f t="shared" si="57"/>
        <v>-365479.83207238792</v>
      </c>
      <c r="AB55" s="629">
        <f>'2. Summary of TD'!J69</f>
        <v>0</v>
      </c>
      <c r="AC55" s="644">
        <f>'2. Summary of TD'!K69</f>
        <v>7835.5002701336125</v>
      </c>
      <c r="AD55" s="632">
        <f t="shared" si="64"/>
        <v>7835.5002701336125</v>
      </c>
      <c r="AE55" s="551">
        <f>+AD55-'2. Summary of TD'!L69</f>
        <v>0</v>
      </c>
    </row>
    <row r="56" spans="1:31" x14ac:dyDescent="0.25">
      <c r="A56" s="646">
        <f t="shared" si="46"/>
        <v>44742</v>
      </c>
      <c r="B56" s="634">
        <f t="shared" si="58"/>
        <v>-305313.48302189802</v>
      </c>
      <c r="C56" s="621">
        <v>132043</v>
      </c>
      <c r="D56" s="621">
        <v>165000.23076923075</v>
      </c>
      <c r="E56" s="672">
        <f t="shared" si="47"/>
        <v>-32957.230769230751</v>
      </c>
      <c r="F56" s="623">
        <f t="shared" si="48"/>
        <v>1.4250000000000001E-3</v>
      </c>
      <c r="G56" s="664">
        <f t="shared" si="49"/>
        <v>-458.55374022928163</v>
      </c>
      <c r="H56" s="664">
        <f t="shared" si="50"/>
        <v>-338729.26753135805</v>
      </c>
      <c r="I56" s="686"/>
      <c r="J56" s="634">
        <f t="shared" si="59"/>
        <v>-60166.349050489924</v>
      </c>
      <c r="K56" s="543">
        <f t="shared" si="51"/>
        <v>8934.1168835914359</v>
      </c>
      <c r="L56" s="621">
        <v>21521.769230769227</v>
      </c>
      <c r="M56" s="543">
        <f t="shared" si="60"/>
        <v>-12587.652347177791</v>
      </c>
      <c r="N56" s="623">
        <f t="shared" si="52"/>
        <v>1.4250000000000001E-3</v>
      </c>
      <c r="O56" s="634">
        <f t="shared" si="61"/>
        <v>-94.705749694312317</v>
      </c>
      <c r="P56" s="634">
        <f t="shared" si="62"/>
        <v>-72848.707147362031</v>
      </c>
      <c r="Q56" s="683"/>
      <c r="R56" s="634">
        <f t="shared" si="63"/>
        <v>0</v>
      </c>
      <c r="S56" s="621">
        <v>0</v>
      </c>
      <c r="T56" s="621">
        <v>0</v>
      </c>
      <c r="U56" s="672">
        <f t="shared" si="53"/>
        <v>0</v>
      </c>
      <c r="V56" s="623">
        <f t="shared" si="54"/>
        <v>1.4250000000000001E-3</v>
      </c>
      <c r="W56" s="664">
        <f t="shared" si="55"/>
        <v>0</v>
      </c>
      <c r="X56" s="664">
        <f t="shared" si="56"/>
        <v>0</v>
      </c>
      <c r="Y56" s="476"/>
      <c r="Z56" s="664">
        <f t="shared" si="57"/>
        <v>-411577.97467872011</v>
      </c>
      <c r="AB56" s="629">
        <f>'2. Summary of TD'!J70</f>
        <v>0</v>
      </c>
      <c r="AC56" s="644">
        <f>'2. Summary of TD'!K70</f>
        <v>8934.1168835914359</v>
      </c>
      <c r="AD56" s="632">
        <f t="shared" si="64"/>
        <v>8934.1168835914359</v>
      </c>
      <c r="AE56" s="551">
        <f>+AD56-'2. Summary of TD'!L70</f>
        <v>0</v>
      </c>
    </row>
    <row r="57" spans="1:31" x14ac:dyDescent="0.25">
      <c r="A57" s="646">
        <f t="shared" si="46"/>
        <v>44773</v>
      </c>
      <c r="B57" s="634">
        <f t="shared" si="58"/>
        <v>-338729.26753135805</v>
      </c>
      <c r="C57" s="621">
        <v>57828</v>
      </c>
      <c r="D57" s="621">
        <v>187131.53846153847</v>
      </c>
      <c r="E57" s="672">
        <f t="shared" si="47"/>
        <v>-129303.53846153847</v>
      </c>
      <c r="F57" s="623">
        <f t="shared" si="48"/>
        <v>1.9166666666666666E-3</v>
      </c>
      <c r="G57" s="664">
        <f t="shared" si="49"/>
        <v>-773.14698712741063</v>
      </c>
      <c r="H57" s="664">
        <f t="shared" si="50"/>
        <v>-468805.95298002398</v>
      </c>
      <c r="I57" s="686"/>
      <c r="J57" s="634">
        <f t="shared" si="59"/>
        <v>-72848.707147362031</v>
      </c>
      <c r="K57" s="543">
        <f t="shared" si="51"/>
        <v>10663.00480805519</v>
      </c>
      <c r="L57" s="621">
        <v>24408.461538461535</v>
      </c>
      <c r="M57" s="543">
        <f t="shared" si="60"/>
        <v>-13745.456730406346</v>
      </c>
      <c r="N57" s="623">
        <f t="shared" si="52"/>
        <v>1.9166666666666666E-3</v>
      </c>
      <c r="O57" s="634">
        <f t="shared" si="61"/>
        <v>-152.79941806574996</v>
      </c>
      <c r="P57" s="634">
        <f t="shared" si="62"/>
        <v>-86746.963295834139</v>
      </c>
      <c r="Q57" s="683"/>
      <c r="R57" s="634">
        <f t="shared" si="63"/>
        <v>0</v>
      </c>
      <c r="S57" s="621">
        <v>0</v>
      </c>
      <c r="T57" s="621">
        <v>0</v>
      </c>
      <c r="U57" s="672">
        <f t="shared" si="53"/>
        <v>0</v>
      </c>
      <c r="V57" s="623">
        <f t="shared" si="54"/>
        <v>1.9166666666666666E-3</v>
      </c>
      <c r="W57" s="664">
        <f t="shared" si="55"/>
        <v>0</v>
      </c>
      <c r="X57" s="664">
        <f t="shared" si="56"/>
        <v>0</v>
      </c>
      <c r="Y57" s="476"/>
      <c r="Z57" s="664">
        <f t="shared" si="57"/>
        <v>-555552.91627585818</v>
      </c>
      <c r="AB57" s="629">
        <f>'2. Summary of TD'!J71</f>
        <v>0</v>
      </c>
      <c r="AC57" s="644">
        <f>'2. Summary of TD'!K71</f>
        <v>10663.00480805519</v>
      </c>
      <c r="AD57" s="632">
        <f t="shared" si="64"/>
        <v>10663.00480805519</v>
      </c>
      <c r="AE57" s="551">
        <f>+AD57-'2. Summary of TD'!L71</f>
        <v>0</v>
      </c>
    </row>
    <row r="58" spans="1:31" x14ac:dyDescent="0.25">
      <c r="A58" s="646">
        <f t="shared" si="46"/>
        <v>44804</v>
      </c>
      <c r="B58" s="634">
        <f t="shared" si="58"/>
        <v>-468805.95298002398</v>
      </c>
      <c r="C58" s="621">
        <v>57890</v>
      </c>
      <c r="D58" s="621">
        <v>206863.76923076922</v>
      </c>
      <c r="E58" s="672">
        <f t="shared" si="47"/>
        <v>-148973.76923076922</v>
      </c>
      <c r="F58" s="623">
        <f t="shared" si="48"/>
        <v>2.5083333333333333E-3</v>
      </c>
      <c r="G58" s="664">
        <f t="shared" si="49"/>
        <v>-1362.7595343018165</v>
      </c>
      <c r="H58" s="664">
        <f t="shared" si="50"/>
        <v>-619142.48174509499</v>
      </c>
      <c r="I58" s="686"/>
      <c r="J58" s="634">
        <f t="shared" si="59"/>
        <v>-86746.963295834139</v>
      </c>
      <c r="K58" s="543">
        <f t="shared" si="51"/>
        <v>11087.394410591982</v>
      </c>
      <c r="L58" s="621">
        <v>26982.230769230766</v>
      </c>
      <c r="M58" s="543">
        <f t="shared" si="60"/>
        <v>-15894.836358638784</v>
      </c>
      <c r="N58" s="623">
        <f t="shared" si="52"/>
        <v>2.5083333333333333E-3</v>
      </c>
      <c r="O58" s="634">
        <f t="shared" si="61"/>
        <v>-237.5250735335101</v>
      </c>
      <c r="P58" s="634">
        <f t="shared" si="62"/>
        <v>-102879.32472800644</v>
      </c>
      <c r="Q58" s="683"/>
      <c r="R58" s="634">
        <f t="shared" si="63"/>
        <v>0</v>
      </c>
      <c r="S58" s="621">
        <v>0</v>
      </c>
      <c r="T58" s="621">
        <v>0</v>
      </c>
      <c r="U58" s="672">
        <f t="shared" si="53"/>
        <v>0</v>
      </c>
      <c r="V58" s="623">
        <f t="shared" si="54"/>
        <v>2.5083333333333333E-3</v>
      </c>
      <c r="W58" s="664">
        <f t="shared" si="55"/>
        <v>0</v>
      </c>
      <c r="X58" s="664">
        <f t="shared" si="56"/>
        <v>0</v>
      </c>
      <c r="Y58" s="476"/>
      <c r="Z58" s="664">
        <f t="shared" si="57"/>
        <v>-722021.80647310149</v>
      </c>
      <c r="AB58" s="629">
        <f>'2. Summary of TD'!J72</f>
        <v>0</v>
      </c>
      <c r="AC58" s="644">
        <f>'2. Summary of TD'!K72</f>
        <v>11087.394410591982</v>
      </c>
      <c r="AD58" s="632">
        <f t="shared" si="64"/>
        <v>11087.394410591982</v>
      </c>
      <c r="AE58" s="551">
        <f>+AD58-'2. Summary of TD'!L72</f>
        <v>0</v>
      </c>
    </row>
    <row r="59" spans="1:31" x14ac:dyDescent="0.25">
      <c r="A59" s="646">
        <f t="shared" si="46"/>
        <v>44834</v>
      </c>
      <c r="B59" s="634">
        <f t="shared" si="58"/>
        <v>-619142.48174509499</v>
      </c>
      <c r="C59" s="621">
        <v>60967</v>
      </c>
      <c r="D59" s="621">
        <v>182586.38461538462</v>
      </c>
      <c r="E59" s="672">
        <f t="shared" si="47"/>
        <v>-121619.38461538462</v>
      </c>
      <c r="F59" s="623">
        <f t="shared" si="48"/>
        <v>2.7333333333333337E-3</v>
      </c>
      <c r="G59" s="664">
        <f t="shared" si="49"/>
        <v>-1858.535942410952</v>
      </c>
      <c r="H59" s="664">
        <f t="shared" si="50"/>
        <v>-742620.40230289055</v>
      </c>
      <c r="I59" s="686"/>
      <c r="J59" s="634">
        <f t="shared" si="59"/>
        <v>-102879.32472800644</v>
      </c>
      <c r="K59" s="543">
        <f t="shared" si="51"/>
        <v>11890.562680200987</v>
      </c>
      <c r="L59" s="621">
        <v>23815.615384615387</v>
      </c>
      <c r="M59" s="543">
        <f t="shared" si="60"/>
        <v>-11925.0527044144</v>
      </c>
      <c r="N59" s="623">
        <f t="shared" si="52"/>
        <v>2.7333333333333337E-3</v>
      </c>
      <c r="O59" s="634">
        <f t="shared" si="61"/>
        <v>-297.50105961925067</v>
      </c>
      <c r="P59" s="634">
        <f t="shared" si="62"/>
        <v>-115101.87849204008</v>
      </c>
      <c r="Q59" s="683"/>
      <c r="R59" s="634">
        <f t="shared" si="63"/>
        <v>0</v>
      </c>
      <c r="S59" s="621">
        <v>0</v>
      </c>
      <c r="T59" s="621">
        <v>0</v>
      </c>
      <c r="U59" s="672">
        <f t="shared" si="53"/>
        <v>0</v>
      </c>
      <c r="V59" s="623">
        <f t="shared" si="54"/>
        <v>2.7333333333333337E-3</v>
      </c>
      <c r="W59" s="664">
        <f t="shared" si="55"/>
        <v>0</v>
      </c>
      <c r="X59" s="664">
        <f t="shared" si="56"/>
        <v>0</v>
      </c>
      <c r="Y59" s="476"/>
      <c r="Z59" s="664">
        <f t="shared" si="57"/>
        <v>-857722.28079493064</v>
      </c>
      <c r="AB59" s="629">
        <f>'2. Summary of TD'!J73</f>
        <v>0</v>
      </c>
      <c r="AC59" s="644">
        <f>'2. Summary of TD'!K73</f>
        <v>11890.562680200987</v>
      </c>
      <c r="AD59" s="632">
        <f t="shared" si="64"/>
        <v>11890.562680200987</v>
      </c>
      <c r="AE59" s="551">
        <f>+AD59-'2. Summary of TD'!L73</f>
        <v>0</v>
      </c>
    </row>
    <row r="60" spans="1:31" x14ac:dyDescent="0.25">
      <c r="A60" s="646">
        <f t="shared" si="46"/>
        <v>44865</v>
      </c>
      <c r="B60" s="634">
        <f t="shared" si="58"/>
        <v>-742620.40230289055</v>
      </c>
      <c r="C60" s="621">
        <v>56222</v>
      </c>
      <c r="D60" s="621">
        <v>156212.46153846153</v>
      </c>
      <c r="E60" s="672">
        <f t="shared" si="47"/>
        <v>-99990.461538461532</v>
      </c>
      <c r="F60" s="623">
        <f t="shared" si="48"/>
        <v>3.3249999999999998E-3</v>
      </c>
      <c r="G60" s="664">
        <f t="shared" si="49"/>
        <v>-2635.4469799648032</v>
      </c>
      <c r="H60" s="664">
        <f t="shared" si="50"/>
        <v>-845246.3108213169</v>
      </c>
      <c r="I60" s="686"/>
      <c r="J60" s="634">
        <f t="shared" si="59"/>
        <v>-115101.87849204008</v>
      </c>
      <c r="K60" s="543">
        <f t="shared" si="51"/>
        <v>14059.185441894957</v>
      </c>
      <c r="L60" s="621">
        <v>20375.538461538457</v>
      </c>
      <c r="M60" s="543">
        <f t="shared" si="60"/>
        <v>-6316.3530196435004</v>
      </c>
      <c r="N60" s="623">
        <f t="shared" si="52"/>
        <v>3.3249999999999998E-3</v>
      </c>
      <c r="O60" s="634">
        <f t="shared" si="61"/>
        <v>-393.21468288119053</v>
      </c>
      <c r="P60" s="634">
        <f t="shared" si="62"/>
        <v>-121811.44619456478</v>
      </c>
      <c r="Q60" s="683"/>
      <c r="R60" s="634">
        <f t="shared" si="63"/>
        <v>0</v>
      </c>
      <c r="S60" s="621">
        <v>0</v>
      </c>
      <c r="T60" s="621">
        <v>0</v>
      </c>
      <c r="U60" s="672">
        <f t="shared" si="53"/>
        <v>0</v>
      </c>
      <c r="V60" s="623">
        <f t="shared" si="54"/>
        <v>3.3249999999999998E-3</v>
      </c>
      <c r="W60" s="664">
        <f t="shared" si="55"/>
        <v>0</v>
      </c>
      <c r="X60" s="664">
        <f t="shared" si="56"/>
        <v>0</v>
      </c>
      <c r="Y60" s="476"/>
      <c r="Z60" s="664">
        <f t="shared" si="57"/>
        <v>-967057.75701588171</v>
      </c>
      <c r="AB60" s="629">
        <f>'2. Summary of TD'!J74</f>
        <v>0</v>
      </c>
      <c r="AC60" s="644">
        <f>'2. Summary of TD'!K74</f>
        <v>14059.185441894957</v>
      </c>
      <c r="AD60" s="632">
        <f t="shared" si="64"/>
        <v>14059.185441894957</v>
      </c>
      <c r="AE60" s="551">
        <f>+AD60-'2. Summary of TD'!L74</f>
        <v>0</v>
      </c>
    </row>
    <row r="61" spans="1:31" x14ac:dyDescent="0.25">
      <c r="A61" s="646">
        <f t="shared" si="46"/>
        <v>44895</v>
      </c>
      <c r="B61" s="634">
        <f t="shared" si="58"/>
        <v>-845246.3108213169</v>
      </c>
      <c r="C61" s="621">
        <v>31192</v>
      </c>
      <c r="D61" s="621">
        <v>141170.46153846156</v>
      </c>
      <c r="E61" s="672">
        <f t="shared" si="47"/>
        <v>-109978.46153846156</v>
      </c>
      <c r="F61" s="623">
        <f t="shared" si="48"/>
        <v>3.8333333333333331E-3</v>
      </c>
      <c r="G61" s="664">
        <f t="shared" si="49"/>
        <v>-3450.9029094304324</v>
      </c>
      <c r="H61" s="664">
        <f t="shared" si="50"/>
        <v>-958675.67526920885</v>
      </c>
      <c r="I61" s="686"/>
      <c r="J61" s="634">
        <f t="shared" si="59"/>
        <v>-121811.44619456478</v>
      </c>
      <c r="K61" s="543">
        <f t="shared" si="51"/>
        <v>15193.915294837901</v>
      </c>
      <c r="L61" s="621">
        <v>18413.538461538461</v>
      </c>
      <c r="M61" s="543">
        <f t="shared" si="60"/>
        <v>-3219.6231667005595</v>
      </c>
      <c r="N61" s="623">
        <f t="shared" si="52"/>
        <v>3.8333333333333331E-3</v>
      </c>
      <c r="O61" s="634">
        <f t="shared" si="61"/>
        <v>-473.1148214820077</v>
      </c>
      <c r="P61" s="634">
        <f t="shared" si="62"/>
        <v>-125504.18418274735</v>
      </c>
      <c r="Q61" s="683"/>
      <c r="R61" s="634">
        <f t="shared" si="63"/>
        <v>0</v>
      </c>
      <c r="S61" s="621">
        <v>0</v>
      </c>
      <c r="T61" s="621">
        <v>0</v>
      </c>
      <c r="U61" s="672">
        <f t="shared" si="53"/>
        <v>0</v>
      </c>
      <c r="V61" s="623">
        <f t="shared" si="54"/>
        <v>3.8333333333333331E-3</v>
      </c>
      <c r="W61" s="664">
        <f t="shared" si="55"/>
        <v>0</v>
      </c>
      <c r="X61" s="664">
        <f t="shared" si="56"/>
        <v>0</v>
      </c>
      <c r="Y61" s="476"/>
      <c r="Z61" s="664">
        <f t="shared" si="57"/>
        <v>-1084179.8594519561</v>
      </c>
      <c r="AB61" s="629">
        <f>'2. Summary of TD'!J75</f>
        <v>0</v>
      </c>
      <c r="AC61" s="644">
        <f>'2. Summary of TD'!K75</f>
        <v>15193.915294837901</v>
      </c>
      <c r="AD61" s="632">
        <f t="shared" si="64"/>
        <v>15193.915294837901</v>
      </c>
      <c r="AE61" s="551">
        <f>+AD61-'2. Summary of TD'!L75</f>
        <v>0</v>
      </c>
    </row>
    <row r="62" spans="1:31" x14ac:dyDescent="0.25">
      <c r="A62" s="646">
        <f t="shared" si="46"/>
        <v>44926</v>
      </c>
      <c r="B62" s="634">
        <f t="shared" si="58"/>
        <v>-958675.67526920885</v>
      </c>
      <c r="C62" s="621">
        <v>208951</v>
      </c>
      <c r="D62" s="621">
        <v>157373.07692307694</v>
      </c>
      <c r="E62" s="672">
        <f t="shared" si="47"/>
        <v>51577.923076923063</v>
      </c>
      <c r="F62" s="623">
        <f t="shared" si="48"/>
        <v>4.1250000000000002E-3</v>
      </c>
      <c r="G62" s="664">
        <f t="shared" si="49"/>
        <v>-3848.1576941393328</v>
      </c>
      <c r="H62" s="664">
        <f t="shared" si="50"/>
        <v>-910945.90988642513</v>
      </c>
      <c r="I62" s="686"/>
      <c r="J62" s="634">
        <f t="shared" si="59"/>
        <v>-125504.18418274735</v>
      </c>
      <c r="K62" s="543">
        <f t="shared" si="51"/>
        <v>18129.923023772426</v>
      </c>
      <c r="L62" s="621">
        <v>20526.923076923078</v>
      </c>
      <c r="M62" s="543">
        <f t="shared" si="60"/>
        <v>-2397.0000531506521</v>
      </c>
      <c r="N62" s="623">
        <f t="shared" si="52"/>
        <v>4.1250000000000002E-3</v>
      </c>
      <c r="O62" s="634">
        <f t="shared" si="61"/>
        <v>-522.64857236345608</v>
      </c>
      <c r="P62" s="634">
        <f t="shared" si="62"/>
        <v>-128423.83280826146</v>
      </c>
      <c r="Q62" s="683"/>
      <c r="R62" s="634">
        <f t="shared" si="63"/>
        <v>0</v>
      </c>
      <c r="S62" s="621">
        <v>0</v>
      </c>
      <c r="T62" s="621">
        <v>0</v>
      </c>
      <c r="U62" s="672">
        <f t="shared" si="53"/>
        <v>0</v>
      </c>
      <c r="V62" s="623">
        <f t="shared" si="54"/>
        <v>4.1250000000000002E-3</v>
      </c>
      <c r="W62" s="664">
        <f t="shared" si="55"/>
        <v>0</v>
      </c>
      <c r="X62" s="664">
        <f t="shared" si="56"/>
        <v>0</v>
      </c>
      <c r="Y62" s="476"/>
      <c r="Z62" s="664">
        <f t="shared" si="57"/>
        <v>-1039369.7426946866</v>
      </c>
      <c r="AB62" s="642">
        <f>'2. Summary of TD'!J76</f>
        <v>459.67259473182071</v>
      </c>
      <c r="AC62" s="643">
        <f>'2. Summary of TD'!K76</f>
        <v>17670.250429040607</v>
      </c>
      <c r="AD62" s="627">
        <f t="shared" si="64"/>
        <v>18129.923023772426</v>
      </c>
      <c r="AE62" s="551">
        <f>+AD62-'2. Summary of TD'!L76</f>
        <v>0</v>
      </c>
    </row>
    <row r="63" spans="1:31" x14ac:dyDescent="0.25">
      <c r="A63" s="646">
        <v>44927</v>
      </c>
      <c r="B63" s="638">
        <f t="shared" si="58"/>
        <v>-910945.90988642513</v>
      </c>
      <c r="C63" s="540">
        <v>8915.512345605428</v>
      </c>
      <c r="D63" s="540">
        <v>178190.43000000002</v>
      </c>
      <c r="E63" s="649">
        <f t="shared" si="47"/>
        <v>-169274.91765439458</v>
      </c>
      <c r="F63" s="618">
        <f t="shared" si="48"/>
        <v>4.1075833333333337E-3</v>
      </c>
      <c r="G63" s="328">
        <f t="shared" si="49"/>
        <v>-4089.4416522719307</v>
      </c>
      <c r="H63" s="328">
        <f t="shared" si="50"/>
        <v>-1084310.2691930917</v>
      </c>
      <c r="I63" s="686"/>
      <c r="J63" s="638">
        <f t="shared" si="59"/>
        <v>-128423.83280826146</v>
      </c>
      <c r="K63" s="548">
        <f>AD63</f>
        <v>20225.204883267681</v>
      </c>
      <c r="L63" s="540">
        <v>23242.230000000003</v>
      </c>
      <c r="M63" s="548">
        <f t="shared" si="60"/>
        <v>-3017.0251167323222</v>
      </c>
      <c r="N63" s="618">
        <f t="shared" si="52"/>
        <v>4.1075833333333337E-3</v>
      </c>
      <c r="O63" s="638">
        <f t="shared" si="61"/>
        <v>-533.7079362888702</v>
      </c>
      <c r="P63" s="638">
        <f t="shared" si="62"/>
        <v>-131974.56586128267</v>
      </c>
      <c r="Q63" s="682"/>
      <c r="R63" s="638">
        <f t="shared" si="63"/>
        <v>0</v>
      </c>
      <c r="S63" s="540">
        <v>0</v>
      </c>
      <c r="T63" s="540">
        <v>0</v>
      </c>
      <c r="U63" s="649">
        <f t="shared" si="53"/>
        <v>0</v>
      </c>
      <c r="V63" s="618">
        <f t="shared" si="54"/>
        <v>4.1075833333333337E-3</v>
      </c>
      <c r="W63" s="328">
        <f t="shared" si="55"/>
        <v>0</v>
      </c>
      <c r="X63" s="328">
        <f t="shared" si="56"/>
        <v>0</v>
      </c>
      <c r="Y63" s="56"/>
      <c r="Z63" s="328">
        <f t="shared" si="57"/>
        <v>-1216284.8350543743</v>
      </c>
      <c r="AB63" s="551">
        <f>'2. Summary of TD'!J77</f>
        <v>956.82679366444825</v>
      </c>
      <c r="AC63" s="551">
        <f>'2. Summary of TD'!K77</f>
        <v>19268.378089603233</v>
      </c>
      <c r="AD63" s="551">
        <f>SUM(AB63:AC63)</f>
        <v>20225.204883267681</v>
      </c>
      <c r="AE63" s="551">
        <f>+AD63-'2. Summary of TD'!L77</f>
        <v>0</v>
      </c>
    </row>
    <row r="64" spans="1:31" x14ac:dyDescent="0.25">
      <c r="A64" s="646">
        <f t="shared" ref="A64:A86" si="65">EOMONTH(A63,1)</f>
        <v>44985</v>
      </c>
      <c r="B64" s="644">
        <f t="shared" si="58"/>
        <v>-1084310.2691930917</v>
      </c>
      <c r="C64" s="542">
        <v>44793.961630414211</v>
      </c>
      <c r="D64" s="542">
        <v>159141</v>
      </c>
      <c r="E64" s="667">
        <f t="shared" si="47"/>
        <v>-114347.03836958579</v>
      </c>
      <c r="F64" s="620">
        <f t="shared" si="48"/>
        <v>4.1909166666666666E-3</v>
      </c>
      <c r="G64" s="665">
        <f t="shared" si="49"/>
        <v>-4783.8634334426824</v>
      </c>
      <c r="H64" s="665">
        <f t="shared" si="50"/>
        <v>-1203441.1709961202</v>
      </c>
      <c r="I64" s="686"/>
      <c r="J64" s="644">
        <f t="shared" si="59"/>
        <v>-131974.56586128267</v>
      </c>
      <c r="K64" s="650">
        <f>AD64</f>
        <v>17751.033114063994</v>
      </c>
      <c r="L64" s="542">
        <v>20757.888461538463</v>
      </c>
      <c r="M64" s="650">
        <f t="shared" si="60"/>
        <v>-3006.8553474744695</v>
      </c>
      <c r="N64" s="620">
        <f t="shared" si="52"/>
        <v>4.1909166666666666E-3</v>
      </c>
      <c r="O64" s="644">
        <f t="shared" si="61"/>
        <v>-559.3951477391405</v>
      </c>
      <c r="P64" s="644">
        <f t="shared" si="62"/>
        <v>-135540.8163564963</v>
      </c>
      <c r="Q64" s="683"/>
      <c r="R64" s="644">
        <f t="shared" si="63"/>
        <v>0</v>
      </c>
      <c r="S64" s="542">
        <v>0</v>
      </c>
      <c r="T64" s="542">
        <v>0</v>
      </c>
      <c r="U64" s="667">
        <f t="shared" si="53"/>
        <v>0</v>
      </c>
      <c r="V64" s="620">
        <f t="shared" si="54"/>
        <v>4.1909166666666666E-3</v>
      </c>
      <c r="W64" s="665">
        <f t="shared" si="55"/>
        <v>0</v>
      </c>
      <c r="X64" s="665">
        <f t="shared" si="56"/>
        <v>0</v>
      </c>
      <c r="Y64" s="476"/>
      <c r="Z64" s="665">
        <f t="shared" si="57"/>
        <v>-1338981.9873526166</v>
      </c>
      <c r="AB64" s="551">
        <f>'2. Summary of TD'!J78</f>
        <v>899.14684867064523</v>
      </c>
      <c r="AC64" s="551">
        <f>'2. Summary of TD'!K78</f>
        <v>16851.88626539335</v>
      </c>
      <c r="AD64" s="551">
        <f>SUM(AB64:AC64)</f>
        <v>17751.033114063994</v>
      </c>
      <c r="AE64" s="551">
        <f>+AD64-'2. Summary of TD'!L78</f>
        <v>0</v>
      </c>
    </row>
    <row r="65" spans="1:31" x14ac:dyDescent="0.25">
      <c r="A65" s="646">
        <f t="shared" si="65"/>
        <v>45016</v>
      </c>
      <c r="B65" s="644">
        <f t="shared" si="58"/>
        <v>-1203441.1709961202</v>
      </c>
      <c r="C65" s="542">
        <v>101844.27874198355</v>
      </c>
      <c r="D65" s="542">
        <v>145682</v>
      </c>
      <c r="E65" s="667">
        <f t="shared" si="47"/>
        <v>-43837.721258016449</v>
      </c>
      <c r="F65" s="620">
        <f t="shared" si="48"/>
        <v>4.3408333333333328E-3</v>
      </c>
      <c r="G65" s="665">
        <f t="shared" si="49"/>
        <v>-5319.0836706127438</v>
      </c>
      <c r="H65" s="665">
        <f t="shared" si="50"/>
        <v>-1252597.9759247494</v>
      </c>
      <c r="I65" s="686"/>
      <c r="J65" s="644">
        <f t="shared" si="59"/>
        <v>-135540.8163564963</v>
      </c>
      <c r="K65" s="650">
        <f t="shared" ref="K65:K74" si="66">AD65</f>
        <v>19319.762019148802</v>
      </c>
      <c r="L65" s="542">
        <v>19001.855769230766</v>
      </c>
      <c r="M65" s="650">
        <f t="shared" si="60"/>
        <v>317.90624991803634</v>
      </c>
      <c r="N65" s="620">
        <f t="shared" si="52"/>
        <v>4.3408333333333328E-3</v>
      </c>
      <c r="O65" s="644">
        <f t="shared" si="61"/>
        <v>-587.6701046442314</v>
      </c>
      <c r="P65" s="644">
        <f t="shared" si="62"/>
        <v>-135810.58021122249</v>
      </c>
      <c r="Q65" s="683"/>
      <c r="R65" s="644">
        <f t="shared" si="63"/>
        <v>0</v>
      </c>
      <c r="S65" s="542">
        <v>0</v>
      </c>
      <c r="T65" s="542">
        <v>0</v>
      </c>
      <c r="U65" s="667">
        <f t="shared" si="53"/>
        <v>0</v>
      </c>
      <c r="V65" s="620">
        <f t="shared" si="54"/>
        <v>4.3408333333333328E-3</v>
      </c>
      <c r="W65" s="665">
        <f t="shared" si="55"/>
        <v>0</v>
      </c>
      <c r="X65" s="665">
        <f t="shared" si="56"/>
        <v>0</v>
      </c>
      <c r="Y65" s="476"/>
      <c r="Z65" s="665">
        <f t="shared" si="57"/>
        <v>-1388408.5561359718</v>
      </c>
      <c r="AB65" s="551">
        <f>'2. Summary of TD'!J79</f>
        <v>849.19206237137712</v>
      </c>
      <c r="AC65" s="551">
        <f>'2. Summary of TD'!K79</f>
        <v>18470.569956777425</v>
      </c>
      <c r="AD65" s="551">
        <f t="shared" ref="AD65:AD74" si="67">SUM(AB65:AC65)</f>
        <v>19319.762019148802</v>
      </c>
      <c r="AE65" s="551">
        <f>+AD65-'2. Summary of TD'!L79</f>
        <v>0</v>
      </c>
    </row>
    <row r="66" spans="1:31" x14ac:dyDescent="0.25">
      <c r="A66" s="646">
        <f t="shared" si="65"/>
        <v>45046</v>
      </c>
      <c r="B66" s="644">
        <f t="shared" si="58"/>
        <v>-1252597.9759247494</v>
      </c>
      <c r="C66" s="542">
        <v>101723.59629544054</v>
      </c>
      <c r="D66" s="542">
        <v>149994.78307692308</v>
      </c>
      <c r="E66" s="667">
        <f t="shared" si="47"/>
        <v>-48271.186781482538</v>
      </c>
      <c r="F66" s="620">
        <f t="shared" si="48"/>
        <v>4.4479999999999997E-3</v>
      </c>
      <c r="G66" s="665">
        <f t="shared" si="49"/>
        <v>-5678.9109163153025</v>
      </c>
      <c r="H66" s="665">
        <f t="shared" si="50"/>
        <v>-1306548.0736225473</v>
      </c>
      <c r="I66" s="686"/>
      <c r="J66" s="644">
        <f t="shared" si="59"/>
        <v>-135810.58021122249</v>
      </c>
      <c r="K66" s="650">
        <f t="shared" si="66"/>
        <v>18275.890622196901</v>
      </c>
      <c r="L66" s="542">
        <v>19564.536923076921</v>
      </c>
      <c r="M66" s="650">
        <f t="shared" si="60"/>
        <v>-1288.6463008800201</v>
      </c>
      <c r="N66" s="620">
        <f t="shared" si="52"/>
        <v>4.4479999999999997E-3</v>
      </c>
      <c r="O66" s="644">
        <f t="shared" si="61"/>
        <v>-606.95141015267473</v>
      </c>
      <c r="P66" s="644">
        <f t="shared" si="62"/>
        <v>-137706.17792225521</v>
      </c>
      <c r="Q66" s="683"/>
      <c r="R66" s="644">
        <f t="shared" si="63"/>
        <v>0</v>
      </c>
      <c r="S66" s="542">
        <v>0</v>
      </c>
      <c r="T66" s="542">
        <v>0</v>
      </c>
      <c r="U66" s="667">
        <f t="shared" si="53"/>
        <v>0</v>
      </c>
      <c r="V66" s="620">
        <f t="shared" si="54"/>
        <v>4.4479999999999997E-3</v>
      </c>
      <c r="W66" s="665">
        <f t="shared" si="55"/>
        <v>0</v>
      </c>
      <c r="X66" s="665">
        <f t="shared" si="56"/>
        <v>0</v>
      </c>
      <c r="Y66" s="476"/>
      <c r="Z66" s="665">
        <f t="shared" si="57"/>
        <v>-1444254.2515448024</v>
      </c>
      <c r="AB66" s="551">
        <f>'2. Summary of TD'!J80</f>
        <v>656.61743483917917</v>
      </c>
      <c r="AC66" s="551">
        <f>'2. Summary of TD'!K80</f>
        <v>17619.273187357721</v>
      </c>
      <c r="AD66" s="551">
        <f t="shared" si="67"/>
        <v>18275.890622196901</v>
      </c>
      <c r="AE66" s="551">
        <f>+AD66-'2. Summary of TD'!L80</f>
        <v>0</v>
      </c>
    </row>
    <row r="67" spans="1:31" x14ac:dyDescent="0.25">
      <c r="A67" s="646">
        <f t="shared" si="65"/>
        <v>45077</v>
      </c>
      <c r="B67" s="644">
        <f t="shared" si="58"/>
        <v>-1306548.0736225473</v>
      </c>
      <c r="C67" s="542">
        <v>78250.379193921952</v>
      </c>
      <c r="D67" s="542">
        <v>135435</v>
      </c>
      <c r="E67" s="667">
        <f t="shared" si="47"/>
        <v>-57184.620806078048</v>
      </c>
      <c r="F67" s="620">
        <f t="shared" si="48"/>
        <v>4.5473333333333329E-3</v>
      </c>
      <c r="G67" s="665">
        <f t="shared" si="49"/>
        <v>-6071.3283729590157</v>
      </c>
      <c r="H67" s="665">
        <f t="shared" si="50"/>
        <v>-1369804.0228015843</v>
      </c>
      <c r="I67" s="686"/>
      <c r="J67" s="644">
        <f t="shared" si="59"/>
        <v>-137706.17792225521</v>
      </c>
      <c r="K67" s="650">
        <f t="shared" si="66"/>
        <v>18431.613741871828</v>
      </c>
      <c r="L67" s="542">
        <v>17665.528846153848</v>
      </c>
      <c r="M67" s="650">
        <f t="shared" si="60"/>
        <v>766.08489571798054</v>
      </c>
      <c r="N67" s="620">
        <f t="shared" si="52"/>
        <v>4.5473333333333329E-3</v>
      </c>
      <c r="O67" s="644">
        <f t="shared" si="61"/>
        <v>-624.45407138057101</v>
      </c>
      <c r="P67" s="644">
        <f t="shared" si="62"/>
        <v>-137564.54709791782</v>
      </c>
      <c r="Q67" s="683"/>
      <c r="R67" s="644">
        <f t="shared" si="63"/>
        <v>0</v>
      </c>
      <c r="S67" s="542">
        <v>0</v>
      </c>
      <c r="T67" s="542">
        <v>0</v>
      </c>
      <c r="U67" s="667">
        <f t="shared" si="53"/>
        <v>0</v>
      </c>
      <c r="V67" s="620">
        <f t="shared" si="54"/>
        <v>4.5473333333333329E-3</v>
      </c>
      <c r="W67" s="665">
        <f t="shared" si="55"/>
        <v>0</v>
      </c>
      <c r="X67" s="665">
        <f t="shared" si="56"/>
        <v>0</v>
      </c>
      <c r="Y67" s="476"/>
      <c r="Z67" s="665">
        <f t="shared" si="57"/>
        <v>-1507368.5698995022</v>
      </c>
      <c r="AB67" s="551">
        <f>'2. Summary of TD'!J81</f>
        <v>1112.4652980359019</v>
      </c>
      <c r="AC67" s="551">
        <f>'2. Summary of TD'!K81</f>
        <v>17319.148443835926</v>
      </c>
      <c r="AD67" s="551">
        <f t="shared" si="67"/>
        <v>18431.613741871828</v>
      </c>
      <c r="AE67" s="551">
        <f>+AD67-'2. Summary of TD'!L81</f>
        <v>0</v>
      </c>
    </row>
    <row r="68" spans="1:31" x14ac:dyDescent="0.25">
      <c r="A68" s="646">
        <f t="shared" si="65"/>
        <v>45107</v>
      </c>
      <c r="B68" s="644">
        <f t="shared" si="58"/>
        <v>-1369804.0228015843</v>
      </c>
      <c r="C68" s="542">
        <v>80562.992453676852</v>
      </c>
      <c r="D68" s="542">
        <v>165996.54653846149</v>
      </c>
      <c r="E68" s="667">
        <f t="shared" si="47"/>
        <v>-85433.554084784642</v>
      </c>
      <c r="F68" s="620">
        <f t="shared" si="48"/>
        <v>4.6470833333333338E-3</v>
      </c>
      <c r="G68" s="665">
        <f t="shared" si="49"/>
        <v>-6564.1018669416144</v>
      </c>
      <c r="H68" s="665">
        <f t="shared" si="50"/>
        <v>-1461801.6787533106</v>
      </c>
      <c r="I68" s="686"/>
      <c r="J68" s="644">
        <f t="shared" si="59"/>
        <v>-137564.54709791782</v>
      </c>
      <c r="K68" s="650">
        <f t="shared" si="66"/>
        <v>19292.7073102262</v>
      </c>
      <c r="L68" s="542">
        <v>21651.723461538455</v>
      </c>
      <c r="M68" s="650">
        <f t="shared" si="60"/>
        <v>-2359.0161513122548</v>
      </c>
      <c r="N68" s="620">
        <f t="shared" si="52"/>
        <v>4.6470833333333338E-3</v>
      </c>
      <c r="O68" s="644">
        <f t="shared" si="61"/>
        <v>-644.755186396196</v>
      </c>
      <c r="P68" s="644">
        <f t="shared" si="62"/>
        <v>-140568.31843562625</v>
      </c>
      <c r="Q68" s="683"/>
      <c r="R68" s="644">
        <f t="shared" si="63"/>
        <v>0</v>
      </c>
      <c r="S68" s="542">
        <v>0</v>
      </c>
      <c r="T68" s="542">
        <v>0</v>
      </c>
      <c r="U68" s="667">
        <f t="shared" si="53"/>
        <v>0</v>
      </c>
      <c r="V68" s="620">
        <f t="shared" si="54"/>
        <v>4.6470833333333338E-3</v>
      </c>
      <c r="W68" s="665">
        <f t="shared" si="55"/>
        <v>0</v>
      </c>
      <c r="X68" s="665">
        <f t="shared" si="56"/>
        <v>0</v>
      </c>
      <c r="Y68" s="476"/>
      <c r="Z68" s="665">
        <f t="shared" si="57"/>
        <v>-1602369.9971889369</v>
      </c>
      <c r="AB68" s="551">
        <f>'2. Summary of TD'!J82</f>
        <v>3561.9962082475959</v>
      </c>
      <c r="AC68" s="551">
        <f>'2. Summary of TD'!K82</f>
        <v>15730.711101978603</v>
      </c>
      <c r="AD68" s="551">
        <f t="shared" si="67"/>
        <v>19292.7073102262</v>
      </c>
      <c r="AE68" s="551">
        <f>+AD68-'2. Summary of TD'!L82</f>
        <v>0</v>
      </c>
    </row>
    <row r="69" spans="1:31" x14ac:dyDescent="0.25">
      <c r="A69" s="646">
        <f t="shared" si="65"/>
        <v>45138</v>
      </c>
      <c r="B69" s="644">
        <f t="shared" si="58"/>
        <v>-1461801.6787533106</v>
      </c>
      <c r="C69" s="542">
        <v>82453.791510235387</v>
      </c>
      <c r="D69" s="542">
        <v>120640</v>
      </c>
      <c r="E69" s="667">
        <f t="shared" si="47"/>
        <v>-38186.208489764613</v>
      </c>
      <c r="F69" s="620">
        <f t="shared" si="48"/>
        <v>4.68425E-3</v>
      </c>
      <c r="G69" s="665">
        <f t="shared" si="49"/>
        <v>-6936.8813872592846</v>
      </c>
      <c r="H69" s="665">
        <f t="shared" si="50"/>
        <v>-1506924.7686303346</v>
      </c>
      <c r="I69" s="686"/>
      <c r="J69" s="644">
        <f t="shared" si="59"/>
        <v>-140568.31843562625</v>
      </c>
      <c r="K69" s="650">
        <f t="shared" si="66"/>
        <v>21484.199873951999</v>
      </c>
      <c r="L69" s="542">
        <v>49829.98753846153</v>
      </c>
      <c r="M69" s="650">
        <f t="shared" si="60"/>
        <v>-28345.787664509531</v>
      </c>
      <c r="N69" s="620">
        <f t="shared" si="52"/>
        <v>4.68425E-3</v>
      </c>
      <c r="O69" s="644">
        <f t="shared" si="61"/>
        <v>-724.84652356582171</v>
      </c>
      <c r="P69" s="644">
        <f t="shared" si="62"/>
        <v>-169638.9526237016</v>
      </c>
      <c r="Q69" s="683"/>
      <c r="R69" s="644">
        <f t="shared" si="63"/>
        <v>0</v>
      </c>
      <c r="S69" s="542">
        <v>0</v>
      </c>
      <c r="T69" s="542">
        <v>0</v>
      </c>
      <c r="U69" s="667">
        <f t="shared" si="53"/>
        <v>0</v>
      </c>
      <c r="V69" s="620">
        <f t="shared" si="54"/>
        <v>4.68425E-3</v>
      </c>
      <c r="W69" s="665">
        <f t="shared" si="55"/>
        <v>0</v>
      </c>
      <c r="X69" s="665">
        <f t="shared" si="56"/>
        <v>0</v>
      </c>
      <c r="Y69" s="476"/>
      <c r="Z69" s="665">
        <f t="shared" si="57"/>
        <v>-1676563.7212540363</v>
      </c>
      <c r="AB69" s="551">
        <f>'2. Summary of TD'!J83</f>
        <v>5056.2372703778801</v>
      </c>
      <c r="AC69" s="551">
        <f>'2. Summary of TD'!K83</f>
        <v>16427.96260357412</v>
      </c>
      <c r="AD69" s="551">
        <f t="shared" si="67"/>
        <v>21484.199873951999</v>
      </c>
      <c r="AE69" s="551">
        <f>+AD69-'2. Summary of TD'!L83</f>
        <v>0</v>
      </c>
    </row>
    <row r="70" spans="1:31" x14ac:dyDescent="0.25">
      <c r="A70" s="646">
        <f t="shared" si="65"/>
        <v>45169</v>
      </c>
      <c r="B70" s="644">
        <f t="shared" si="58"/>
        <v>-1506924.7686303346</v>
      </c>
      <c r="C70" s="542">
        <v>42080.105963903741</v>
      </c>
      <c r="D70" s="542">
        <v>75895.987384615393</v>
      </c>
      <c r="E70" s="667">
        <f t="shared" si="47"/>
        <v>-33815.881420711652</v>
      </c>
      <c r="F70" s="620">
        <f t="shared" si="48"/>
        <v>4.8268333333333331E-3</v>
      </c>
      <c r="G70" s="665">
        <f t="shared" si="49"/>
        <v>-7355.2865158692885</v>
      </c>
      <c r="H70" s="665">
        <f t="shared" si="50"/>
        <v>-1548095.9365669156</v>
      </c>
      <c r="I70" s="686"/>
      <c r="J70" s="644">
        <f t="shared" si="59"/>
        <v>-169638.9526237016</v>
      </c>
      <c r="K70" s="650">
        <f t="shared" si="66"/>
        <v>22969.651313422499</v>
      </c>
      <c r="L70" s="542">
        <v>31348.342615384619</v>
      </c>
      <c r="M70" s="650">
        <f t="shared" si="60"/>
        <v>-8378.6913019621206</v>
      </c>
      <c r="N70" s="620">
        <f t="shared" si="52"/>
        <v>4.8268333333333331E-3</v>
      </c>
      <c r="O70" s="644">
        <f t="shared" si="61"/>
        <v>-839.04022438884738</v>
      </c>
      <c r="P70" s="644">
        <f t="shared" si="62"/>
        <v>-178856.68415005258</v>
      </c>
      <c r="Q70" s="683"/>
      <c r="R70" s="644">
        <f t="shared" si="63"/>
        <v>0</v>
      </c>
      <c r="S70" s="542">
        <v>0</v>
      </c>
      <c r="T70" s="542">
        <v>0</v>
      </c>
      <c r="U70" s="667">
        <f t="shared" si="53"/>
        <v>0</v>
      </c>
      <c r="V70" s="620">
        <f t="shared" si="54"/>
        <v>4.8268333333333331E-3</v>
      </c>
      <c r="W70" s="665">
        <f t="shared" si="55"/>
        <v>0</v>
      </c>
      <c r="X70" s="665">
        <f t="shared" si="56"/>
        <v>0</v>
      </c>
      <c r="Y70" s="476"/>
      <c r="Z70" s="665">
        <f t="shared" si="57"/>
        <v>-1726952.6207169681</v>
      </c>
      <c r="AB70" s="551">
        <f>'2. Summary of TD'!J84</f>
        <v>4807.4618816398579</v>
      </c>
      <c r="AC70" s="551">
        <f>'2. Summary of TD'!K84</f>
        <v>18162.189431782641</v>
      </c>
      <c r="AD70" s="551">
        <f t="shared" si="67"/>
        <v>22969.651313422499</v>
      </c>
      <c r="AE70" s="551">
        <f>+AD70-'2. Summary of TD'!L84</f>
        <v>0</v>
      </c>
    </row>
    <row r="71" spans="1:31" x14ac:dyDescent="0.25">
      <c r="A71" s="646">
        <f t="shared" si="65"/>
        <v>45199</v>
      </c>
      <c r="B71" s="644">
        <f t="shared" si="58"/>
        <v>-1548095.9365669156</v>
      </c>
      <c r="C71" s="542">
        <v>158479.56167642918</v>
      </c>
      <c r="D71" s="542">
        <v>76458</v>
      </c>
      <c r="E71" s="667">
        <f t="shared" si="47"/>
        <v>82021.561676429177</v>
      </c>
      <c r="F71" s="620">
        <f t="shared" si="48"/>
        <v>4.9008333333333334E-3</v>
      </c>
      <c r="G71" s="665">
        <f t="shared" si="49"/>
        <v>-7385.9731673670758</v>
      </c>
      <c r="H71" s="665">
        <f t="shared" si="50"/>
        <v>-1473460.3480578535</v>
      </c>
      <c r="I71" s="686"/>
      <c r="J71" s="644">
        <f t="shared" si="59"/>
        <v>-178856.68415005258</v>
      </c>
      <c r="K71" s="650">
        <f t="shared" si="66"/>
        <v>23086.608870926568</v>
      </c>
      <c r="L71" s="542">
        <v>31581.039999999986</v>
      </c>
      <c r="M71" s="650">
        <f t="shared" si="60"/>
        <v>-8494.4311290734186</v>
      </c>
      <c r="N71" s="620">
        <f t="shared" si="52"/>
        <v>4.9008333333333334E-3</v>
      </c>
      <c r="O71" s="644">
        <f t="shared" si="61"/>
        <v>-897.36169518458303</v>
      </c>
      <c r="P71" s="644">
        <f t="shared" si="62"/>
        <v>-188248.47697431056</v>
      </c>
      <c r="Q71" s="683"/>
      <c r="R71" s="644">
        <f t="shared" si="63"/>
        <v>0</v>
      </c>
      <c r="S71" s="542">
        <v>0</v>
      </c>
      <c r="T71" s="542">
        <v>0</v>
      </c>
      <c r="U71" s="667">
        <f t="shared" si="53"/>
        <v>0</v>
      </c>
      <c r="V71" s="620">
        <f t="shared" si="54"/>
        <v>4.9008333333333334E-3</v>
      </c>
      <c r="W71" s="665">
        <f t="shared" si="55"/>
        <v>0</v>
      </c>
      <c r="X71" s="665">
        <f t="shared" si="56"/>
        <v>0</v>
      </c>
      <c r="Y71" s="476"/>
      <c r="Z71" s="665">
        <f t="shared" si="57"/>
        <v>-1661708.8250321641</v>
      </c>
      <c r="AB71" s="551">
        <f>'2. Summary of TD'!J85</f>
        <v>2570.499597438094</v>
      </c>
      <c r="AC71" s="551">
        <f>'2. Summary of TD'!K85</f>
        <v>20516.109273488473</v>
      </c>
      <c r="AD71" s="551">
        <f t="shared" si="67"/>
        <v>23086.608870926568</v>
      </c>
      <c r="AE71" s="551">
        <f>+AD71-'2. Summary of TD'!L85</f>
        <v>0</v>
      </c>
    </row>
    <row r="72" spans="1:31" x14ac:dyDescent="0.25">
      <c r="A72" s="646">
        <f t="shared" si="65"/>
        <v>45230</v>
      </c>
      <c r="B72" s="644">
        <f t="shared" si="58"/>
        <v>-1473460.3480578535</v>
      </c>
      <c r="C72" s="542">
        <v>368336.32604015106</v>
      </c>
      <c r="D72" s="542">
        <v>61008</v>
      </c>
      <c r="E72" s="667">
        <f t="shared" si="47"/>
        <v>307328.32604015106</v>
      </c>
      <c r="F72" s="620">
        <f t="shared" si="48"/>
        <v>5.0680000000000005E-3</v>
      </c>
      <c r="G72" s="665">
        <f t="shared" si="49"/>
        <v>-6688.7270657714598</v>
      </c>
      <c r="H72" s="665">
        <f t="shared" si="50"/>
        <v>-1172820.7490834738</v>
      </c>
      <c r="I72" s="686"/>
      <c r="J72" s="644">
        <f t="shared" si="59"/>
        <v>-188248.47697431056</v>
      </c>
      <c r="K72" s="650">
        <f t="shared" si="66"/>
        <v>26350.770470607138</v>
      </c>
      <c r="L72" s="542">
        <v>25198.586307692305</v>
      </c>
      <c r="M72" s="650">
        <f t="shared" si="60"/>
        <v>1152.184162914833</v>
      </c>
      <c r="N72" s="620">
        <f t="shared" si="52"/>
        <v>5.0680000000000005E-3</v>
      </c>
      <c r="O72" s="644">
        <f t="shared" si="61"/>
        <v>-951.12364663697986</v>
      </c>
      <c r="P72" s="644">
        <f t="shared" si="62"/>
        <v>-188047.41645803271</v>
      </c>
      <c r="Q72" s="683"/>
      <c r="R72" s="644">
        <f t="shared" si="63"/>
        <v>0</v>
      </c>
      <c r="S72" s="542">
        <v>0</v>
      </c>
      <c r="T72" s="542">
        <v>0</v>
      </c>
      <c r="U72" s="667">
        <f t="shared" si="53"/>
        <v>0</v>
      </c>
      <c r="V72" s="620">
        <f t="shared" si="54"/>
        <v>5.0680000000000005E-3</v>
      </c>
      <c r="W72" s="665">
        <f t="shared" si="55"/>
        <v>0</v>
      </c>
      <c r="X72" s="665">
        <f t="shared" si="56"/>
        <v>0</v>
      </c>
      <c r="Y72" s="476"/>
      <c r="Z72" s="665">
        <f t="shared" si="57"/>
        <v>-1360868.1655415066</v>
      </c>
      <c r="AB72" s="551">
        <f>'2. Summary of TD'!J86</f>
        <v>1633.1845373694098</v>
      </c>
      <c r="AC72" s="551">
        <f>'2. Summary of TD'!K86</f>
        <v>24717.585933237729</v>
      </c>
      <c r="AD72" s="551">
        <f t="shared" si="67"/>
        <v>26350.770470607138</v>
      </c>
      <c r="AE72" s="551">
        <f>+AD72-'2. Summary of TD'!L86</f>
        <v>0</v>
      </c>
    </row>
    <row r="73" spans="1:31" x14ac:dyDescent="0.25">
      <c r="A73" s="646">
        <f t="shared" si="65"/>
        <v>45260</v>
      </c>
      <c r="B73" s="644">
        <f t="shared" si="58"/>
        <v>-1172820.7490834738</v>
      </c>
      <c r="C73" s="542">
        <v>248569.236747419</v>
      </c>
      <c r="D73" s="542">
        <v>3960.0904615384611</v>
      </c>
      <c r="E73" s="667">
        <f t="shared" si="47"/>
        <v>244609.14628588053</v>
      </c>
      <c r="F73" s="620">
        <f t="shared" si="48"/>
        <v>5.1228333333333334E-3</v>
      </c>
      <c r="G73" s="665">
        <f t="shared" si="49"/>
        <v>-5381.6192833140303</v>
      </c>
      <c r="H73" s="665">
        <f t="shared" si="50"/>
        <v>-933593.2220809072</v>
      </c>
      <c r="I73" s="686"/>
      <c r="J73" s="644">
        <f t="shared" si="59"/>
        <v>-188047.41645803271</v>
      </c>
      <c r="K73" s="650">
        <f t="shared" si="66"/>
        <v>35465.639900700015</v>
      </c>
      <c r="L73" s="542">
        <v>1635.6895384615384</v>
      </c>
      <c r="M73" s="650">
        <f t="shared" si="60"/>
        <v>33829.950362238473</v>
      </c>
      <c r="N73" s="620">
        <f t="shared" si="52"/>
        <v>5.1228333333333334E-3</v>
      </c>
      <c r="O73" s="644">
        <f t="shared" si="61"/>
        <v>-876.68297458808161</v>
      </c>
      <c r="P73" s="644">
        <f t="shared" si="62"/>
        <v>-155094.14907038229</v>
      </c>
      <c r="Q73" s="683"/>
      <c r="R73" s="644">
        <f t="shared" si="63"/>
        <v>0</v>
      </c>
      <c r="S73" s="542">
        <v>0</v>
      </c>
      <c r="T73" s="542">
        <v>0</v>
      </c>
      <c r="U73" s="667">
        <f t="shared" si="53"/>
        <v>0</v>
      </c>
      <c r="V73" s="620">
        <f t="shared" si="54"/>
        <v>5.1228333333333334E-3</v>
      </c>
      <c r="W73" s="665">
        <f t="shared" si="55"/>
        <v>0</v>
      </c>
      <c r="X73" s="665">
        <f t="shared" si="56"/>
        <v>0</v>
      </c>
      <c r="Y73" s="476"/>
      <c r="Z73" s="665">
        <f t="shared" si="57"/>
        <v>-1088687.3711512894</v>
      </c>
      <c r="AB73" s="551">
        <f>'2. Summary of TD'!J87</f>
        <v>2934.7332236416619</v>
      </c>
      <c r="AC73" s="551">
        <f>'2. Summary of TD'!K87</f>
        <v>32530.906677058352</v>
      </c>
      <c r="AD73" s="551">
        <f t="shared" si="67"/>
        <v>35465.639900700015</v>
      </c>
      <c r="AE73" s="551">
        <f>+AD73-'2. Summary of TD'!L87</f>
        <v>0</v>
      </c>
    </row>
    <row r="74" spans="1:31" x14ac:dyDescent="0.25">
      <c r="A74" s="646">
        <f t="shared" si="65"/>
        <v>45291</v>
      </c>
      <c r="B74" s="643">
        <f t="shared" si="58"/>
        <v>-933593.2220809072</v>
      </c>
      <c r="C74" s="541">
        <v>969309.23214301956</v>
      </c>
      <c r="D74" s="541">
        <v>55937</v>
      </c>
      <c r="E74" s="668">
        <f t="shared" si="47"/>
        <v>913372.23214301956</v>
      </c>
      <c r="F74" s="630">
        <f t="shared" si="48"/>
        <v>5.2255000000000001E-3</v>
      </c>
      <c r="G74" s="337">
        <f t="shared" si="49"/>
        <v>-2492.0780824521062</v>
      </c>
      <c r="H74" s="337">
        <f t="shared" si="50"/>
        <v>-22713.06802033975</v>
      </c>
      <c r="I74" s="686"/>
      <c r="J74" s="643">
        <f t="shared" si="59"/>
        <v>-155094.14907038229</v>
      </c>
      <c r="K74" s="651">
        <f t="shared" si="66"/>
        <v>65001.963156093785</v>
      </c>
      <c r="L74" s="541">
        <v>23104.742461538459</v>
      </c>
      <c r="M74" s="651">
        <f t="shared" si="60"/>
        <v>41897.220694555326</v>
      </c>
      <c r="N74" s="630">
        <f t="shared" si="52"/>
        <v>5.2255000000000001E-3</v>
      </c>
      <c r="O74" s="643">
        <f t="shared" si="61"/>
        <v>-700.97751259758331</v>
      </c>
      <c r="P74" s="643">
        <f t="shared" si="62"/>
        <v>-113897.90588842456</v>
      </c>
      <c r="Q74" s="683"/>
      <c r="R74" s="643">
        <f t="shared" si="63"/>
        <v>0</v>
      </c>
      <c r="S74" s="541">
        <v>0</v>
      </c>
      <c r="T74" s="541">
        <v>0</v>
      </c>
      <c r="U74" s="668">
        <f t="shared" si="53"/>
        <v>0</v>
      </c>
      <c r="V74" s="630">
        <f t="shared" si="54"/>
        <v>5.2255000000000001E-3</v>
      </c>
      <c r="W74" s="337">
        <f t="shared" si="55"/>
        <v>0</v>
      </c>
      <c r="X74" s="337">
        <f t="shared" si="56"/>
        <v>0</v>
      </c>
      <c r="Y74" s="476"/>
      <c r="Z74" s="337">
        <f t="shared" si="57"/>
        <v>-136610.97390876431</v>
      </c>
      <c r="AB74" s="551">
        <f>'2. Summary of TD'!J88</f>
        <v>7411.1750391016994</v>
      </c>
      <c r="AC74" s="551">
        <f>'2. Summary of TD'!K88</f>
        <v>57590.788116992087</v>
      </c>
      <c r="AD74" s="551">
        <f t="shared" si="67"/>
        <v>65001.963156093785</v>
      </c>
      <c r="AE74" s="551">
        <f>+AD74-'2. Summary of TD'!L88</f>
        <v>0</v>
      </c>
    </row>
    <row r="75" spans="1:31" x14ac:dyDescent="0.25">
      <c r="A75" s="646">
        <v>45292</v>
      </c>
      <c r="B75" s="634">
        <f t="shared" si="58"/>
        <v>-22713.06802033975</v>
      </c>
      <c r="C75" s="543">
        <f>'4. 2024 Program Costs'!G5</f>
        <v>5149.3821478246864</v>
      </c>
      <c r="D75" s="543">
        <f t="array" ref="D75:D86">TRANSPOSE('5. 2024 Program Collections'!D6:O6)</f>
        <v>145475.02830769229</v>
      </c>
      <c r="E75" s="672">
        <f t="shared" si="47"/>
        <v>-140325.64615986761</v>
      </c>
      <c r="F75" s="623">
        <f t="shared" si="48"/>
        <v>4.8333333333333336E-3</v>
      </c>
      <c r="G75" s="664">
        <f t="shared" si="49"/>
        <v>-448.90014031798887</v>
      </c>
      <c r="H75" s="664">
        <f t="shared" si="50"/>
        <v>-163487.61432052535</v>
      </c>
      <c r="I75" s="686"/>
      <c r="J75" s="634">
        <f t="shared" si="59"/>
        <v>-113897.90588842456</v>
      </c>
      <c r="K75" s="543">
        <f>AD75</f>
        <v>84510.208331183298</v>
      </c>
      <c r="L75" s="543">
        <f t="array" ref="L75:L86">TRANSPOSE('5. 2024 Program Collections'!D10:O10)</f>
        <v>60087.511692307693</v>
      </c>
      <c r="M75" s="543">
        <f t="shared" si="60"/>
        <v>24422.696638875605</v>
      </c>
      <c r="N75" s="623">
        <f t="shared" si="52"/>
        <v>4.8333333333333336E-3</v>
      </c>
      <c r="O75" s="634">
        <f t="shared" si="61"/>
        <v>-491.48502825010269</v>
      </c>
      <c r="P75" s="634">
        <f t="shared" si="62"/>
        <v>-89966.694277799063</v>
      </c>
      <c r="Q75" s="682"/>
      <c r="R75" s="543">
        <f t="shared" si="63"/>
        <v>0</v>
      </c>
      <c r="S75" s="621">
        <f>126202/12</f>
        <v>10516.833333333334</v>
      </c>
      <c r="T75" s="543">
        <f t="array" ref="T75:T86">TRANSPOSE('5. 2024 Program Collections'!D14:O14)</f>
        <v>0</v>
      </c>
      <c r="U75" s="672">
        <f t="shared" si="53"/>
        <v>10516.833333333334</v>
      </c>
      <c r="V75" s="677">
        <f t="shared" si="54"/>
        <v>4.8333333333333336E-3</v>
      </c>
      <c r="W75" s="672">
        <f t="shared" si="55"/>
        <v>25.415680555555557</v>
      </c>
      <c r="X75" s="672">
        <f t="shared" si="56"/>
        <v>10542.24901388889</v>
      </c>
      <c r="Y75" s="56"/>
      <c r="Z75" s="664">
        <f t="shared" si="57"/>
        <v>-242912.05958443554</v>
      </c>
      <c r="AB75" s="551">
        <f>'2. Summary of TD'!J89</f>
        <v>9713.2604187832858</v>
      </c>
      <c r="AC75" s="551">
        <f>'2. Summary of TD'!K89</f>
        <v>74796.947912400006</v>
      </c>
      <c r="AD75" s="551">
        <f>SUM(AB75:AC75)</f>
        <v>84510.208331183298</v>
      </c>
      <c r="AE75" s="551">
        <f>+AD75-'2. Summary of TD'!L89</f>
        <v>0</v>
      </c>
    </row>
    <row r="76" spans="1:31" x14ac:dyDescent="0.25">
      <c r="A76" s="646">
        <f t="shared" si="65"/>
        <v>45351</v>
      </c>
      <c r="B76" s="634">
        <f t="shared" si="58"/>
        <v>-163487.61432052535</v>
      </c>
      <c r="C76" s="543">
        <f>'4. 2024 Program Costs'!G6</f>
        <v>27764.482073670413</v>
      </c>
      <c r="D76" s="543">
        <v>73529.676615384611</v>
      </c>
      <c r="E76" s="672">
        <f t="shared" si="47"/>
        <v>-45765.194541714198</v>
      </c>
      <c r="F76" s="623">
        <f t="shared" si="48"/>
        <v>4.6166666666666665E-3</v>
      </c>
      <c r="G76" s="664">
        <f t="shared" si="49"/>
        <v>-860.409143513549</v>
      </c>
      <c r="H76" s="664">
        <f t="shared" si="50"/>
        <v>-210113.21800575309</v>
      </c>
      <c r="I76" s="686"/>
      <c r="J76" s="634">
        <f t="shared" si="59"/>
        <v>-89966.694277799063</v>
      </c>
      <c r="K76" s="543">
        <f>AD76</f>
        <v>73501.447337557227</v>
      </c>
      <c r="L76" s="543">
        <v>30370.953384615386</v>
      </c>
      <c r="M76" s="543">
        <f t="shared" si="60"/>
        <v>43130.493952941841</v>
      </c>
      <c r="N76" s="623">
        <f t="shared" si="52"/>
        <v>4.6166666666666665E-3</v>
      </c>
      <c r="O76" s="634">
        <f t="shared" si="61"/>
        <v>-315.78668170779821</v>
      </c>
      <c r="P76" s="634">
        <f t="shared" si="62"/>
        <v>-47151.987006565018</v>
      </c>
      <c r="Q76" s="683"/>
      <c r="R76" s="543">
        <f t="shared" si="63"/>
        <v>10542.24901388889</v>
      </c>
      <c r="S76" s="621">
        <f t="shared" ref="S76:S86" si="68">126202/12</f>
        <v>10516.833333333334</v>
      </c>
      <c r="T76" s="543">
        <v>0</v>
      </c>
      <c r="U76" s="672">
        <f t="shared" si="53"/>
        <v>10516.833333333334</v>
      </c>
      <c r="V76" s="677">
        <f t="shared" si="54"/>
        <v>4.6166666666666665E-3</v>
      </c>
      <c r="W76" s="672">
        <f t="shared" si="55"/>
        <v>72.946406558564817</v>
      </c>
      <c r="X76" s="672">
        <f t="shared" si="56"/>
        <v>21132.028753780789</v>
      </c>
      <c r="Y76" s="476"/>
      <c r="Z76" s="664">
        <f t="shared" si="57"/>
        <v>-236133.17625853731</v>
      </c>
      <c r="AB76" s="551">
        <f>'2. Summary of TD'!J90</f>
        <v>8123.0512758014629</v>
      </c>
      <c r="AC76" s="551">
        <f>'2. Summary of TD'!K90</f>
        <v>65378.39606175576</v>
      </c>
      <c r="AD76" s="551">
        <f>SUM(AB76:AC76)</f>
        <v>73501.447337557227</v>
      </c>
      <c r="AE76" s="551">
        <f>+AD76-'2. Summary of TD'!L90</f>
        <v>0</v>
      </c>
    </row>
    <row r="77" spans="1:31" x14ac:dyDescent="0.25">
      <c r="A77" s="646">
        <f t="shared" si="65"/>
        <v>45382</v>
      </c>
      <c r="B77" s="634">
        <f t="shared" si="58"/>
        <v>-210113.21800575309</v>
      </c>
      <c r="C77" s="543">
        <f>'4. 2024 Program Costs'!G7</f>
        <v>65042.246314366377</v>
      </c>
      <c r="D77" s="543">
        <v>55788.608923076943</v>
      </c>
      <c r="E77" s="672">
        <f t="shared" si="47"/>
        <v>9253.6373912894342</v>
      </c>
      <c r="F77" s="623">
        <f t="shared" si="48"/>
        <v>4.6333333333333331E-3</v>
      </c>
      <c r="G77" s="664">
        <f t="shared" si="49"/>
        <v>-952.08698347016878</v>
      </c>
      <c r="H77" s="664">
        <f t="shared" si="50"/>
        <v>-201811.66759793382</v>
      </c>
      <c r="I77" s="686"/>
      <c r="J77" s="634">
        <f t="shared" si="59"/>
        <v>-47151.987006565018</v>
      </c>
      <c r="K77" s="543">
        <f t="shared" ref="K77:K86" si="69">AD77</f>
        <v>75657.35835226599</v>
      </c>
      <c r="L77" s="543">
        <v>23043.121076923086</v>
      </c>
      <c r="M77" s="543">
        <f t="shared" si="60"/>
        <v>52614.237275342908</v>
      </c>
      <c r="N77" s="623">
        <f t="shared" si="52"/>
        <v>4.6333333333333331E-3</v>
      </c>
      <c r="O77" s="634">
        <f t="shared" si="61"/>
        <v>-96.581223442540178</v>
      </c>
      <c r="P77" s="634">
        <f t="shared" si="62"/>
        <v>5365.6690453353503</v>
      </c>
      <c r="Q77" s="683"/>
      <c r="R77" s="543">
        <f t="shared" si="63"/>
        <v>21132.028753780789</v>
      </c>
      <c r="S77" s="621">
        <f t="shared" si="68"/>
        <v>10516.833333333334</v>
      </c>
      <c r="T77" s="543">
        <v>0</v>
      </c>
      <c r="U77" s="672">
        <f t="shared" si="53"/>
        <v>10516.833333333334</v>
      </c>
      <c r="V77" s="677">
        <f t="shared" si="54"/>
        <v>4.6333333333333331E-3</v>
      </c>
      <c r="W77" s="672">
        <f t="shared" si="55"/>
        <v>122.2757304480732</v>
      </c>
      <c r="X77" s="672">
        <f t="shared" si="56"/>
        <v>31771.137817562198</v>
      </c>
      <c r="Y77" s="476"/>
      <c r="Z77" s="664">
        <f t="shared" si="57"/>
        <v>-164674.86073503626</v>
      </c>
      <c r="AB77" s="551">
        <f>'2. Summary of TD'!J91</f>
        <v>6116.0832982967095</v>
      </c>
      <c r="AC77" s="551">
        <f>'2. Summary of TD'!K91</f>
        <v>69541.275053969279</v>
      </c>
      <c r="AD77" s="551">
        <f t="shared" ref="AD77:AD86" si="70">SUM(AB77:AC77)</f>
        <v>75657.35835226599</v>
      </c>
      <c r="AE77" s="551">
        <f>+AD77-'2. Summary of TD'!L91</f>
        <v>0</v>
      </c>
    </row>
    <row r="78" spans="1:31" x14ac:dyDescent="0.25">
      <c r="A78" s="646">
        <f t="shared" si="65"/>
        <v>45412</v>
      </c>
      <c r="B78" s="634">
        <f t="shared" si="58"/>
        <v>-201811.66759793382</v>
      </c>
      <c r="C78" s="543">
        <f>'4. 2024 Program Costs'!G8</f>
        <v>98547.535319238843</v>
      </c>
      <c r="D78" s="543">
        <v>30482.657230769233</v>
      </c>
      <c r="E78" s="672">
        <f t="shared" si="47"/>
        <v>68064.878088469617</v>
      </c>
      <c r="F78" s="623">
        <f t="shared" si="48"/>
        <v>4.6583333333333329E-3</v>
      </c>
      <c r="G78" s="664">
        <f t="shared" si="49"/>
        <v>-781.57157301264783</v>
      </c>
      <c r="H78" s="664">
        <f t="shared" si="50"/>
        <v>-134528.36108247685</v>
      </c>
      <c r="I78" s="686"/>
      <c r="J78" s="634">
        <f t="shared" si="59"/>
        <v>5365.6690453353503</v>
      </c>
      <c r="K78" s="543">
        <f t="shared" si="69"/>
        <v>68092.409625943706</v>
      </c>
      <c r="L78" s="543">
        <v>12590.66276923077</v>
      </c>
      <c r="M78" s="543">
        <f t="shared" si="60"/>
        <v>55501.74685671294</v>
      </c>
      <c r="N78" s="623">
        <f t="shared" si="52"/>
        <v>4.6583333333333329E-3</v>
      </c>
      <c r="O78" s="634">
        <f t="shared" si="61"/>
        <v>154.26789368994773</v>
      </c>
      <c r="P78" s="634">
        <f t="shared" si="62"/>
        <v>61021.683795738238</v>
      </c>
      <c r="Q78" s="683"/>
      <c r="R78" s="543">
        <f t="shared" si="63"/>
        <v>31771.137817562198</v>
      </c>
      <c r="S78" s="621">
        <f t="shared" si="68"/>
        <v>10516.833333333334</v>
      </c>
      <c r="T78" s="543">
        <v>0</v>
      </c>
      <c r="U78" s="672">
        <f t="shared" si="53"/>
        <v>10516.833333333334</v>
      </c>
      <c r="V78" s="677">
        <f t="shared" si="54"/>
        <v>4.6583333333333329E-3</v>
      </c>
      <c r="W78" s="672">
        <f t="shared" si="55"/>
        <v>172.49600797236613</v>
      </c>
      <c r="X78" s="672">
        <f t="shared" si="56"/>
        <v>42460.467158867898</v>
      </c>
      <c r="Y78" s="476"/>
      <c r="Z78" s="664">
        <f t="shared" si="57"/>
        <v>-31046.21012787072</v>
      </c>
      <c r="AB78" s="551">
        <f>'2. Summary of TD'!J92</f>
        <v>3375.2619004830726</v>
      </c>
      <c r="AC78" s="551">
        <f>'2. Summary of TD'!K92</f>
        <v>64717.147725460636</v>
      </c>
      <c r="AD78" s="551">
        <f t="shared" si="70"/>
        <v>68092.409625943706</v>
      </c>
      <c r="AE78" s="551">
        <f>+AD78-'2. Summary of TD'!L92</f>
        <v>0</v>
      </c>
    </row>
    <row r="79" spans="1:31" x14ac:dyDescent="0.25">
      <c r="A79" s="646">
        <f t="shared" si="65"/>
        <v>45443</v>
      </c>
      <c r="B79" s="634">
        <f t="shared" si="58"/>
        <v>-134528.36108247685</v>
      </c>
      <c r="C79" s="543">
        <f>'4. 2024 Program Costs'!G9</f>
        <v>96770.136521327717</v>
      </c>
      <c r="D79" s="543">
        <v>72411.784615384619</v>
      </c>
      <c r="E79" s="672">
        <f t="shared" si="47"/>
        <v>24358.351905943098</v>
      </c>
      <c r="F79" s="623">
        <f t="shared" si="48"/>
        <v>4.6166666666666665E-3</v>
      </c>
      <c r="G79" s="664">
        <f t="shared" si="49"/>
        <v>-564.84540468121611</v>
      </c>
      <c r="H79" s="664">
        <f t="shared" si="50"/>
        <v>-110734.85458121497</v>
      </c>
      <c r="I79" s="686"/>
      <c r="J79" s="634">
        <f t="shared" si="59"/>
        <v>61021.683795738238</v>
      </c>
      <c r="K79" s="543">
        <f t="shared" si="69"/>
        <v>65124.201238643946</v>
      </c>
      <c r="L79" s="543">
        <v>29909.215384615385</v>
      </c>
      <c r="M79" s="543">
        <f t="shared" si="60"/>
        <v>35214.985854028564</v>
      </c>
      <c r="N79" s="623">
        <f t="shared" si="52"/>
        <v>4.6166666666666665E-3</v>
      </c>
      <c r="O79" s="634">
        <f t="shared" si="61"/>
        <v>363.00469920337406</v>
      </c>
      <c r="P79" s="634">
        <f t="shared" si="62"/>
        <v>96599.674348970177</v>
      </c>
      <c r="Q79" s="683"/>
      <c r="R79" s="543">
        <f t="shared" si="63"/>
        <v>42460.467158867898</v>
      </c>
      <c r="S79" s="621">
        <f t="shared" si="68"/>
        <v>10516.833333333334</v>
      </c>
      <c r="T79" s="543">
        <v>0</v>
      </c>
      <c r="U79" s="672">
        <f t="shared" si="53"/>
        <v>10516.833333333334</v>
      </c>
      <c r="V79" s="677">
        <f t="shared" si="54"/>
        <v>4.6166666666666665E-3</v>
      </c>
      <c r="W79" s="672">
        <f t="shared" si="55"/>
        <v>220.30218032788454</v>
      </c>
      <c r="X79" s="672">
        <f t="shared" si="56"/>
        <v>53197.602672529116</v>
      </c>
      <c r="Y79" s="476"/>
      <c r="Z79" s="664">
        <f t="shared" si="57"/>
        <v>39062.422440284325</v>
      </c>
      <c r="AB79" s="551">
        <f>'2. Summary of TD'!J93</f>
        <v>3918.9468227058578</v>
      </c>
      <c r="AC79" s="551">
        <f>'2. Summary of TD'!K93</f>
        <v>61205.254415938085</v>
      </c>
      <c r="AD79" s="551">
        <f t="shared" si="70"/>
        <v>65124.201238643946</v>
      </c>
      <c r="AE79" s="551">
        <f>+AD79-'2. Summary of TD'!L93</f>
        <v>0</v>
      </c>
    </row>
    <row r="80" spans="1:31" x14ac:dyDescent="0.25">
      <c r="A80" s="646">
        <f t="shared" si="65"/>
        <v>45473</v>
      </c>
      <c r="B80" s="634">
        <f t="shared" si="58"/>
        <v>-110734.85458121497</v>
      </c>
      <c r="C80" s="543">
        <f>'4. 2024 Program Costs'!G10</f>
        <v>197048.25916481754</v>
      </c>
      <c r="D80" s="543">
        <v>55809.231076923068</v>
      </c>
      <c r="E80" s="672">
        <f t="shared" si="47"/>
        <v>141239.02808789449</v>
      </c>
      <c r="F80" s="623">
        <f t="shared" si="48"/>
        <v>4.6166666666666665E-3</v>
      </c>
      <c r="G80" s="664">
        <f t="shared" si="49"/>
        <v>-185.19915548038597</v>
      </c>
      <c r="H80" s="664">
        <f t="shared" si="50"/>
        <v>30318.974351199136</v>
      </c>
      <c r="I80" s="686"/>
      <c r="J80" s="634">
        <f t="shared" si="59"/>
        <v>96599.674348970177</v>
      </c>
      <c r="K80" s="543">
        <f t="shared" si="69"/>
        <v>65757.301846036222</v>
      </c>
      <c r="L80" s="543">
        <v>23051.63892307692</v>
      </c>
      <c r="M80" s="543">
        <f t="shared" si="60"/>
        <v>42705.662922959302</v>
      </c>
      <c r="N80" s="623">
        <f t="shared" si="52"/>
        <v>4.6166666666666665E-3</v>
      </c>
      <c r="O80" s="634">
        <f t="shared" si="61"/>
        <v>544.54740182491003</v>
      </c>
      <c r="P80" s="634">
        <f t="shared" si="62"/>
        <v>139849.88467375439</v>
      </c>
      <c r="Q80" s="683"/>
      <c r="R80" s="543">
        <f t="shared" si="63"/>
        <v>53197.602672529116</v>
      </c>
      <c r="S80" s="621">
        <f t="shared" si="68"/>
        <v>10516.833333333334</v>
      </c>
      <c r="T80" s="543">
        <v>0</v>
      </c>
      <c r="U80" s="672">
        <f t="shared" si="53"/>
        <v>10516.833333333334</v>
      </c>
      <c r="V80" s="677">
        <f t="shared" si="54"/>
        <v>4.6166666666666665E-3</v>
      </c>
      <c r="W80" s="672">
        <f t="shared" si="55"/>
        <v>269.87195594928716</v>
      </c>
      <c r="X80" s="672">
        <f t="shared" si="56"/>
        <v>63984.307961811741</v>
      </c>
      <c r="Y80" s="476"/>
      <c r="Z80" s="664">
        <f t="shared" si="57"/>
        <v>234153.16698676528</v>
      </c>
      <c r="AB80" s="551">
        <f>'2. Summary of TD'!J94</f>
        <v>10597.868628208575</v>
      </c>
      <c r="AC80" s="551">
        <f>'2. Summary of TD'!K94</f>
        <v>55159.433217827653</v>
      </c>
      <c r="AD80" s="551">
        <f t="shared" si="70"/>
        <v>65757.301846036222</v>
      </c>
      <c r="AE80" s="551">
        <f>+AD80-'2. Summary of TD'!L94</f>
        <v>0</v>
      </c>
    </row>
    <row r="81" spans="1:31" x14ac:dyDescent="0.25">
      <c r="A81" s="646">
        <f t="shared" si="65"/>
        <v>45504</v>
      </c>
      <c r="B81" s="634">
        <f t="shared" si="58"/>
        <v>30318.974351199136</v>
      </c>
      <c r="C81" s="543">
        <f>'4. 2024 Program Costs'!G11</f>
        <v>11558.072509718104</v>
      </c>
      <c r="D81" s="543">
        <v>42905.261538461542</v>
      </c>
      <c r="E81" s="672">
        <f t="shared" si="47"/>
        <v>-31347.189028743436</v>
      </c>
      <c r="F81" s="623">
        <f t="shared" si="48"/>
        <v>4.5583333333333335E-3</v>
      </c>
      <c r="G81" s="664">
        <f t="shared" si="49"/>
        <v>66.758523089538315</v>
      </c>
      <c r="H81" s="664">
        <f t="shared" si="50"/>
        <v>-961.45615445476142</v>
      </c>
      <c r="I81" s="686"/>
      <c r="J81" s="634">
        <f t="shared" si="59"/>
        <v>139849.88467375439</v>
      </c>
      <c r="K81" s="543">
        <f t="shared" si="69"/>
        <v>72020.938810482869</v>
      </c>
      <c r="L81" s="543">
        <v>17721.738461538462</v>
      </c>
      <c r="M81" s="543">
        <f t="shared" si="60"/>
        <v>54299.200348944403</v>
      </c>
      <c r="N81" s="623">
        <f t="shared" si="52"/>
        <v>4.5583333333333335E-3</v>
      </c>
      <c r="O81" s="634">
        <f t="shared" si="61"/>
        <v>761.2393184331662</v>
      </c>
      <c r="P81" s="634">
        <f t="shared" si="62"/>
        <v>194910.32434113196</v>
      </c>
      <c r="Q81" s="683"/>
      <c r="R81" s="543">
        <f t="shared" si="63"/>
        <v>63984.307961811741</v>
      </c>
      <c r="S81" s="621">
        <f t="shared" si="68"/>
        <v>10516.833333333334</v>
      </c>
      <c r="T81" s="543">
        <v>0</v>
      </c>
      <c r="U81" s="672">
        <f t="shared" si="53"/>
        <v>10516.833333333334</v>
      </c>
      <c r="V81" s="677">
        <f t="shared" si="54"/>
        <v>4.5583333333333335E-3</v>
      </c>
      <c r="W81" s="672">
        <f t="shared" si="55"/>
        <v>315.6314197648141</v>
      </c>
      <c r="X81" s="672">
        <f t="shared" si="56"/>
        <v>74816.772714909894</v>
      </c>
      <c r="Y81" s="476"/>
      <c r="Z81" s="664">
        <f t="shared" si="57"/>
        <v>268765.64090158709</v>
      </c>
      <c r="AB81" s="551">
        <f>'2. Summary of TD'!J95</f>
        <v>15043.625880466387</v>
      </c>
      <c r="AC81" s="551">
        <f>'2. Summary of TD'!K95</f>
        <v>56977.312930016487</v>
      </c>
      <c r="AD81" s="551">
        <f t="shared" si="70"/>
        <v>72020.938810482869</v>
      </c>
      <c r="AE81" s="551">
        <f>+AD81-'2. Summary of TD'!L95</f>
        <v>0</v>
      </c>
    </row>
    <row r="82" spans="1:31" x14ac:dyDescent="0.25">
      <c r="A82" s="646">
        <f t="shared" si="65"/>
        <v>45535</v>
      </c>
      <c r="B82" s="634">
        <f t="shared" si="58"/>
        <v>-961.45615445476142</v>
      </c>
      <c r="C82" s="543">
        <f>'4. 2024 Program Costs'!G12</f>
        <v>202221.19019545682</v>
      </c>
      <c r="D82" s="543">
        <v>100236.59015384616</v>
      </c>
      <c r="E82" s="672">
        <f t="shared" si="47"/>
        <v>101984.60004161065</v>
      </c>
      <c r="F82" s="623">
        <f t="shared" si="48"/>
        <v>4.5583333333333335E-3</v>
      </c>
      <c r="G82" s="664">
        <f t="shared" si="49"/>
        <v>228.05726329078135</v>
      </c>
      <c r="H82" s="664">
        <f t="shared" si="50"/>
        <v>101251.20115044668</v>
      </c>
      <c r="I82" s="686"/>
      <c r="J82" s="634">
        <f t="shared" si="59"/>
        <v>194910.32434113196</v>
      </c>
      <c r="K82" s="543">
        <f t="shared" si="69"/>
        <v>75052.349115518024</v>
      </c>
      <c r="L82" s="543">
        <v>41402.069846153849</v>
      </c>
      <c r="M82" s="543">
        <f t="shared" si="60"/>
        <v>33650.279269364175</v>
      </c>
      <c r="N82" s="623">
        <f t="shared" si="52"/>
        <v>4.5583333333333335E-3</v>
      </c>
      <c r="O82" s="634">
        <f t="shared" si="61"/>
        <v>965.16082328975244</v>
      </c>
      <c r="P82" s="634">
        <f t="shared" si="62"/>
        <v>229525.76443378587</v>
      </c>
      <c r="Q82" s="683"/>
      <c r="R82" s="543">
        <f t="shared" si="63"/>
        <v>74816.772714909894</v>
      </c>
      <c r="S82" s="621">
        <f t="shared" si="68"/>
        <v>10516.833333333334</v>
      </c>
      <c r="T82" s="543">
        <v>0</v>
      </c>
      <c r="U82" s="672">
        <f t="shared" si="53"/>
        <v>10516.833333333334</v>
      </c>
      <c r="V82" s="677">
        <f t="shared" si="54"/>
        <v>4.5583333333333335E-3</v>
      </c>
      <c r="W82" s="672">
        <f t="shared" si="55"/>
        <v>365.00940493101984</v>
      </c>
      <c r="X82" s="672">
        <f t="shared" si="56"/>
        <v>85698.615453174236</v>
      </c>
      <c r="Y82" s="476"/>
      <c r="Z82" s="664">
        <f t="shared" si="57"/>
        <v>416475.58103740675</v>
      </c>
      <c r="AB82" s="551">
        <f>'2. Summary of TD'!J96</f>
        <v>15807.328384252365</v>
      </c>
      <c r="AC82" s="551">
        <f>'2. Summary of TD'!K96</f>
        <v>59245.020731265664</v>
      </c>
      <c r="AD82" s="551">
        <f t="shared" si="70"/>
        <v>75052.349115518024</v>
      </c>
      <c r="AE82" s="551">
        <f>+AD82-'2. Summary of TD'!L96</f>
        <v>0</v>
      </c>
    </row>
    <row r="83" spans="1:31" x14ac:dyDescent="0.25">
      <c r="A83" s="646">
        <f t="shared" si="65"/>
        <v>45565</v>
      </c>
      <c r="B83" s="634">
        <f t="shared" si="58"/>
        <v>101251.20115044668</v>
      </c>
      <c r="C83" s="543">
        <f>'4. 2024 Program Costs'!G13</f>
        <v>64454.170431362407</v>
      </c>
      <c r="D83" s="543">
        <v>49296.006153846138</v>
      </c>
      <c r="E83" s="672">
        <f t="shared" si="47"/>
        <v>15158.164277516269</v>
      </c>
      <c r="F83" s="623">
        <f t="shared" si="48"/>
        <v>4.4000000000000003E-3</v>
      </c>
      <c r="G83" s="664">
        <f t="shared" si="49"/>
        <v>478.85324647250121</v>
      </c>
      <c r="H83" s="664">
        <f t="shared" si="50"/>
        <v>116888.21867443544</v>
      </c>
      <c r="I83" s="686"/>
      <c r="J83" s="634">
        <f t="shared" si="59"/>
        <v>229525.76443378587</v>
      </c>
      <c r="K83" s="543">
        <f t="shared" si="69"/>
        <v>70611.643552491136</v>
      </c>
      <c r="L83" s="543">
        <v>20361.393846153842</v>
      </c>
      <c r="M83" s="543">
        <f t="shared" si="60"/>
        <v>50250.249706337294</v>
      </c>
      <c r="N83" s="623">
        <f t="shared" si="52"/>
        <v>4.4000000000000003E-3</v>
      </c>
      <c r="O83" s="634">
        <f t="shared" si="61"/>
        <v>1120.4639128626</v>
      </c>
      <c r="P83" s="634">
        <f t="shared" si="62"/>
        <v>280896.47805298574</v>
      </c>
      <c r="Q83" s="683"/>
      <c r="R83" s="543">
        <f t="shared" si="63"/>
        <v>85698.615453174236</v>
      </c>
      <c r="S83" s="621">
        <f t="shared" si="68"/>
        <v>10516.833333333334</v>
      </c>
      <c r="T83" s="543">
        <v>0</v>
      </c>
      <c r="U83" s="672">
        <f t="shared" si="53"/>
        <v>10516.833333333334</v>
      </c>
      <c r="V83" s="677">
        <f t="shared" si="54"/>
        <v>4.4000000000000003E-3</v>
      </c>
      <c r="W83" s="672">
        <f t="shared" si="55"/>
        <v>400.21094132730002</v>
      </c>
      <c r="X83" s="672">
        <f t="shared" si="56"/>
        <v>96615.659727834864</v>
      </c>
      <c r="Y83" s="476"/>
      <c r="Z83" s="664">
        <f t="shared" si="57"/>
        <v>494400.35645525606</v>
      </c>
      <c r="AB83" s="551">
        <f>'2. Summary of TD'!J97</f>
        <v>8657.2955074042511</v>
      </c>
      <c r="AC83" s="551">
        <f>'2. Summary of TD'!K97</f>
        <v>61954.348045086888</v>
      </c>
      <c r="AD83" s="551">
        <f t="shared" si="70"/>
        <v>70611.643552491136</v>
      </c>
      <c r="AE83" s="551">
        <f>+AD83-'2. Summary of TD'!L97</f>
        <v>0</v>
      </c>
    </row>
    <row r="84" spans="1:31" x14ac:dyDescent="0.25">
      <c r="A84" s="646">
        <f t="shared" si="65"/>
        <v>45596</v>
      </c>
      <c r="B84" s="634">
        <f t="shared" si="58"/>
        <v>116888.21867443544</v>
      </c>
      <c r="C84" s="543">
        <f>'4. 2024 Program Costs'!G14</f>
        <v>167828.53838049437</v>
      </c>
      <c r="D84" s="543">
        <v>83460.188571428575</v>
      </c>
      <c r="E84" s="672">
        <f t="shared" si="47"/>
        <v>84368.349809065796</v>
      </c>
      <c r="F84" s="623">
        <f t="shared" si="48"/>
        <v>4.2333333333333329E-3</v>
      </c>
      <c r="G84" s="664">
        <f t="shared" si="49"/>
        <v>673.40646615096591</v>
      </c>
      <c r="H84" s="664">
        <f t="shared" si="50"/>
        <v>201929.97494965221</v>
      </c>
      <c r="I84" s="686"/>
      <c r="J84" s="634">
        <f t="shared" si="59"/>
        <v>280896.47805298574</v>
      </c>
      <c r="K84" s="543">
        <f t="shared" si="69"/>
        <v>76552.807463477991</v>
      </c>
      <c r="L84" s="543">
        <v>57958.46428571429</v>
      </c>
      <c r="M84" s="543">
        <f t="shared" si="60"/>
        <v>18594.343177763702</v>
      </c>
      <c r="N84" s="623">
        <f t="shared" si="52"/>
        <v>4.2333333333333329E-3</v>
      </c>
      <c r="O84" s="634">
        <f t="shared" si="61"/>
        <v>1228.4864501505729</v>
      </c>
      <c r="P84" s="634">
        <f t="shared" si="62"/>
        <v>300719.30768089998</v>
      </c>
      <c r="Q84" s="683"/>
      <c r="R84" s="543">
        <f t="shared" si="63"/>
        <v>96615.659727834864</v>
      </c>
      <c r="S84" s="621">
        <f t="shared" si="68"/>
        <v>10516.833333333334</v>
      </c>
      <c r="T84" s="543">
        <v>4636.6771428571437</v>
      </c>
      <c r="U84" s="672">
        <f t="shared" si="53"/>
        <v>5880.1561904761902</v>
      </c>
      <c r="V84" s="677">
        <f t="shared" si="54"/>
        <v>4.2333333333333329E-3</v>
      </c>
      <c r="W84" s="672">
        <f t="shared" si="55"/>
        <v>421.45262345100878</v>
      </c>
      <c r="X84" s="672">
        <f t="shared" si="56"/>
        <v>102917.26854176207</v>
      </c>
      <c r="Y84" s="476"/>
      <c r="Z84" s="664">
        <f t="shared" si="57"/>
        <v>605566.55117231421</v>
      </c>
      <c r="AB84" s="551">
        <f>'2. Summary of TD'!J98</f>
        <v>4641.7407011099986</v>
      </c>
      <c r="AC84" s="551">
        <f>'2. Summary of TD'!K98</f>
        <v>71911.066762367991</v>
      </c>
      <c r="AD84" s="551">
        <f t="shared" si="70"/>
        <v>76552.807463477991</v>
      </c>
      <c r="AE84" s="551">
        <f>+AD84-'2. Summary of TD'!L98</f>
        <v>0</v>
      </c>
    </row>
    <row r="85" spans="1:31" x14ac:dyDescent="0.25">
      <c r="A85" s="646">
        <f t="shared" si="65"/>
        <v>45626</v>
      </c>
      <c r="B85" s="634">
        <f t="shared" si="58"/>
        <v>201929.97494965221</v>
      </c>
      <c r="C85" s="543">
        <f>'4. 2024 Program Costs'!G15</f>
        <v>618557.07516973861</v>
      </c>
      <c r="D85" s="543">
        <v>94581.611428571428</v>
      </c>
      <c r="E85" s="672">
        <f t="shared" si="47"/>
        <v>523975.46374116722</v>
      </c>
      <c r="F85" s="623">
        <f t="shared" si="48"/>
        <v>4.5750000000000001E-3</v>
      </c>
      <c r="G85" s="664">
        <f t="shared" si="49"/>
        <v>2122.4235087025791</v>
      </c>
      <c r="H85" s="664">
        <f t="shared" si="50"/>
        <v>728027.86219952197</v>
      </c>
      <c r="I85" s="686"/>
      <c r="J85" s="634">
        <f t="shared" si="59"/>
        <v>300719.30768089998</v>
      </c>
      <c r="K85" s="543">
        <f t="shared" si="69"/>
        <v>94183.747710484677</v>
      </c>
      <c r="L85" s="543">
        <v>65681.674603174601</v>
      </c>
      <c r="M85" s="543">
        <f t="shared" si="60"/>
        <v>28502.073107310076</v>
      </c>
      <c r="N85" s="623">
        <f t="shared" si="52"/>
        <v>4.5750000000000001E-3</v>
      </c>
      <c r="O85" s="634">
        <f t="shared" si="61"/>
        <v>1440.9893248730893</v>
      </c>
      <c r="P85" s="634">
        <f t="shared" si="62"/>
        <v>330662.37011308316</v>
      </c>
      <c r="Q85" s="683"/>
      <c r="R85" s="543">
        <f t="shared" si="63"/>
        <v>102917.26854176207</v>
      </c>
      <c r="S85" s="621">
        <f t="shared" si="68"/>
        <v>10516.833333333334</v>
      </c>
      <c r="T85" s="543">
        <v>5254.5339682539679</v>
      </c>
      <c r="U85" s="672">
        <f t="shared" si="53"/>
        <v>5262.299365079366</v>
      </c>
      <c r="V85" s="677">
        <f t="shared" si="54"/>
        <v>4.5750000000000001E-3</v>
      </c>
      <c r="W85" s="672">
        <f t="shared" si="55"/>
        <v>482.88401337618052</v>
      </c>
      <c r="X85" s="672">
        <f t="shared" si="56"/>
        <v>108662.45192021762</v>
      </c>
      <c r="Y85" s="476"/>
      <c r="Z85" s="664">
        <f t="shared" si="57"/>
        <v>1167352.6842328229</v>
      </c>
      <c r="AB85" s="551">
        <f>'2. Summary of TD'!J99</f>
        <v>7300.9267704754729</v>
      </c>
      <c r="AC85" s="551">
        <f>'2. Summary of TD'!K99</f>
        <v>86882.820940009202</v>
      </c>
      <c r="AD85" s="551">
        <f t="shared" si="70"/>
        <v>94183.747710484677</v>
      </c>
      <c r="AE85" s="551">
        <f>+AD85-'2. Summary of TD'!L99</f>
        <v>0</v>
      </c>
    </row>
    <row r="86" spans="1:31" x14ac:dyDescent="0.25">
      <c r="A86" s="646">
        <f t="shared" si="65"/>
        <v>45657</v>
      </c>
      <c r="B86" s="648">
        <f t="shared" si="58"/>
        <v>728027.86219952197</v>
      </c>
      <c r="C86" s="547">
        <f>'4. 2024 Program Costs'!G16</f>
        <v>714440.85762651602</v>
      </c>
      <c r="D86" s="547">
        <v>165745.39428571428</v>
      </c>
      <c r="E86" s="673">
        <f t="shared" si="47"/>
        <v>548695.46334080177</v>
      </c>
      <c r="F86" s="628">
        <f t="shared" si="48"/>
        <v>4.4250000000000001E-3</v>
      </c>
      <c r="G86" s="674">
        <f t="shared" si="49"/>
        <v>4435.5120028744086</v>
      </c>
      <c r="H86" s="674">
        <f t="shared" si="50"/>
        <v>1281158.8375431981</v>
      </c>
      <c r="I86" s="686"/>
      <c r="J86" s="648">
        <f t="shared" si="59"/>
        <v>330662.37011308316</v>
      </c>
      <c r="K86" s="547">
        <f t="shared" si="69"/>
        <v>128650.61977894652</v>
      </c>
      <c r="L86" s="547">
        <v>115100.96825396825</v>
      </c>
      <c r="M86" s="547">
        <f t="shared" si="60"/>
        <v>13549.651524978268</v>
      </c>
      <c r="N86" s="628">
        <f t="shared" si="52"/>
        <v>4.4250000000000001E-3</v>
      </c>
      <c r="O86" s="648">
        <f t="shared" si="61"/>
        <v>1493.1595917494074</v>
      </c>
      <c r="P86" s="648">
        <f t="shared" si="62"/>
        <v>345705.18122981087</v>
      </c>
      <c r="Q86" s="683"/>
      <c r="R86" s="547">
        <f t="shared" si="63"/>
        <v>108662.45192021762</v>
      </c>
      <c r="S86" s="622">
        <f t="shared" si="68"/>
        <v>10516.833333333334</v>
      </c>
      <c r="T86" s="547">
        <v>9208.0774603174614</v>
      </c>
      <c r="U86" s="673">
        <f t="shared" si="53"/>
        <v>1308.7558730158726</v>
      </c>
      <c r="V86" s="678">
        <f t="shared" si="54"/>
        <v>4.4250000000000001E-3</v>
      </c>
      <c r="W86" s="673">
        <f t="shared" si="55"/>
        <v>483.72697211601059</v>
      </c>
      <c r="X86" s="673">
        <f t="shared" si="56"/>
        <v>110454.93476534951</v>
      </c>
      <c r="Y86" s="476"/>
      <c r="Z86" s="674">
        <f t="shared" si="57"/>
        <v>1737318.9535383587</v>
      </c>
      <c r="AB86" s="551">
        <f>'2. Summary of TD'!J100</f>
        <v>14555.24357624014</v>
      </c>
      <c r="AC86" s="551">
        <f>'2. Summary of TD'!K100</f>
        <v>114095.37620270638</v>
      </c>
      <c r="AD86" s="551">
        <f t="shared" si="70"/>
        <v>128650.61977894652</v>
      </c>
      <c r="AE86" s="551">
        <f>+AD86-'2. Summary of TD'!L100</f>
        <v>0</v>
      </c>
    </row>
    <row r="87" spans="1:31" x14ac:dyDescent="0.25">
      <c r="A87" s="8"/>
    </row>
    <row r="88" spans="1:31" ht="13.75" thickBot="1" x14ac:dyDescent="0.3">
      <c r="A88" s="645" t="s">
        <v>90</v>
      </c>
      <c r="B88" s="7"/>
      <c r="C88" s="7">
        <f>SUM(C51:C86)</f>
        <v>5514515.9205967328</v>
      </c>
      <c r="D88" s="7">
        <f>SUM(D51:D86)</f>
        <v>4153941.4917472522</v>
      </c>
      <c r="E88" s="7"/>
      <c r="F88" s="7"/>
      <c r="G88" s="7">
        <f>SUM(G51:G86)</f>
        <v>-79415.591306281436</v>
      </c>
      <c r="H88" s="7">
        <f>+H86</f>
        <v>1281158.8375431981</v>
      </c>
      <c r="I88" s="684"/>
      <c r="J88" s="7"/>
      <c r="K88" s="7">
        <f t="shared" ref="K88:L88" si="71">SUM(K51:K86)</f>
        <v>1373281.8948432407</v>
      </c>
      <c r="L88" s="7">
        <f t="shared" si="71"/>
        <v>1023932.9490659338</v>
      </c>
      <c r="M88" s="7"/>
      <c r="N88" s="7"/>
      <c r="O88" s="7">
        <f t="shared" ref="O88" si="72">SUM(O51:O86)</f>
        <v>-3643.7645474955566</v>
      </c>
      <c r="P88" s="7">
        <f>+P86</f>
        <v>345705.18122981087</v>
      </c>
      <c r="Q88" s="684"/>
      <c r="R88" s="7"/>
      <c r="S88" s="7">
        <f t="shared" ref="S88:T88" si="73">SUM(S51:S86)</f>
        <v>126201.99999999999</v>
      </c>
      <c r="T88" s="7">
        <f t="shared" si="73"/>
        <v>19099.288571428573</v>
      </c>
      <c r="U88" s="7"/>
      <c r="V88" s="7"/>
      <c r="W88" s="7">
        <f t="shared" ref="W88" si="74">SUM(W51:W86)</f>
        <v>3352.223336778065</v>
      </c>
      <c r="X88" s="7">
        <f>+X86</f>
        <v>110454.93476534951</v>
      </c>
      <c r="Y88" s="666"/>
      <c r="Z88" s="7">
        <f>+Z86</f>
        <v>1737318.9535383587</v>
      </c>
      <c r="AB88" s="7">
        <f t="shared" ref="AB88:AD88" si="75">SUM(AB51:AB86)</f>
        <v>140759.84195435714</v>
      </c>
      <c r="AC88" s="7">
        <f t="shared" si="75"/>
        <v>1232522.0528888833</v>
      </c>
      <c r="AD88" s="7">
        <f t="shared" si="75"/>
        <v>1373281.8948432407</v>
      </c>
      <c r="AE88" s="637"/>
    </row>
    <row r="89" spans="1:31" ht="13.75" thickTop="1" x14ac:dyDescent="0.25">
      <c r="A89" s="639" t="s">
        <v>276</v>
      </c>
      <c r="B89" s="549"/>
      <c r="C89" s="550">
        <f>SUM(C51:C62)</f>
        <v>959815</v>
      </c>
      <c r="D89" s="550">
        <f>SUM(D51:D62)</f>
        <v>1855880.6153846155</v>
      </c>
      <c r="E89" s="550"/>
      <c r="F89" s="550"/>
      <c r="G89" s="550">
        <f>SUM(G51:G62)</f>
        <v>-14880.294501809731</v>
      </c>
      <c r="H89" s="550">
        <f>H62</f>
        <v>-910945.90988642513</v>
      </c>
      <c r="I89" s="683"/>
      <c r="J89" s="550"/>
      <c r="K89" s="550">
        <f>SUM(K51:K62)</f>
        <v>115911.8164037315</v>
      </c>
      <c r="L89" s="550">
        <f>SUM(L51:L62)</f>
        <v>242071.38461538457</v>
      </c>
      <c r="M89" s="549"/>
      <c r="N89" s="549"/>
      <c r="O89" s="550">
        <f>SUM(O51:O62)</f>
        <v>-2264.2645966083583</v>
      </c>
      <c r="P89" s="550">
        <f>P62</f>
        <v>-128423.83280826146</v>
      </c>
      <c r="Q89" s="684"/>
      <c r="R89" s="550"/>
      <c r="S89" s="550">
        <f>SUM(S51:S62)</f>
        <v>0</v>
      </c>
      <c r="T89" s="550">
        <f>SUM(T51:T62)</f>
        <v>0</v>
      </c>
      <c r="U89" s="550">
        <f>SUM(U51:U62)</f>
        <v>0</v>
      </c>
      <c r="V89" s="549"/>
      <c r="W89" s="550">
        <f>SUM(W51:W62)</f>
        <v>0</v>
      </c>
      <c r="X89" s="550">
        <f>X62</f>
        <v>0</v>
      </c>
      <c r="Y89" s="666"/>
      <c r="Z89" s="550">
        <f>Z62</f>
        <v>-1039369.7426946866</v>
      </c>
      <c r="AB89" s="549"/>
      <c r="AC89" s="549"/>
      <c r="AD89" s="549"/>
      <c r="AE89" s="637">
        <f>+K89-'2. Summary of TD'!L114</f>
        <v>0</v>
      </c>
    </row>
    <row r="90" spans="1:31" x14ac:dyDescent="0.25">
      <c r="A90" s="639" t="s">
        <v>255</v>
      </c>
      <c r="B90" s="549"/>
      <c r="C90" s="550">
        <f>SUM(C63:C74)</f>
        <v>2285318.9747422002</v>
      </c>
      <c r="D90" s="550">
        <f>SUM(D63:D74)</f>
        <v>1328338.8374615384</v>
      </c>
      <c r="E90" s="550"/>
      <c r="F90" s="550"/>
      <c r="G90" s="550">
        <f>SUM(G63:G74)</f>
        <v>-68747.295414576525</v>
      </c>
      <c r="H90" s="550">
        <f>H74</f>
        <v>-22713.06802033975</v>
      </c>
      <c r="I90" s="683"/>
      <c r="J90" s="550"/>
      <c r="K90" s="550">
        <f t="shared" ref="K90" si="76">SUM(K63:K74)</f>
        <v>307655.04527647741</v>
      </c>
      <c r="L90" s="550">
        <f t="shared" ref="L90" si="77">SUM(L63:L74)</f>
        <v>284582.15192307689</v>
      </c>
      <c r="M90" s="549"/>
      <c r="N90" s="549"/>
      <c r="O90" s="550">
        <f t="shared" ref="O90" si="78">SUM(O63:O74)</f>
        <v>-8546.9664335635807</v>
      </c>
      <c r="P90" s="550">
        <f>P74</f>
        <v>-113897.90588842456</v>
      </c>
      <c r="Q90" s="684"/>
      <c r="R90" s="550"/>
      <c r="S90" s="550">
        <f t="shared" ref="S90:T90" si="79">SUM(S63:S74)</f>
        <v>0</v>
      </c>
      <c r="T90" s="550">
        <f t="shared" si="79"/>
        <v>0</v>
      </c>
      <c r="U90" s="550">
        <f t="shared" ref="U90" si="80">SUM(U63:U74)</f>
        <v>0</v>
      </c>
      <c r="V90" s="549"/>
      <c r="W90" s="550">
        <f t="shared" ref="W90" si="81">SUM(W63:W74)</f>
        <v>0</v>
      </c>
      <c r="X90" s="550">
        <f>X74</f>
        <v>0</v>
      </c>
      <c r="Y90" s="666"/>
      <c r="Z90" s="550">
        <f>Z74</f>
        <v>-136610.97390876431</v>
      </c>
      <c r="AB90" s="549"/>
      <c r="AC90" s="549"/>
      <c r="AD90" s="549"/>
      <c r="AE90" s="637">
        <f>+K90-'2. Summary of TD'!L115</f>
        <v>0</v>
      </c>
    </row>
    <row r="91" spans="1:31" x14ac:dyDescent="0.25">
      <c r="A91" s="639" t="s">
        <v>256</v>
      </c>
      <c r="C91" s="551">
        <f>SUM(C75:C86)</f>
        <v>2269381.9458545321</v>
      </c>
      <c r="D91" s="551">
        <f>SUM(D75:D86)</f>
        <v>969722.03890109889</v>
      </c>
      <c r="E91" s="551"/>
      <c r="F91" s="551"/>
      <c r="G91" s="551">
        <f>SUM(G75:G86)</f>
        <v>4211.998610104818</v>
      </c>
      <c r="H91" s="551">
        <f>H86</f>
        <v>1281158.8375431981</v>
      </c>
      <c r="I91" s="683"/>
      <c r="J91" s="551"/>
      <c r="K91" s="551">
        <f t="shared" ref="K91" si="82">SUM(K75:K86)</f>
        <v>949715.03316303145</v>
      </c>
      <c r="L91" s="551">
        <f t="shared" ref="L91" si="83">SUM(L75:L86)</f>
        <v>497279.41252747248</v>
      </c>
      <c r="M91" s="549"/>
      <c r="N91" s="549"/>
      <c r="O91" s="551">
        <f t="shared" ref="O91" si="84">SUM(O75:O86)</f>
        <v>7167.4664826763783</v>
      </c>
      <c r="P91" s="551">
        <f>P86</f>
        <v>345705.18122981087</v>
      </c>
      <c r="Q91" s="684"/>
      <c r="R91" s="551"/>
      <c r="S91" s="551">
        <f t="shared" ref="S91:T91" si="85">SUM(S75:S86)</f>
        <v>126201.99999999999</v>
      </c>
      <c r="T91" s="551">
        <f t="shared" si="85"/>
        <v>19099.288571428573</v>
      </c>
      <c r="U91" s="551">
        <f t="shared" ref="U91" si="86">SUM(U75:U86)</f>
        <v>107102.71142857143</v>
      </c>
      <c r="V91" s="549"/>
      <c r="W91" s="551">
        <f t="shared" ref="W91" si="87">SUM(W75:W86)</f>
        <v>3352.223336778065</v>
      </c>
      <c r="X91" s="551">
        <f>X86</f>
        <v>110454.93476534951</v>
      </c>
      <c r="Y91" s="666"/>
      <c r="Z91" s="551">
        <f>Z86</f>
        <v>1737318.9535383587</v>
      </c>
      <c r="AB91" s="549"/>
      <c r="AC91" s="549"/>
      <c r="AD91" s="549"/>
      <c r="AE91" s="637">
        <f>+K91-'2. Summary of TD'!L116</f>
        <v>0</v>
      </c>
    </row>
    <row r="92" spans="1:31" x14ac:dyDescent="0.25">
      <c r="C92" s="335"/>
      <c r="D92" s="335"/>
      <c r="E92" s="335"/>
      <c r="F92" s="335"/>
      <c r="G92" s="335"/>
      <c r="H92" s="335"/>
      <c r="I92" s="689"/>
      <c r="J92" s="335"/>
      <c r="K92" s="335"/>
      <c r="L92" s="335"/>
      <c r="M92" s="335"/>
      <c r="P92" s="335"/>
      <c r="R92" s="335"/>
      <c r="S92" s="335"/>
      <c r="T92" s="335"/>
      <c r="U92" s="335"/>
      <c r="X92" s="335"/>
      <c r="Z92" s="335"/>
    </row>
    <row r="93" spans="1:31" ht="13.75" thickBot="1" x14ac:dyDescent="0.3">
      <c r="A93" s="645" t="s">
        <v>86</v>
      </c>
      <c r="B93" s="7"/>
      <c r="C93" s="7">
        <f t="shared" ref="C93:AD93" si="88">C42+C88</f>
        <v>8099492.6899999995</v>
      </c>
      <c r="D93" s="7">
        <f t="shared" ref="D93" si="89">D42+D88</f>
        <v>7370107.9357579863</v>
      </c>
      <c r="E93" s="7"/>
      <c r="F93" s="7"/>
      <c r="G93" s="7">
        <f t="shared" ref="G93:H93" si="90">G42+G88</f>
        <v>-197251.78912974274</v>
      </c>
      <c r="H93" s="7">
        <f t="shared" si="90"/>
        <v>532132.96511227044</v>
      </c>
      <c r="I93" s="684"/>
      <c r="J93" s="7"/>
      <c r="K93" s="7">
        <f t="shared" ref="K93" si="91">K42+K88</f>
        <v>2015611.0908054379</v>
      </c>
      <c r="L93" s="7">
        <f>L42+L88</f>
        <v>1439390.4517463767</v>
      </c>
      <c r="M93" s="7"/>
      <c r="N93" s="7"/>
      <c r="O93" s="7">
        <f t="shared" si="88"/>
        <v>-3035.4053019937555</v>
      </c>
      <c r="P93" s="7">
        <f t="shared" si="88"/>
        <v>573185.23375706701</v>
      </c>
      <c r="Q93" s="684"/>
      <c r="R93" s="7"/>
      <c r="S93" s="7">
        <f t="shared" ref="S93" si="92">S42+S88</f>
        <v>234631</v>
      </c>
      <c r="T93" s="7">
        <f>T42+T88</f>
        <v>39091.614821428571</v>
      </c>
      <c r="U93" s="7"/>
      <c r="V93" s="7"/>
      <c r="W93" s="7">
        <f t="shared" ref="W93:X93" si="93">W42+W88</f>
        <v>6206.5667548430838</v>
      </c>
      <c r="X93" s="7">
        <f t="shared" si="93"/>
        <v>201745.9519334145</v>
      </c>
      <c r="Y93" s="666"/>
      <c r="Z93" s="7">
        <f t="shared" ref="Z93" si="94">Z42+Z88</f>
        <v>1307064.150802752</v>
      </c>
      <c r="AB93" s="7">
        <f t="shared" si="88"/>
        <v>224531.0935748773</v>
      </c>
      <c r="AC93" s="7">
        <f t="shared" si="88"/>
        <v>1791079.9972305603</v>
      </c>
      <c r="AD93" s="7">
        <f t="shared" si="88"/>
        <v>2015611.0908054379</v>
      </c>
    </row>
    <row r="94" spans="1:31" ht="13.75" thickTop="1" x14ac:dyDescent="0.25">
      <c r="A94" s="639" t="s">
        <v>276</v>
      </c>
      <c r="B94" s="549"/>
      <c r="C94" s="550">
        <f t="shared" ref="C94:D96" si="95">+C43+C89</f>
        <v>1704883</v>
      </c>
      <c r="D94" s="550">
        <f t="shared" si="95"/>
        <v>3203233.2590627763</v>
      </c>
      <c r="E94" s="550"/>
      <c r="F94" s="550"/>
      <c r="G94" s="550">
        <f>+G43+G89</f>
        <v>-28414.546394969773</v>
      </c>
      <c r="H94" s="550">
        <f>+H43+H89</f>
        <v>-1526764.8054577461</v>
      </c>
      <c r="I94" s="683"/>
      <c r="J94" s="550"/>
      <c r="K94" s="550">
        <f>+K43+K89</f>
        <v>146760.83579802013</v>
      </c>
      <c r="L94" s="550">
        <f>+L43+L89</f>
        <v>359964.74093722366</v>
      </c>
      <c r="O94" s="550">
        <f>+O43+O89</f>
        <v>-3814.9436453868911</v>
      </c>
      <c r="P94" s="550">
        <f>+P43+P89</f>
        <v>-217018.84878459043</v>
      </c>
      <c r="R94" s="550"/>
      <c r="S94" s="550">
        <f>+S43+S89</f>
        <v>0</v>
      </c>
      <c r="T94" s="550">
        <f>+T43+T89</f>
        <v>0</v>
      </c>
      <c r="U94" s="550">
        <f>+U43+U89</f>
        <v>0</v>
      </c>
      <c r="W94" s="550">
        <f>+W43+W89</f>
        <v>0</v>
      </c>
      <c r="X94" s="550">
        <f>+X43+X89</f>
        <v>0</v>
      </c>
      <c r="Z94" s="550">
        <f>+Z43+Z89</f>
        <v>-1743783.6542423368</v>
      </c>
    </row>
    <row r="95" spans="1:31" x14ac:dyDescent="0.25">
      <c r="A95" s="639" t="s">
        <v>255</v>
      </c>
      <c r="B95" s="549"/>
      <c r="C95" s="550">
        <f t="shared" si="95"/>
        <v>3170693.3</v>
      </c>
      <c r="D95" s="550">
        <f t="shared" si="95"/>
        <v>2426243.8560416605</v>
      </c>
      <c r="E95" s="550"/>
      <c r="F95" s="550"/>
      <c r="G95" s="550">
        <f>+G44+G90</f>
        <v>-121750.97144514226</v>
      </c>
      <c r="H95" s="550">
        <f t="shared" ref="H95:H96" si="96">+H44+H90</f>
        <v>-904066.33294454904</v>
      </c>
      <c r="I95" s="683"/>
      <c r="J95" s="550"/>
      <c r="K95" s="550">
        <f t="shared" ref="K95" si="97">+K44+K90</f>
        <v>520106.15110102022</v>
      </c>
      <c r="L95" s="550">
        <f t="shared" ref="L95" si="98">+L44+L90</f>
        <v>409899.54628413165</v>
      </c>
      <c r="O95" s="550">
        <f t="shared" ref="O95:P96" si="99">+O44+O90</f>
        <v>-12061.214048861169</v>
      </c>
      <c r="P95" s="550">
        <f t="shared" si="99"/>
        <v>-118873.45801656308</v>
      </c>
      <c r="R95" s="550"/>
      <c r="S95" s="550">
        <f t="shared" ref="S95:T96" si="100">+S44+S90</f>
        <v>0</v>
      </c>
      <c r="T95" s="550">
        <f t="shared" si="100"/>
        <v>0</v>
      </c>
      <c r="U95" s="550">
        <f t="shared" ref="U95" si="101">+U44+U90</f>
        <v>0</v>
      </c>
      <c r="W95" s="550">
        <f t="shared" ref="W95:X96" si="102">+W44+W90</f>
        <v>0</v>
      </c>
      <c r="X95" s="550">
        <f t="shared" si="102"/>
        <v>0</v>
      </c>
      <c r="Z95" s="550">
        <f t="shared" ref="Z95:Z96" si="103">+Z44+Z90</f>
        <v>-1022939.7909611121</v>
      </c>
    </row>
    <row r="96" spans="1:31" x14ac:dyDescent="0.25">
      <c r="A96" s="639" t="s">
        <v>256</v>
      </c>
      <c r="C96" s="550">
        <f t="shared" si="95"/>
        <v>3223916.39</v>
      </c>
      <c r="D96" s="550">
        <f t="shared" si="95"/>
        <v>1740630.8206535499</v>
      </c>
      <c r="E96" s="550"/>
      <c r="F96" s="550"/>
      <c r="G96" s="550">
        <f>+G45+G91</f>
        <v>-47086.271289630706</v>
      </c>
      <c r="H96" s="550">
        <f t="shared" si="96"/>
        <v>532132.96511227044</v>
      </c>
      <c r="I96" s="683"/>
      <c r="J96" s="550"/>
      <c r="K96" s="550">
        <f t="shared" ref="K96" si="104">+K45+K91</f>
        <v>1348744.1039063972</v>
      </c>
      <c r="L96" s="550">
        <f t="shared" ref="L96" si="105">+L45+L91</f>
        <v>669526.16452502145</v>
      </c>
      <c r="O96" s="550">
        <f t="shared" ref="O96" si="106">+O45+O91</f>
        <v>12840.752392254301</v>
      </c>
      <c r="P96" s="550">
        <f t="shared" si="99"/>
        <v>573185.23375706701</v>
      </c>
      <c r="R96" s="550"/>
      <c r="S96" s="550">
        <f t="shared" ref="S96" si="107">+S45+S91</f>
        <v>234631</v>
      </c>
      <c r="T96" s="550">
        <f t="shared" si="100"/>
        <v>39091.614821428571</v>
      </c>
      <c r="U96" s="550">
        <f t="shared" ref="U96" si="108">+U45+U91</f>
        <v>195539.38517857142</v>
      </c>
      <c r="W96" s="550">
        <f t="shared" ref="W96" si="109">+W45+W91</f>
        <v>6206.5667548430838</v>
      </c>
      <c r="X96" s="550">
        <f t="shared" si="102"/>
        <v>201745.9519334145</v>
      </c>
      <c r="Z96" s="550">
        <f t="shared" si="103"/>
        <v>1307064.150802752</v>
      </c>
    </row>
    <row r="98" spans="3:20" x14ac:dyDescent="0.25">
      <c r="C98" s="641"/>
      <c r="D98" s="641"/>
      <c r="E98" s="641"/>
      <c r="F98" s="641"/>
      <c r="G98" s="641"/>
      <c r="H98" s="641"/>
      <c r="I98" s="690"/>
      <c r="J98" s="641"/>
      <c r="K98" s="641"/>
      <c r="L98" s="641"/>
      <c r="R98" s="641"/>
      <c r="S98" s="641"/>
      <c r="T98" s="641"/>
    </row>
    <row r="99" spans="3:20" x14ac:dyDescent="0.25">
      <c r="C99" s="641">
        <f>+C96-'4. 2024 Program Costs'!H18</f>
        <v>0</v>
      </c>
      <c r="D99" s="641">
        <f>D96-'5. 2024 Program Collections'!R5</f>
        <v>0</v>
      </c>
      <c r="E99" s="641"/>
      <c r="F99" s="641"/>
      <c r="G99" s="641"/>
      <c r="H99" s="641"/>
      <c r="I99" s="690"/>
      <c r="J99" s="641"/>
      <c r="K99" s="641">
        <f>+K96-'2. Summary of TD'!L123</f>
        <v>0</v>
      </c>
      <c r="L99" s="641">
        <f>+L96-'5. 2024 Program Collections'!R9</f>
        <v>0</v>
      </c>
      <c r="R99" s="641"/>
      <c r="S99" s="641">
        <f>+S96-'2. Summary of TD'!S123</f>
        <v>234631</v>
      </c>
      <c r="T99" s="641">
        <f>T96-'5. 2024 Program Collections'!R13</f>
        <v>0</v>
      </c>
    </row>
  </sheetData>
  <phoneticPr fontId="30" type="noConversion"/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AB047-4554-4B48-BA2B-AB7F79E4D086}">
  <sheetPr codeName="Sheet31"/>
  <dimension ref="A1:E15"/>
  <sheetViews>
    <sheetView zoomScaleNormal="100" workbookViewId="0"/>
  </sheetViews>
  <sheetFormatPr defaultColWidth="16.7109375" defaultRowHeight="13.1" x14ac:dyDescent="0.25"/>
  <cols>
    <col min="1" max="1" width="24.7109375" style="211" customWidth="1"/>
    <col min="2" max="2" width="16.7109375" style="495"/>
    <col min="3" max="4" width="16.7109375" style="143"/>
    <col min="5" max="16384" width="16.7109375" style="141"/>
  </cols>
  <sheetData>
    <row r="1" spans="1:5" x14ac:dyDescent="0.25">
      <c r="A1" s="168" t="s">
        <v>206</v>
      </c>
      <c r="B1" s="493"/>
      <c r="C1" s="299"/>
      <c r="D1" s="299"/>
      <c r="E1" s="300"/>
    </row>
    <row r="2" spans="1:5" x14ac:dyDescent="0.25">
      <c r="A2" s="301"/>
      <c r="B2" s="492">
        <v>2022</v>
      </c>
      <c r="C2" s="302">
        <v>2023</v>
      </c>
      <c r="D2" s="530">
        <v>2024</v>
      </c>
      <c r="E2" s="303">
        <v>2025</v>
      </c>
    </row>
    <row r="3" spans="1:5" x14ac:dyDescent="0.25">
      <c r="A3" s="210"/>
      <c r="B3" s="494"/>
      <c r="C3" s="142"/>
      <c r="E3" s="143"/>
    </row>
    <row r="4" spans="1:5" x14ac:dyDescent="0.25">
      <c r="A4" s="112" t="s">
        <v>106</v>
      </c>
      <c r="B4" s="553">
        <v>4.5999999999999999E-3</v>
      </c>
      <c r="C4" s="554">
        <v>4.9291000000000001E-2</v>
      </c>
      <c r="D4" s="554">
        <v>5.8000000000000003E-2</v>
      </c>
      <c r="E4" s="720">
        <v>4.7100000000000003E-2</v>
      </c>
    </row>
    <row r="5" spans="1:5" x14ac:dyDescent="0.25">
      <c r="A5" s="112" t="s">
        <v>107</v>
      </c>
      <c r="B5" s="555">
        <v>3.0000000000000001E-3</v>
      </c>
      <c r="C5" s="556">
        <v>5.0291000000000002E-2</v>
      </c>
      <c r="D5" s="556">
        <v>5.5399999999999998E-2</v>
      </c>
      <c r="E5" s="721">
        <f>+E4</f>
        <v>4.7100000000000003E-2</v>
      </c>
    </row>
    <row r="6" spans="1:5" x14ac:dyDescent="0.25">
      <c r="A6" s="112" t="s">
        <v>108</v>
      </c>
      <c r="B6" s="555">
        <v>4.5999999999999999E-3</v>
      </c>
      <c r="C6" s="556">
        <v>5.2089999999999997E-2</v>
      </c>
      <c r="D6" s="556">
        <v>5.5599999999999997E-2</v>
      </c>
      <c r="E6" s="721">
        <f>+E5</f>
        <v>4.7100000000000003E-2</v>
      </c>
    </row>
    <row r="7" spans="1:5" x14ac:dyDescent="0.25">
      <c r="A7" s="112" t="s">
        <v>109</v>
      </c>
      <c r="B7" s="555">
        <v>6.6E-3</v>
      </c>
      <c r="C7" s="556">
        <v>5.3376E-2</v>
      </c>
      <c r="D7" s="556">
        <v>5.5899999999999998E-2</v>
      </c>
      <c r="E7" s="722">
        <v>4.3799999999999999E-2</v>
      </c>
    </row>
    <row r="8" spans="1:5" x14ac:dyDescent="0.25">
      <c r="A8" s="112" t="s">
        <v>53</v>
      </c>
      <c r="B8" s="555">
        <v>1.15E-2</v>
      </c>
      <c r="C8" s="556">
        <v>5.4567999999999998E-2</v>
      </c>
      <c r="D8" s="556">
        <v>5.5399999999999998E-2</v>
      </c>
      <c r="E8" s="721">
        <f>+E7</f>
        <v>4.3799999999999999E-2</v>
      </c>
    </row>
    <row r="9" spans="1:5" x14ac:dyDescent="0.25">
      <c r="A9" s="112" t="s">
        <v>110</v>
      </c>
      <c r="B9" s="555">
        <v>1.7100000000000001E-2</v>
      </c>
      <c r="C9" s="556">
        <v>5.5765000000000002E-2</v>
      </c>
      <c r="D9" s="556">
        <v>5.5399999999999998E-2</v>
      </c>
      <c r="E9" s="721">
        <f>+E8</f>
        <v>4.3799999999999999E-2</v>
      </c>
    </row>
    <row r="10" spans="1:5" x14ac:dyDescent="0.25">
      <c r="A10" s="112" t="s">
        <v>111</v>
      </c>
      <c r="B10" s="555">
        <v>2.3E-2</v>
      </c>
      <c r="C10" s="556">
        <v>5.6210999999999997E-2</v>
      </c>
      <c r="D10" s="556">
        <v>5.4699999999999999E-2</v>
      </c>
      <c r="E10" s="722">
        <v>4.1399999999999999E-2</v>
      </c>
    </row>
    <row r="11" spans="1:5" x14ac:dyDescent="0.25">
      <c r="A11" s="112" t="s">
        <v>112</v>
      </c>
      <c r="B11" s="555">
        <v>3.0099999999999998E-2</v>
      </c>
      <c r="C11" s="556">
        <v>5.7922000000000001E-2</v>
      </c>
      <c r="D11" s="556">
        <v>5.4699999999999999E-2</v>
      </c>
      <c r="E11" s="721">
        <f>+E10</f>
        <v>4.1399999999999999E-2</v>
      </c>
    </row>
    <row r="12" spans="1:5" x14ac:dyDescent="0.25">
      <c r="A12" s="112" t="s">
        <v>113</v>
      </c>
      <c r="B12" s="555">
        <v>3.2800000000000003E-2</v>
      </c>
      <c r="C12" s="556">
        <v>5.8810000000000001E-2</v>
      </c>
      <c r="D12" s="556">
        <v>5.28E-2</v>
      </c>
      <c r="E12" s="721">
        <f>+E11</f>
        <v>4.1399999999999999E-2</v>
      </c>
    </row>
    <row r="13" spans="1:5" x14ac:dyDescent="0.25">
      <c r="A13" s="112" t="s">
        <v>114</v>
      </c>
      <c r="B13" s="555">
        <v>3.9899999999999998E-2</v>
      </c>
      <c r="C13" s="556">
        <v>6.0816000000000002E-2</v>
      </c>
      <c r="D13" s="556">
        <v>5.0799999999999998E-2</v>
      </c>
      <c r="E13" s="722">
        <v>3.9399999999999998E-2</v>
      </c>
    </row>
    <row r="14" spans="1:5" x14ac:dyDescent="0.25">
      <c r="A14" s="112" t="s">
        <v>115</v>
      </c>
      <c r="B14" s="555">
        <v>4.5999999999999999E-2</v>
      </c>
      <c r="C14" s="556">
        <v>6.1474000000000001E-2</v>
      </c>
      <c r="D14" s="556">
        <v>5.4899999999999997E-2</v>
      </c>
      <c r="E14" s="721">
        <f>+E13</f>
        <v>3.9399999999999998E-2</v>
      </c>
    </row>
    <row r="15" spans="1:5" x14ac:dyDescent="0.25">
      <c r="A15" s="112" t="s">
        <v>116</v>
      </c>
      <c r="B15" s="557">
        <v>4.9500000000000002E-2</v>
      </c>
      <c r="C15" s="558">
        <v>6.2705999999999998E-2</v>
      </c>
      <c r="D15" s="558">
        <v>5.3100000000000001E-2</v>
      </c>
      <c r="E15" s="723">
        <f>+E14</f>
        <v>3.9399999999999998E-2</v>
      </c>
    </row>
  </sheetData>
  <phoneticPr fontId="30" type="noConversion"/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7E091-EC29-4328-BC8A-B2EBCE30E7EC}">
  <sheetPr codeName="Sheet32"/>
  <dimension ref="A1:E19"/>
  <sheetViews>
    <sheetView zoomScaleNormal="100" workbookViewId="0"/>
  </sheetViews>
  <sheetFormatPr defaultRowHeight="13.1" x14ac:dyDescent="0.25"/>
  <cols>
    <col min="1" max="1" width="24.7109375" style="14" customWidth="1"/>
    <col min="2" max="5" width="11.140625" customWidth="1"/>
  </cols>
  <sheetData>
    <row r="1" spans="1:5" x14ac:dyDescent="0.25">
      <c r="A1" s="168" t="s">
        <v>205</v>
      </c>
      <c r="B1" s="61" t="s">
        <v>33</v>
      </c>
      <c r="C1" s="61" t="s">
        <v>40</v>
      </c>
      <c r="D1" s="61" t="s">
        <v>41</v>
      </c>
      <c r="E1" s="1" t="s">
        <v>33</v>
      </c>
    </row>
    <row r="2" spans="1:5" x14ac:dyDescent="0.25">
      <c r="A2" s="212" t="s">
        <v>152</v>
      </c>
      <c r="B2" s="62" t="s">
        <v>47</v>
      </c>
      <c r="C2" s="62" t="s">
        <v>47</v>
      </c>
      <c r="D2" s="62" t="s">
        <v>47</v>
      </c>
      <c r="E2" s="2" t="s">
        <v>48</v>
      </c>
    </row>
    <row r="4" spans="1:5" x14ac:dyDescent="0.25">
      <c r="A4" s="14" t="s">
        <v>49</v>
      </c>
      <c r="B4" s="199">
        <v>0.10118199999999999</v>
      </c>
      <c r="C4" s="200">
        <v>0.21790599999999999</v>
      </c>
      <c r="D4" s="200">
        <v>1.1999999999999999E-3</v>
      </c>
      <c r="E4" s="201">
        <v>9.3563999999999994E-2</v>
      </c>
    </row>
    <row r="5" spans="1:5" x14ac:dyDescent="0.25">
      <c r="A5" s="14" t="s">
        <v>50</v>
      </c>
      <c r="B5" s="202">
        <v>8.8441000000000006E-2</v>
      </c>
      <c r="C5" s="203">
        <v>0.18213499999999999</v>
      </c>
      <c r="D5" s="203">
        <v>1.1000000000000001E-3</v>
      </c>
      <c r="E5" s="204">
        <v>7.2162000000000004E-2</v>
      </c>
    </row>
    <row r="6" spans="1:5" x14ac:dyDescent="0.25">
      <c r="A6" s="14" t="s">
        <v>51</v>
      </c>
      <c r="B6" s="202">
        <v>9.2879000000000003E-2</v>
      </c>
      <c r="C6" s="203">
        <v>0.13483300000000001</v>
      </c>
      <c r="D6" s="203">
        <v>3.13E-3</v>
      </c>
      <c r="E6" s="204">
        <v>7.8372999999999998E-2</v>
      </c>
    </row>
    <row r="7" spans="1:5" x14ac:dyDescent="0.25">
      <c r="A7" s="14" t="s">
        <v>52</v>
      </c>
      <c r="B7" s="202">
        <v>8.4644999999999998E-2</v>
      </c>
      <c r="C7" s="203">
        <v>5.8486000000000003E-2</v>
      </c>
      <c r="D7" s="203">
        <v>1.5047E-2</v>
      </c>
      <c r="E7" s="204">
        <v>7.6534000000000005E-2</v>
      </c>
    </row>
    <row r="8" spans="1:5" x14ac:dyDescent="0.25">
      <c r="A8" s="14" t="s">
        <v>53</v>
      </c>
      <c r="B8" s="202">
        <v>7.9393000000000005E-2</v>
      </c>
      <c r="C8" s="203">
        <v>1.7144E-2</v>
      </c>
      <c r="D8" s="203">
        <v>6.5409999999999996E-2</v>
      </c>
      <c r="E8" s="204">
        <v>9.4246999999999997E-2</v>
      </c>
    </row>
    <row r="9" spans="1:5" x14ac:dyDescent="0.25">
      <c r="A9" s="14" t="s">
        <v>54</v>
      </c>
      <c r="B9" s="202">
        <v>6.8507999999999999E-2</v>
      </c>
      <c r="C9" s="203">
        <v>5.1000000000000004E-4</v>
      </c>
      <c r="D9" s="203">
        <v>0.21082300000000001</v>
      </c>
      <c r="E9" s="204">
        <v>7.5599E-2</v>
      </c>
    </row>
    <row r="10" spans="1:5" x14ac:dyDescent="0.25">
      <c r="A10" s="14" t="s">
        <v>55</v>
      </c>
      <c r="B10" s="202">
        <v>6.7863999999999994E-2</v>
      </c>
      <c r="C10" s="203">
        <v>6.0000000000000002E-6</v>
      </c>
      <c r="D10" s="203">
        <v>0.28478100000000001</v>
      </c>
      <c r="E10" s="204">
        <v>9.6199999999999994E-2</v>
      </c>
    </row>
    <row r="11" spans="1:5" x14ac:dyDescent="0.25">
      <c r="A11" s="14" t="s">
        <v>56</v>
      </c>
      <c r="B11" s="202">
        <v>7.0565000000000003E-2</v>
      </c>
      <c r="C11" s="203">
        <v>9.0000000000000002E-6</v>
      </c>
      <c r="D11" s="203">
        <v>0.27076600000000001</v>
      </c>
      <c r="E11" s="204">
        <v>7.7077999999999994E-2</v>
      </c>
    </row>
    <row r="12" spans="1:5" x14ac:dyDescent="0.25">
      <c r="A12" s="14" t="s">
        <v>57</v>
      </c>
      <c r="B12" s="202">
        <v>7.3791999999999996E-2</v>
      </c>
      <c r="C12" s="203">
        <v>8.8090000000000009E-3</v>
      </c>
      <c r="D12" s="203">
        <v>0.126605</v>
      </c>
      <c r="E12" s="204">
        <v>8.1374000000000002E-2</v>
      </c>
    </row>
    <row r="13" spans="1:5" x14ac:dyDescent="0.25">
      <c r="A13" s="14" t="s">
        <v>58</v>
      </c>
      <c r="B13" s="202">
        <v>8.4539000000000003E-2</v>
      </c>
      <c r="C13" s="203">
        <v>5.4961999999999997E-2</v>
      </c>
      <c r="D13" s="203">
        <v>1.8471999999999999E-2</v>
      </c>
      <c r="E13" s="204">
        <v>9.4072000000000003E-2</v>
      </c>
    </row>
    <row r="14" spans="1:5" x14ac:dyDescent="0.25">
      <c r="A14" s="14" t="s">
        <v>59</v>
      </c>
      <c r="B14" s="202">
        <v>8.9880000000000002E-2</v>
      </c>
      <c r="C14" s="203">
        <v>0.115899</v>
      </c>
      <c r="D14" s="203">
        <v>1.444E-3</v>
      </c>
      <c r="E14" s="204">
        <v>7.6706999999999997E-2</v>
      </c>
    </row>
    <row r="15" spans="1:5" x14ac:dyDescent="0.25">
      <c r="A15" s="14" t="s">
        <v>60</v>
      </c>
      <c r="B15" s="205">
        <v>9.8311999999999997E-2</v>
      </c>
      <c r="C15" s="206">
        <v>0.20930099999999999</v>
      </c>
      <c r="D15" s="206">
        <v>1.222E-3</v>
      </c>
      <c r="E15" s="207">
        <v>8.4089999999999998E-2</v>
      </c>
    </row>
    <row r="17" spans="1:5" x14ac:dyDescent="0.25">
      <c r="A17" s="213" t="s">
        <v>1</v>
      </c>
      <c r="B17" s="208">
        <f>SUM(B4:B15)</f>
        <v>0.99999999999999989</v>
      </c>
      <c r="C17" s="208">
        <f>SUM(C4:C15)</f>
        <v>0.99999999999999989</v>
      </c>
      <c r="D17" s="208">
        <f>SUM(D4:D15)</f>
        <v>1</v>
      </c>
      <c r="E17" s="209">
        <f>SUM(E4:E15)</f>
        <v>1</v>
      </c>
    </row>
    <row r="19" spans="1:5" x14ac:dyDescent="0.25">
      <c r="A19" s="214" t="s">
        <v>61</v>
      </c>
    </row>
  </sheetData>
  <phoneticPr fontId="30" type="noConversion"/>
  <pageMargins left="0.7" right="0.7" top="0.75" bottom="0.75" header="0.3" footer="0.3"/>
  <pageSetup orientation="portrait" horizontalDpi="1200" verticalDpi="12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15CD9-AD95-4BD3-8917-ADAB4C31C81D}">
  <sheetPr codeName="Sheet33"/>
  <dimension ref="A1:N35"/>
  <sheetViews>
    <sheetView zoomScaleNormal="100" workbookViewId="0">
      <selection activeCell="A17" sqref="A17"/>
    </sheetView>
  </sheetViews>
  <sheetFormatPr defaultColWidth="16.7109375" defaultRowHeight="15.25" customHeight="1" x14ac:dyDescent="0.25"/>
  <cols>
    <col min="1" max="1" width="24.7109375" style="482" customWidth="1"/>
    <col min="2" max="16384" width="16.7109375" style="469"/>
  </cols>
  <sheetData>
    <row r="1" spans="1:14" ht="15.25" customHeight="1" x14ac:dyDescent="0.25">
      <c r="A1" s="168"/>
      <c r="B1" s="467" t="s">
        <v>72</v>
      </c>
      <c r="C1" s="467" t="s">
        <v>151</v>
      </c>
      <c r="D1" s="467" t="s">
        <v>71</v>
      </c>
      <c r="E1" s="468" t="s">
        <v>71</v>
      </c>
    </row>
    <row r="2" spans="1:14" ht="15.25" customHeight="1" x14ac:dyDescent="0.25">
      <c r="A2" s="181" t="s">
        <v>238</v>
      </c>
      <c r="B2" s="470"/>
      <c r="C2" s="471"/>
      <c r="D2" s="471"/>
      <c r="E2" s="472"/>
    </row>
    <row r="4" spans="1:14" ht="15.25" customHeight="1" x14ac:dyDescent="0.25">
      <c r="A4" s="473" t="s">
        <v>2</v>
      </c>
      <c r="B4" s="474">
        <f>N25*1000</f>
        <v>1752169810.6883664</v>
      </c>
      <c r="C4" s="475">
        <v>0</v>
      </c>
      <c r="D4" s="476">
        <f>+B4+C4</f>
        <v>1752169810.6883664</v>
      </c>
      <c r="E4" s="477">
        <f>+D4/D7</f>
        <v>0.44204332562307003</v>
      </c>
    </row>
    <row r="5" spans="1:14" ht="15.25" customHeight="1" x14ac:dyDescent="0.25">
      <c r="A5" s="473" t="s">
        <v>3</v>
      </c>
      <c r="B5" s="478">
        <f>N26*1000</f>
        <v>2582743969.8491926</v>
      </c>
      <c r="C5" s="479">
        <f>+C32/B32*B5</f>
        <v>-371117226.84309101</v>
      </c>
      <c r="D5" s="476">
        <f>+B5+C5</f>
        <v>2211626743.0061016</v>
      </c>
      <c r="E5" s="477">
        <f>+D5/D7</f>
        <v>0.55795667437692997</v>
      </c>
    </row>
    <row r="6" spans="1:14" ht="15.25" customHeight="1" x14ac:dyDescent="0.25">
      <c r="A6" s="473"/>
      <c r="B6" s="476"/>
      <c r="C6" s="476"/>
      <c r="D6" s="476"/>
      <c r="E6" s="477"/>
    </row>
    <row r="7" spans="1:14" ht="15.25" customHeight="1" thickBot="1" x14ac:dyDescent="0.3">
      <c r="A7" s="480" t="s">
        <v>1</v>
      </c>
      <c r="B7" s="43">
        <f>SUM(B4:B5)</f>
        <v>4334913780.5375595</v>
      </c>
      <c r="C7" s="43">
        <f>SUM(C4:C5)</f>
        <v>-371117226.84309101</v>
      </c>
      <c r="D7" s="43">
        <f>SUM(D4:D5)</f>
        <v>3963796553.694468</v>
      </c>
      <c r="E7" s="481">
        <f>SUM(E4:E5)</f>
        <v>1</v>
      </c>
    </row>
    <row r="8" spans="1:14" ht="15.25" customHeight="1" thickTop="1" x14ac:dyDescent="0.25">
      <c r="C8" s="483"/>
    </row>
    <row r="11" spans="1:14" ht="15.25" customHeight="1" x14ac:dyDescent="0.25">
      <c r="A11" s="770" t="s">
        <v>195</v>
      </c>
      <c r="B11" s="771"/>
      <c r="C11" s="771"/>
      <c r="D11" s="771"/>
      <c r="E11" s="771"/>
      <c r="F11" s="771"/>
      <c r="G11" s="771"/>
      <c r="H11" s="771"/>
      <c r="I11" s="771"/>
      <c r="J11" s="771"/>
      <c r="K11" s="771"/>
      <c r="L11" s="771"/>
      <c r="M11" s="771"/>
      <c r="N11" s="772"/>
    </row>
    <row r="12" spans="1:14" ht="15.25" customHeight="1" x14ac:dyDescent="0.25">
      <c r="A12" s="487"/>
      <c r="B12" s="488">
        <v>45658</v>
      </c>
      <c r="C12" s="488">
        <f>EOMONTH(B12,0)+1</f>
        <v>45689</v>
      </c>
      <c r="D12" s="488">
        <f t="shared" ref="D12:M12" si="0">EOMONTH(C12,0)+1</f>
        <v>45717</v>
      </c>
      <c r="E12" s="488">
        <f t="shared" si="0"/>
        <v>45748</v>
      </c>
      <c r="F12" s="488">
        <f t="shared" si="0"/>
        <v>45778</v>
      </c>
      <c r="G12" s="488">
        <f t="shared" si="0"/>
        <v>45809</v>
      </c>
      <c r="H12" s="488">
        <f t="shared" si="0"/>
        <v>45839</v>
      </c>
      <c r="I12" s="488">
        <f t="shared" si="0"/>
        <v>45870</v>
      </c>
      <c r="J12" s="488">
        <f t="shared" si="0"/>
        <v>45901</v>
      </c>
      <c r="K12" s="488">
        <f t="shared" si="0"/>
        <v>45931</v>
      </c>
      <c r="L12" s="488">
        <f t="shared" si="0"/>
        <v>45962</v>
      </c>
      <c r="M12" s="488">
        <f t="shared" si="0"/>
        <v>45992</v>
      </c>
      <c r="N12" s="489" t="s">
        <v>1</v>
      </c>
    </row>
    <row r="14" spans="1:14" ht="15.25" customHeight="1" x14ac:dyDescent="0.25">
      <c r="A14" s="484" t="s">
        <v>196</v>
      </c>
      <c r="B14" s="559">
        <v>216795.61496688728</v>
      </c>
      <c r="C14" s="560">
        <v>172466.18831833184</v>
      </c>
      <c r="D14" s="560">
        <v>142233.0783704725</v>
      </c>
      <c r="E14" s="560">
        <v>99940.789969573481</v>
      </c>
      <c r="F14" s="560">
        <v>100834.44798129851</v>
      </c>
      <c r="G14" s="560">
        <v>136696.44697251674</v>
      </c>
      <c r="H14" s="560">
        <v>178863.23285120027</v>
      </c>
      <c r="I14" s="560">
        <v>170767.74083890926</v>
      </c>
      <c r="J14" s="560">
        <v>124718.04821173674</v>
      </c>
      <c r="K14" s="560">
        <v>96587.491562434952</v>
      </c>
      <c r="L14" s="560">
        <v>121254.68473433287</v>
      </c>
      <c r="M14" s="561">
        <v>191012.04591067179</v>
      </c>
      <c r="N14" s="486">
        <f>SUM(B14:M14)</f>
        <v>1752169.8106883664</v>
      </c>
    </row>
    <row r="15" spans="1:14" ht="15.25" customHeight="1" x14ac:dyDescent="0.25">
      <c r="A15" s="484" t="s">
        <v>197</v>
      </c>
      <c r="B15" s="562">
        <v>121557.04338149844</v>
      </c>
      <c r="C15" s="563">
        <v>109383.24298546826</v>
      </c>
      <c r="D15" s="563">
        <v>103059.07498508577</v>
      </c>
      <c r="E15" s="563">
        <v>98747.563642011839</v>
      </c>
      <c r="F15" s="563">
        <v>111883.14857230542</v>
      </c>
      <c r="G15" s="563">
        <v>133049.15842243825</v>
      </c>
      <c r="H15" s="563">
        <v>139486.86376103078</v>
      </c>
      <c r="I15" s="563">
        <v>138096.89323199209</v>
      </c>
      <c r="J15" s="563">
        <v>114637.85071766781</v>
      </c>
      <c r="K15" s="563">
        <v>107899.03153044771</v>
      </c>
      <c r="L15" s="563">
        <v>113786.87820376627</v>
      </c>
      <c r="M15" s="564">
        <v>126253.60177567769</v>
      </c>
      <c r="N15" s="486">
        <f t="shared" ref="N15:N21" si="1">SUM(B15:M15)</f>
        <v>1417840.3512093902</v>
      </c>
    </row>
    <row r="16" spans="1:14" ht="15.25" customHeight="1" x14ac:dyDescent="0.25">
      <c r="A16" s="485" t="s">
        <v>301</v>
      </c>
      <c r="B16" s="562">
        <v>5804.7031999999999</v>
      </c>
      <c r="C16" s="563">
        <v>5242.9578000000001</v>
      </c>
      <c r="D16" s="563">
        <v>5804.7031999999999</v>
      </c>
      <c r="E16" s="563">
        <v>5617.4547000000002</v>
      </c>
      <c r="F16" s="563">
        <v>5804.7031999999999</v>
      </c>
      <c r="G16" s="563">
        <v>5617.4547000000002</v>
      </c>
      <c r="H16" s="563">
        <v>5804.7031999999999</v>
      </c>
      <c r="I16" s="563">
        <v>5804.7031999999999</v>
      </c>
      <c r="J16" s="563">
        <v>5617.4547000000002</v>
      </c>
      <c r="K16" s="563">
        <v>5804.7031999999999</v>
      </c>
      <c r="L16" s="563">
        <v>5617.4547000000002</v>
      </c>
      <c r="M16" s="564">
        <v>5804.7031999999999</v>
      </c>
      <c r="N16" s="486">
        <f t="shared" si="1"/>
        <v>68345.699000000008</v>
      </c>
    </row>
    <row r="17" spans="1:14" ht="15.25" customHeight="1" x14ac:dyDescent="0.25">
      <c r="A17" s="485" t="s">
        <v>198</v>
      </c>
      <c r="B17" s="562">
        <v>6332.0005433605111</v>
      </c>
      <c r="C17" s="563">
        <v>5868.3008355656839</v>
      </c>
      <c r="D17" s="563">
        <v>6512.9168330115863</v>
      </c>
      <c r="E17" s="563">
        <v>7649.9071727369519</v>
      </c>
      <c r="F17" s="563">
        <v>8380.6326118165671</v>
      </c>
      <c r="G17" s="563">
        <v>8073.4544922570876</v>
      </c>
      <c r="H17" s="563">
        <v>8451.9268209251895</v>
      </c>
      <c r="I17" s="563">
        <v>7791.917610513714</v>
      </c>
      <c r="J17" s="563">
        <v>7292.1202825575865</v>
      </c>
      <c r="K17" s="563">
        <v>7096.0524078271528</v>
      </c>
      <c r="L17" s="563">
        <v>7211.7456041666192</v>
      </c>
      <c r="M17" s="564">
        <v>6754.9594524753102</v>
      </c>
      <c r="N17" s="486">
        <f t="shared" si="1"/>
        <v>87415.934667213951</v>
      </c>
    </row>
    <row r="18" spans="1:14" ht="15.25" customHeight="1" x14ac:dyDescent="0.25">
      <c r="A18" s="484" t="s">
        <v>199</v>
      </c>
      <c r="B18" s="562">
        <v>71978.584419715684</v>
      </c>
      <c r="C18" s="563">
        <v>64452.050766887689</v>
      </c>
      <c r="D18" s="563">
        <v>74856.100173143524</v>
      </c>
      <c r="E18" s="563">
        <v>71096.410559438853</v>
      </c>
      <c r="F18" s="563">
        <v>74332.17810349293</v>
      </c>
      <c r="G18" s="563">
        <v>78366.753256501572</v>
      </c>
      <c r="H18" s="563">
        <v>79381.859663500596</v>
      </c>
      <c r="I18" s="563">
        <v>81307.095261243259</v>
      </c>
      <c r="J18" s="563">
        <v>73754.346281835635</v>
      </c>
      <c r="K18" s="563">
        <v>75892.057535498956</v>
      </c>
      <c r="L18" s="563">
        <v>73434.455826250021</v>
      </c>
      <c r="M18" s="564">
        <v>70551.213332793632</v>
      </c>
      <c r="N18" s="486">
        <f t="shared" si="1"/>
        <v>889403.1051803024</v>
      </c>
    </row>
    <row r="19" spans="1:14" ht="15.25" customHeight="1" x14ac:dyDescent="0.25">
      <c r="A19" s="484" t="s">
        <v>200</v>
      </c>
      <c r="B19" s="562">
        <v>1935.0134983996206</v>
      </c>
      <c r="C19" s="563">
        <v>1652.7975283096046</v>
      </c>
      <c r="D19" s="563">
        <v>1578.2024002358107</v>
      </c>
      <c r="E19" s="563">
        <v>1393.3382569494318</v>
      </c>
      <c r="F19" s="563">
        <v>1308.123136393586</v>
      </c>
      <c r="G19" s="563">
        <v>1313.5354639275233</v>
      </c>
      <c r="H19" s="563">
        <v>1437.5847355883493</v>
      </c>
      <c r="I19" s="563">
        <v>1517.8981948739518</v>
      </c>
      <c r="J19" s="563">
        <v>1591.0782956538749</v>
      </c>
      <c r="K19" s="563">
        <v>1726.7990575943061</v>
      </c>
      <c r="L19" s="563">
        <v>1798.3076928556216</v>
      </c>
      <c r="M19" s="564">
        <v>1984.9224492530118</v>
      </c>
      <c r="N19" s="486">
        <f t="shared" si="1"/>
        <v>19237.600710034691</v>
      </c>
    </row>
    <row r="20" spans="1:14" ht="15.25" customHeight="1" x14ac:dyDescent="0.25">
      <c r="A20" s="484" t="s">
        <v>201</v>
      </c>
      <c r="B20" s="562">
        <v>8388.3898004528091</v>
      </c>
      <c r="C20" s="563">
        <v>7694.909604731838</v>
      </c>
      <c r="D20" s="563">
        <v>7763.2594204960578</v>
      </c>
      <c r="E20" s="563">
        <v>7587.7435417639217</v>
      </c>
      <c r="F20" s="563">
        <v>7358.3748748029266</v>
      </c>
      <c r="G20" s="563">
        <v>7991.9725256951097</v>
      </c>
      <c r="H20" s="563">
        <v>8553.9491233818007</v>
      </c>
      <c r="I20" s="563">
        <v>8683.9608971385587</v>
      </c>
      <c r="J20" s="563">
        <v>8255.4015654433297</v>
      </c>
      <c r="K20" s="563">
        <v>7489.7013370499935</v>
      </c>
      <c r="L20" s="563">
        <v>7258.8913612370052</v>
      </c>
      <c r="M20" s="564">
        <v>7561.6778809961634</v>
      </c>
      <c r="N20" s="486">
        <f t="shared" si="1"/>
        <v>94588.231933189527</v>
      </c>
    </row>
    <row r="21" spans="1:14" ht="15.25" customHeight="1" x14ac:dyDescent="0.25">
      <c r="A21" s="485" t="s">
        <v>202</v>
      </c>
      <c r="B21" s="565">
        <v>644.36408420313751</v>
      </c>
      <c r="C21" s="566">
        <v>631.89284659155896</v>
      </c>
      <c r="D21" s="566">
        <v>594.13639642907572</v>
      </c>
      <c r="E21" s="566">
        <v>57.641309229430448</v>
      </c>
      <c r="F21" s="566">
        <v>46.099270418253013</v>
      </c>
      <c r="G21" s="566">
        <v>528.60814621699058</v>
      </c>
      <c r="H21" s="566">
        <v>574.00815221372727</v>
      </c>
      <c r="I21" s="566">
        <v>556.78110541190358</v>
      </c>
      <c r="J21" s="566">
        <v>582.32415069982289</v>
      </c>
      <c r="K21" s="566">
        <v>548.12073492900709</v>
      </c>
      <c r="L21" s="566">
        <v>542.80875569641762</v>
      </c>
      <c r="M21" s="567">
        <v>606.2621970225415</v>
      </c>
      <c r="N21" s="486">
        <f t="shared" si="1"/>
        <v>5913.0471490618665</v>
      </c>
    </row>
    <row r="23" spans="1:14" ht="15.25" customHeight="1" thickBot="1" x14ac:dyDescent="0.3">
      <c r="A23" s="491" t="s">
        <v>232</v>
      </c>
      <c r="B23" s="490">
        <f>SUM(B14:B21)</f>
        <v>433435.71389451745</v>
      </c>
      <c r="C23" s="490">
        <f t="shared" ref="C23:N23" si="2">SUM(C14:C21)</f>
        <v>367392.34068588639</v>
      </c>
      <c r="D23" s="490">
        <f t="shared" si="2"/>
        <v>342401.47177887434</v>
      </c>
      <c r="E23" s="490">
        <f t="shared" si="2"/>
        <v>292090.84915170394</v>
      </c>
      <c r="F23" s="490">
        <f t="shared" si="2"/>
        <v>309947.70775052824</v>
      </c>
      <c r="G23" s="490">
        <f t="shared" si="2"/>
        <v>371637.38397955336</v>
      </c>
      <c r="H23" s="490">
        <f t="shared" si="2"/>
        <v>422554.12830784073</v>
      </c>
      <c r="I23" s="490">
        <f t="shared" si="2"/>
        <v>414526.99034008262</v>
      </c>
      <c r="J23" s="490">
        <f t="shared" si="2"/>
        <v>336448.62420559482</v>
      </c>
      <c r="K23" s="490">
        <f t="shared" si="2"/>
        <v>303043.95736578206</v>
      </c>
      <c r="L23" s="490">
        <f t="shared" si="2"/>
        <v>330905.22687830479</v>
      </c>
      <c r="M23" s="490">
        <f t="shared" si="2"/>
        <v>410529.3861988901</v>
      </c>
      <c r="N23" s="490">
        <f t="shared" si="2"/>
        <v>4334913.7805375587</v>
      </c>
    </row>
    <row r="24" spans="1:14" ht="15.25" customHeight="1" thickTop="1" x14ac:dyDescent="0.25"/>
    <row r="25" spans="1:14" ht="15.25" customHeight="1" x14ac:dyDescent="0.25">
      <c r="A25" s="482" t="s">
        <v>2</v>
      </c>
      <c r="N25" s="486">
        <f>N14</f>
        <v>1752169.8106883664</v>
      </c>
    </row>
    <row r="26" spans="1:14" ht="15.25" customHeight="1" x14ac:dyDescent="0.25">
      <c r="A26" s="482" t="s">
        <v>3</v>
      </c>
      <c r="N26" s="486">
        <f>SUM(N15:N21)</f>
        <v>2582743.9698491925</v>
      </c>
    </row>
    <row r="28" spans="1:14" ht="15.25" customHeight="1" x14ac:dyDescent="0.25">
      <c r="A28" s="168"/>
      <c r="B28" s="467" t="s">
        <v>72</v>
      </c>
      <c r="C28" s="467" t="s">
        <v>151</v>
      </c>
      <c r="D28" s="467" t="s">
        <v>71</v>
      </c>
      <c r="E28" s="468" t="s">
        <v>71</v>
      </c>
    </row>
    <row r="29" spans="1:14" ht="15.25" customHeight="1" x14ac:dyDescent="0.25">
      <c r="A29" s="181" t="s">
        <v>203</v>
      </c>
      <c r="B29" s="470"/>
      <c r="C29" s="471"/>
      <c r="D29" s="471"/>
      <c r="E29" s="472"/>
    </row>
    <row r="31" spans="1:14" ht="15.25" customHeight="1" x14ac:dyDescent="0.25">
      <c r="A31" s="473" t="s">
        <v>2</v>
      </c>
      <c r="B31" s="474">
        <v>1792994878.831372</v>
      </c>
      <c r="C31" s="475">
        <v>0</v>
      </c>
      <c r="D31" s="476">
        <v>1792994878.831372</v>
      </c>
      <c r="E31" s="477">
        <f>+D31/D34</f>
        <v>0.46212546270466764</v>
      </c>
    </row>
    <row r="32" spans="1:14" ht="15.25" customHeight="1" x14ac:dyDescent="0.25">
      <c r="A32" s="473" t="s">
        <v>3</v>
      </c>
      <c r="B32" s="478">
        <v>2515605831.7890077</v>
      </c>
      <c r="C32" s="479">
        <f>-428713053.40806+67242977</f>
        <v>-361470076.40806001</v>
      </c>
      <c r="D32" s="476">
        <v>2086892778.3809476</v>
      </c>
      <c r="E32" s="477">
        <f>+D32/D34</f>
        <v>0.53787453729533241</v>
      </c>
    </row>
    <row r="33" spans="1:5" ht="15.25" customHeight="1" x14ac:dyDescent="0.25">
      <c r="A33" s="473"/>
      <c r="B33" s="476"/>
      <c r="C33" s="476"/>
      <c r="D33" s="476"/>
      <c r="E33" s="477"/>
    </row>
    <row r="34" spans="1:5" ht="15.25" customHeight="1" thickBot="1" x14ac:dyDescent="0.3">
      <c r="A34" s="480" t="s">
        <v>1</v>
      </c>
      <c r="B34" s="43">
        <f>SUM(B31:B32)</f>
        <v>4308600710.6203794</v>
      </c>
      <c r="C34" s="43">
        <f>SUM(C31:C32)</f>
        <v>-361470076.40806001</v>
      </c>
      <c r="D34" s="43">
        <f>SUM(D31:D32)</f>
        <v>3879887657.2123194</v>
      </c>
      <c r="E34" s="481">
        <f>SUM(E31:E32)</f>
        <v>1</v>
      </c>
    </row>
    <row r="35" spans="1:5" ht="15.25" customHeight="1" thickTop="1" x14ac:dyDescent="0.25"/>
  </sheetData>
  <mergeCells count="1">
    <mergeCell ref="A11:N11"/>
  </mergeCell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2A93E-B1B2-4CC5-8195-A05DDBAACDC3}">
  <sheetPr codeName="Sheet34">
    <tabColor theme="5"/>
  </sheetPr>
  <dimension ref="A1:H45"/>
  <sheetViews>
    <sheetView zoomScale="85" zoomScaleNormal="85" workbookViewId="0">
      <selection sqref="A1:D1"/>
    </sheetView>
  </sheetViews>
  <sheetFormatPr defaultColWidth="16.7109375" defaultRowHeight="15.25" customHeight="1" x14ac:dyDescent="0.2"/>
  <cols>
    <col min="1" max="1" width="30.7109375" style="527" customWidth="1"/>
    <col min="2" max="7" width="16.7109375" style="235"/>
    <col min="8" max="8" width="25" style="694" customWidth="1"/>
    <col min="9" max="16384" width="16.7109375" style="235"/>
  </cols>
  <sheetData>
    <row r="1" spans="1:8" ht="15.25" customHeight="1" x14ac:dyDescent="0.25">
      <c r="A1" s="773" t="s">
        <v>173</v>
      </c>
      <c r="B1" s="774"/>
      <c r="C1" s="774"/>
      <c r="D1" s="775"/>
      <c r="H1" s="753" t="s">
        <v>295</v>
      </c>
    </row>
    <row r="2" spans="1:8" ht="15.25" customHeight="1" x14ac:dyDescent="0.25">
      <c r="A2" s="776" t="s">
        <v>170</v>
      </c>
      <c r="B2" s="777"/>
      <c r="C2" s="777"/>
      <c r="D2" s="778"/>
      <c r="F2" s="696" t="s">
        <v>279</v>
      </c>
      <c r="H2" s="694" t="s">
        <v>277</v>
      </c>
    </row>
    <row r="3" spans="1:8" ht="15.25" customHeight="1" x14ac:dyDescent="0.3">
      <c r="A3" s="526" t="s">
        <v>73</v>
      </c>
      <c r="B3" s="782" t="s">
        <v>174</v>
      </c>
      <c r="C3" s="782"/>
      <c r="D3" s="783"/>
      <c r="F3" s="697" t="s">
        <v>278</v>
      </c>
      <c r="H3" s="694" t="s">
        <v>278</v>
      </c>
    </row>
    <row r="4" spans="1:8" ht="15.25" customHeight="1" x14ac:dyDescent="0.3">
      <c r="B4" s="298" t="s">
        <v>45</v>
      </c>
      <c r="C4" s="236" t="s">
        <v>46</v>
      </c>
      <c r="D4" s="236" t="s">
        <v>1</v>
      </c>
    </row>
    <row r="5" spans="1:8" ht="15.25" customHeight="1" x14ac:dyDescent="0.3">
      <c r="A5" s="528"/>
      <c r="B5" s="237"/>
      <c r="C5" s="237"/>
      <c r="D5" s="237"/>
      <c r="H5" s="753" t="s">
        <v>294</v>
      </c>
    </row>
    <row r="6" spans="1:8" ht="15.25" customHeight="1" x14ac:dyDescent="0.3">
      <c r="A6" s="528" t="s">
        <v>157</v>
      </c>
      <c r="B6" s="237"/>
      <c r="C6" s="237"/>
      <c r="D6" s="237"/>
      <c r="F6" s="696" t="s">
        <v>279</v>
      </c>
      <c r="H6" s="752">
        <v>0.82499999999999996</v>
      </c>
    </row>
    <row r="7" spans="1:8" ht="15.25" customHeight="1" x14ac:dyDescent="0.25">
      <c r="A7" s="528" t="s">
        <v>158</v>
      </c>
      <c r="B7" s="238">
        <v>-960361.48522531218</v>
      </c>
      <c r="C7" s="238">
        <v>-3769637.844676686</v>
      </c>
      <c r="D7" s="238">
        <v>-4729999.3299019979</v>
      </c>
      <c r="F7" s="747">
        <v>0.7</v>
      </c>
      <c r="H7" s="752">
        <v>0.7</v>
      </c>
    </row>
    <row r="8" spans="1:8" ht="15.25" customHeight="1" x14ac:dyDescent="0.25">
      <c r="A8" s="528" t="s">
        <v>159</v>
      </c>
      <c r="B8" s="239">
        <v>-11498358.222413296</v>
      </c>
      <c r="C8" s="239">
        <v>-8641124.1933146138</v>
      </c>
      <c r="D8" s="239">
        <v>-20139482.41572791</v>
      </c>
    </row>
    <row r="9" spans="1:8" ht="15.25" customHeight="1" x14ac:dyDescent="0.25">
      <c r="A9" s="528"/>
      <c r="B9" s="240"/>
      <c r="C9" s="240"/>
      <c r="D9" s="240"/>
    </row>
    <row r="10" spans="1:8" ht="15.25" customHeight="1" x14ac:dyDescent="0.3">
      <c r="A10" s="529" t="s">
        <v>1</v>
      </c>
      <c r="B10" s="241">
        <f>SUM(B7:B8)</f>
        <v>-12458719.707638608</v>
      </c>
      <c r="C10" s="241">
        <f t="shared" ref="C10:D10" si="0">SUM(C7:C8)</f>
        <v>-12410762.0379913</v>
      </c>
      <c r="D10" s="241">
        <f t="shared" si="0"/>
        <v>-24869481.745629907</v>
      </c>
    </row>
    <row r="11" spans="1:8" ht="15.25" customHeight="1" x14ac:dyDescent="0.2">
      <c r="A11" s="528"/>
    </row>
    <row r="12" spans="1:8" ht="15.25" customHeight="1" x14ac:dyDescent="0.25">
      <c r="B12" s="238"/>
      <c r="C12" s="655">
        <f>IF($F$3="HB/TB",+$C$7/$C$10,0)</f>
        <v>0</v>
      </c>
      <c r="D12" s="238"/>
    </row>
    <row r="13" spans="1:8" ht="15.25" customHeight="1" x14ac:dyDescent="0.25">
      <c r="B13" s="238"/>
      <c r="C13" s="656">
        <f>IF($F$3="HB/TB",+$C$8/$C$10,1)</f>
        <v>1</v>
      </c>
      <c r="D13" s="238"/>
    </row>
    <row r="14" spans="1:8" ht="15.25" customHeight="1" x14ac:dyDescent="0.25">
      <c r="A14" s="528"/>
      <c r="B14" s="238"/>
      <c r="C14" s="238"/>
      <c r="D14" s="238"/>
    </row>
    <row r="15" spans="1:8" ht="15.25" customHeight="1" x14ac:dyDescent="0.3">
      <c r="A15" s="529" t="s">
        <v>74</v>
      </c>
      <c r="B15" s="779" t="s">
        <v>174</v>
      </c>
      <c r="C15" s="780"/>
      <c r="D15" s="781"/>
    </row>
    <row r="16" spans="1:8" ht="15.25" customHeight="1" x14ac:dyDescent="0.3">
      <c r="A16" s="528"/>
      <c r="B16" s="236" t="s">
        <v>45</v>
      </c>
      <c r="C16" s="236" t="s">
        <v>46</v>
      </c>
      <c r="D16" s="236" t="s">
        <v>1</v>
      </c>
    </row>
    <row r="17" spans="1:4" ht="15.25" customHeight="1" x14ac:dyDescent="0.3">
      <c r="A17" s="528"/>
      <c r="B17" s="237"/>
      <c r="C17" s="237"/>
      <c r="D17" s="237"/>
    </row>
    <row r="18" spans="1:4" ht="15.25" customHeight="1" x14ac:dyDescent="0.3">
      <c r="A18" s="528" t="s">
        <v>157</v>
      </c>
      <c r="B18" s="237"/>
      <c r="C18" s="237"/>
      <c r="D18" s="237"/>
    </row>
    <row r="19" spans="1:4" ht="15.25" customHeight="1" x14ac:dyDescent="0.25">
      <c r="A19" s="528" t="s">
        <v>160</v>
      </c>
      <c r="B19" s="238">
        <v>316308.63936009881</v>
      </c>
      <c r="C19" s="238">
        <v>632423.32644501084</v>
      </c>
      <c r="D19" s="238">
        <v>948731.96580510959</v>
      </c>
    </row>
    <row r="20" spans="1:4" ht="15.25" customHeight="1" x14ac:dyDescent="0.25">
      <c r="A20" s="528" t="s">
        <v>161</v>
      </c>
      <c r="B20" s="239">
        <v>4074265.4508095132</v>
      </c>
      <c r="C20" s="239">
        <v>830732.69679451338</v>
      </c>
      <c r="D20" s="239">
        <v>4904998.1476040268</v>
      </c>
    </row>
    <row r="21" spans="1:4" ht="15.25" customHeight="1" x14ac:dyDescent="0.25">
      <c r="A21" s="528"/>
      <c r="B21" s="240"/>
      <c r="C21" s="240"/>
      <c r="D21" s="240"/>
    </row>
    <row r="22" spans="1:4" ht="15.25" customHeight="1" x14ac:dyDescent="0.3">
      <c r="A22" s="529" t="s">
        <v>1</v>
      </c>
      <c r="B22" s="241">
        <f>SUM(B19:B20)</f>
        <v>4390574.0901696123</v>
      </c>
      <c r="C22" s="241">
        <f t="shared" ref="C22:D22" si="1">SUM(C19:C20)</f>
        <v>1463156.0232395241</v>
      </c>
      <c r="D22" s="241">
        <f t="shared" si="1"/>
        <v>5853730.1134091364</v>
      </c>
    </row>
    <row r="23" spans="1:4" ht="15.25" customHeight="1" x14ac:dyDescent="0.2">
      <c r="A23" s="528"/>
    </row>
    <row r="24" spans="1:4" ht="15.25" customHeight="1" x14ac:dyDescent="0.25">
      <c r="B24" s="238"/>
      <c r="C24" s="655">
        <f>IF($F$3="HB/TB",+$C$19/$C$22,0)</f>
        <v>0</v>
      </c>
      <c r="D24" s="238"/>
    </row>
    <row r="25" spans="1:4" ht="15.25" customHeight="1" x14ac:dyDescent="0.25">
      <c r="B25" s="238"/>
      <c r="C25" s="656">
        <f>IF($F$3="HB/TB",+$C$20/$C$22,1)</f>
        <v>1</v>
      </c>
      <c r="D25" s="238"/>
    </row>
    <row r="26" spans="1:4" ht="15.25" customHeight="1" x14ac:dyDescent="0.25">
      <c r="A26" s="528"/>
      <c r="B26" s="238"/>
      <c r="C26" s="238"/>
      <c r="D26" s="238"/>
    </row>
    <row r="27" spans="1:4" ht="15.25" customHeight="1" x14ac:dyDescent="0.3">
      <c r="A27" s="529" t="s">
        <v>75</v>
      </c>
      <c r="B27" s="779" t="s">
        <v>174</v>
      </c>
      <c r="C27" s="780"/>
      <c r="D27" s="781"/>
    </row>
    <row r="28" spans="1:4" ht="15.25" customHeight="1" x14ac:dyDescent="0.3">
      <c r="A28" s="528"/>
      <c r="B28" s="236" t="s">
        <v>45</v>
      </c>
      <c r="C28" s="236" t="s">
        <v>46</v>
      </c>
      <c r="D28" s="236" t="s">
        <v>1</v>
      </c>
    </row>
    <row r="29" spans="1:4" ht="15.25" customHeight="1" x14ac:dyDescent="0.25">
      <c r="B29" s="242"/>
      <c r="C29" s="242"/>
      <c r="D29" s="242"/>
    </row>
    <row r="30" spans="1:4" ht="15.25" customHeight="1" x14ac:dyDescent="0.25">
      <c r="A30" s="528" t="s">
        <v>162</v>
      </c>
      <c r="B30" s="242">
        <v>40965.506953001095</v>
      </c>
      <c r="C30" s="242">
        <v>25509.48068894781</v>
      </c>
      <c r="D30" s="242">
        <v>66474.987641948901</v>
      </c>
    </row>
    <row r="31" spans="1:4" ht="15.25" customHeight="1" x14ac:dyDescent="0.25">
      <c r="A31" s="528" t="s">
        <v>163</v>
      </c>
      <c r="B31" s="242">
        <v>50205.894858599873</v>
      </c>
      <c r="C31" s="242">
        <v>99322.228229622502</v>
      </c>
      <c r="D31" s="242">
        <v>149528.12308822238</v>
      </c>
    </row>
    <row r="32" spans="1:4" ht="15.25" customHeight="1" x14ac:dyDescent="0.25">
      <c r="A32" s="528"/>
      <c r="B32" s="242"/>
      <c r="C32" s="242"/>
      <c r="D32" s="242">
        <v>0</v>
      </c>
    </row>
    <row r="33" spans="1:4" ht="15.25" customHeight="1" x14ac:dyDescent="0.3">
      <c r="A33" s="528" t="s">
        <v>164</v>
      </c>
      <c r="B33" s="243"/>
      <c r="C33" s="243"/>
      <c r="D33" s="243"/>
    </row>
    <row r="34" spans="1:4" ht="15.25" customHeight="1" x14ac:dyDescent="0.25">
      <c r="A34" s="528" t="s">
        <v>165</v>
      </c>
      <c r="B34" s="242">
        <v>5896535.0461069699</v>
      </c>
      <c r="C34" s="242">
        <v>3552213.3210098855</v>
      </c>
      <c r="D34" s="242">
        <v>9448748.3671168555</v>
      </c>
    </row>
    <row r="35" spans="1:4" ht="15.25" customHeight="1" x14ac:dyDescent="0.25">
      <c r="A35" s="528" t="s">
        <v>166</v>
      </c>
      <c r="B35" s="242">
        <v>5798799.6026977897</v>
      </c>
      <c r="C35" s="242">
        <v>3194205.1881460673</v>
      </c>
      <c r="D35" s="242">
        <v>8993004.7908438575</v>
      </c>
    </row>
    <row r="36" spans="1:4" ht="15.25" customHeight="1" x14ac:dyDescent="0.25">
      <c r="A36" s="528" t="s">
        <v>167</v>
      </c>
      <c r="B36" s="244">
        <v>2776789.9188628593</v>
      </c>
      <c r="C36" s="244">
        <v>1827312.9437082862</v>
      </c>
      <c r="D36" s="244">
        <v>4604102.8625711454</v>
      </c>
    </row>
    <row r="37" spans="1:4" ht="15.25" customHeight="1" x14ac:dyDescent="0.25">
      <c r="B37" s="238"/>
      <c r="C37" s="238"/>
      <c r="D37" s="238"/>
    </row>
    <row r="38" spans="1:4" ht="15.25" customHeight="1" x14ac:dyDescent="0.3">
      <c r="A38" s="529" t="s">
        <v>168</v>
      </c>
      <c r="B38" s="245">
        <f>SUM(B34:B36)</f>
        <v>14472124.567667618</v>
      </c>
      <c r="C38" s="245">
        <f t="shared" ref="C38:D38" si="2">SUM(C34:C36)</f>
        <v>8573731.452864239</v>
      </c>
      <c r="D38" s="245">
        <f t="shared" si="2"/>
        <v>23045856.020531859</v>
      </c>
    </row>
    <row r="39" spans="1:4" ht="15.25" customHeight="1" x14ac:dyDescent="0.3">
      <c r="A39" s="529"/>
      <c r="B39" s="246"/>
      <c r="C39" s="246"/>
      <c r="D39" s="246"/>
    </row>
    <row r="40" spans="1:4" ht="15.25" customHeight="1" x14ac:dyDescent="0.25">
      <c r="B40" s="655">
        <f>IF($F$3="HB/TB",+$B$34/$B$38,0)</f>
        <v>0</v>
      </c>
      <c r="C40" s="655">
        <f>IF($F$3="HB/TB",+$C$34/$C$38,0)</f>
        <v>0</v>
      </c>
      <c r="D40" s="238"/>
    </row>
    <row r="41" spans="1:4" ht="15.25" customHeight="1" x14ac:dyDescent="0.25">
      <c r="B41" s="695">
        <f>IF($F$3="HB/TB",+$B$35/$B$38,0)</f>
        <v>0</v>
      </c>
      <c r="C41" s="695">
        <f>IF($F$3="HB/TB",+$C$35/$C$38,0)</f>
        <v>0</v>
      </c>
      <c r="D41" s="238"/>
    </row>
    <row r="42" spans="1:4" ht="15.25" customHeight="1" x14ac:dyDescent="0.25">
      <c r="A42" s="528"/>
      <c r="B42" s="656">
        <f>IF($F$3="HB/TB",+$B$36/$B$38,1)</f>
        <v>1</v>
      </c>
      <c r="C42" s="656">
        <f>IF($F$3="HB/TB",+$C$36/$C$38,1)</f>
        <v>1</v>
      </c>
    </row>
    <row r="43" spans="1:4" ht="15.25" customHeight="1" x14ac:dyDescent="0.2">
      <c r="A43" s="528"/>
    </row>
    <row r="44" spans="1:4" ht="15.25" customHeight="1" x14ac:dyDescent="0.25">
      <c r="A44" s="527" t="s">
        <v>169</v>
      </c>
      <c r="B44" s="238"/>
      <c r="C44" s="238"/>
      <c r="D44" s="238"/>
    </row>
    <row r="45" spans="1:4" ht="15.25" customHeight="1" x14ac:dyDescent="0.25">
      <c r="A45" s="528"/>
      <c r="B45" s="238"/>
      <c r="C45" s="238"/>
      <c r="D45" s="238"/>
    </row>
  </sheetData>
  <mergeCells count="5">
    <mergeCell ref="A1:D1"/>
    <mergeCell ref="A2:D2"/>
    <mergeCell ref="B27:D27"/>
    <mergeCell ref="B3:D3"/>
    <mergeCell ref="B15:D15"/>
  </mergeCells>
  <dataValidations count="2">
    <dataValidation type="list" allowBlank="1" showInputMessage="1" showErrorMessage="1" sqref="F3" xr:uid="{AB1D3930-F1B4-46BA-8642-7FB2F03549F9}">
      <formula1>$H$2:$H$3</formula1>
    </dataValidation>
    <dataValidation type="list" allowBlank="1" showInputMessage="1" showErrorMessage="1" sqref="F7" xr:uid="{FC29C179-FB93-44B6-AC2D-ECE133248041}">
      <formula1>$H$6:$H$7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D91F1-CE75-4A37-9281-5EF06BB0F963}">
  <sheetPr>
    <tabColor theme="5" tint="-0.249977111117893"/>
  </sheetPr>
  <dimension ref="A1:T99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18.7109375" defaultRowHeight="13.1" x14ac:dyDescent="0.25"/>
  <cols>
    <col min="1" max="1" width="32.7109375" style="639" customWidth="1"/>
    <col min="7" max="7" width="3.7109375" customWidth="1"/>
    <col min="13" max="13" width="3.7109375" customWidth="1"/>
    <col min="19" max="19" width="3.7109375" customWidth="1"/>
  </cols>
  <sheetData>
    <row r="1" spans="1:20" x14ac:dyDescent="0.25">
      <c r="A1" s="343" t="str">
        <f>Company_Filing</f>
        <v>2025 MEEIA Filing</v>
      </c>
      <c r="B1" s="611"/>
      <c r="C1" s="611" t="s">
        <v>263</v>
      </c>
      <c r="D1" s="611"/>
      <c r="E1" s="611"/>
      <c r="F1" s="611"/>
      <c r="H1" s="611"/>
      <c r="I1" s="611" t="s">
        <v>263</v>
      </c>
      <c r="J1" s="611"/>
      <c r="K1" s="611"/>
      <c r="L1" s="611"/>
      <c r="N1" s="611"/>
      <c r="O1" s="611" t="s">
        <v>263</v>
      </c>
      <c r="P1" s="611"/>
      <c r="Q1" s="611"/>
      <c r="R1" s="611"/>
      <c r="T1" s="611"/>
    </row>
    <row r="2" spans="1:20" x14ac:dyDescent="0.25">
      <c r="A2" s="610" t="s">
        <v>2</v>
      </c>
      <c r="B2" s="611" t="s">
        <v>28</v>
      </c>
      <c r="C2" s="611" t="s">
        <v>28</v>
      </c>
      <c r="D2" s="611" t="s">
        <v>264</v>
      </c>
      <c r="E2" s="611" t="s">
        <v>264</v>
      </c>
      <c r="F2" s="611" t="s">
        <v>28</v>
      </c>
      <c r="H2" s="611" t="s">
        <v>267</v>
      </c>
      <c r="I2" s="611" t="s">
        <v>267</v>
      </c>
      <c r="J2" s="611" t="s">
        <v>264</v>
      </c>
      <c r="K2" s="611" t="s">
        <v>264</v>
      </c>
      <c r="L2" s="611" t="s">
        <v>267</v>
      </c>
      <c r="N2" s="611" t="s">
        <v>269</v>
      </c>
      <c r="O2" s="611" t="s">
        <v>269</v>
      </c>
      <c r="P2" s="611" t="s">
        <v>264</v>
      </c>
      <c r="Q2" s="611" t="s">
        <v>264</v>
      </c>
      <c r="R2" s="611" t="s">
        <v>269</v>
      </c>
      <c r="T2" s="611" t="s">
        <v>1</v>
      </c>
    </row>
    <row r="3" spans="1:20" x14ac:dyDescent="0.25">
      <c r="A3" s="614" t="s">
        <v>280</v>
      </c>
      <c r="B3" s="615" t="s">
        <v>281</v>
      </c>
      <c r="C3" s="615" t="s">
        <v>143</v>
      </c>
      <c r="D3" s="615" t="s">
        <v>265</v>
      </c>
      <c r="E3" s="615" t="s">
        <v>266</v>
      </c>
      <c r="F3" s="615" t="s">
        <v>32</v>
      </c>
      <c r="H3" s="615" t="s">
        <v>281</v>
      </c>
      <c r="I3" s="615" t="s">
        <v>143</v>
      </c>
      <c r="J3" s="615" t="s">
        <v>265</v>
      </c>
      <c r="K3" s="615" t="s">
        <v>266</v>
      </c>
      <c r="L3" s="615" t="s">
        <v>32</v>
      </c>
      <c r="N3" s="615" t="s">
        <v>281</v>
      </c>
      <c r="O3" s="615" t="s">
        <v>143</v>
      </c>
      <c r="P3" s="615" t="s">
        <v>265</v>
      </c>
      <c r="Q3" s="615" t="s">
        <v>266</v>
      </c>
      <c r="R3" s="615" t="s">
        <v>32</v>
      </c>
      <c r="T3" s="615" t="s">
        <v>32</v>
      </c>
    </row>
    <row r="4" spans="1:20" ht="15.05" x14ac:dyDescent="0.3">
      <c r="C4" s="699"/>
      <c r="D4" s="700"/>
      <c r="E4" s="699"/>
      <c r="F4" s="701"/>
      <c r="G4" s="659"/>
      <c r="H4" s="699"/>
      <c r="I4" s="699"/>
      <c r="J4" s="699"/>
      <c r="K4" s="699"/>
      <c r="L4" s="701"/>
      <c r="N4" s="699"/>
      <c r="O4" s="699"/>
      <c r="P4" s="699"/>
      <c r="Q4" s="699"/>
      <c r="R4" s="701"/>
    </row>
    <row r="5" spans="1:20" ht="15.05" x14ac:dyDescent="0.3">
      <c r="A5" s="646">
        <v>44562</v>
      </c>
      <c r="B5" s="660">
        <v>0</v>
      </c>
      <c r="C5" s="660">
        <f>'1A. 2022-2024 Reconciliation'!E5</f>
        <v>-14089.436781609191</v>
      </c>
      <c r="D5" s="661">
        <f>'1A. 2022-2024 Reconciliation'!F5</f>
        <v>3.8333333333333334E-4</v>
      </c>
      <c r="E5" s="660">
        <f t="shared" ref="E5:E28" si="0">(B5+C5/2)*D5</f>
        <v>-2.7004753831417618</v>
      </c>
      <c r="F5" s="660">
        <f>+B5+C5+E5</f>
        <v>-14092.137256992333</v>
      </c>
      <c r="G5" s="659"/>
      <c r="H5" s="660">
        <v>0</v>
      </c>
      <c r="I5" s="660">
        <f>'1A. 2022-2024 Reconciliation'!M5</f>
        <v>-4483.896777345426</v>
      </c>
      <c r="J5" s="661">
        <f>D5</f>
        <v>3.8333333333333334E-4</v>
      </c>
      <c r="K5" s="660">
        <f>(H5+I5/2)*J5</f>
        <v>-0.8594135489912067</v>
      </c>
      <c r="L5" s="660">
        <f>+H5+I5+K5</f>
        <v>-4484.7561908944172</v>
      </c>
      <c r="N5" s="660">
        <v>0</v>
      </c>
      <c r="O5" s="660">
        <f>'1A. 2022-2024 Reconciliation'!U5</f>
        <v>0</v>
      </c>
      <c r="P5" s="661">
        <f>J5</f>
        <v>3.8333333333333334E-4</v>
      </c>
      <c r="Q5" s="660">
        <f>(N5+O5/2)*P5</f>
        <v>0</v>
      </c>
      <c r="R5" s="660">
        <f>+N5+O5+Q5</f>
        <v>0</v>
      </c>
      <c r="T5" s="704">
        <f>+F5+L5+R5</f>
        <v>-18576.893447886752</v>
      </c>
    </row>
    <row r="6" spans="1:20" ht="15.05" x14ac:dyDescent="0.3">
      <c r="A6" s="646">
        <f t="shared" ref="A6:A16" si="1">EOMONTH(A5,1)</f>
        <v>44620</v>
      </c>
      <c r="B6" s="662">
        <f>F5</f>
        <v>-14092.137256992333</v>
      </c>
      <c r="C6" s="660">
        <f>'1A. 2022-2024 Reconciliation'!E6</f>
        <v>-146309.19540229885</v>
      </c>
      <c r="D6" s="661">
        <f>'1A. 2022-2024 Reconciliation'!F6</f>
        <v>2.5000000000000001E-4</v>
      </c>
      <c r="E6" s="662">
        <f>(B6+C6/2)*D6</f>
        <v>-21.811683739535439</v>
      </c>
      <c r="F6" s="662">
        <f t="shared" ref="F6:F28" si="2">+B6+C6+E6</f>
        <v>-160423.14434303073</v>
      </c>
      <c r="G6" s="659"/>
      <c r="H6" s="662">
        <f>L5</f>
        <v>-4484.7561908944172</v>
      </c>
      <c r="I6" s="660">
        <f>'1A. 2022-2024 Reconciliation'!M6</f>
        <v>-13025.016665604813</v>
      </c>
      <c r="J6" s="661">
        <f t="shared" ref="J6:J40" si="3">D6</f>
        <v>2.5000000000000001E-4</v>
      </c>
      <c r="K6" s="662">
        <f t="shared" ref="K6:K28" si="4">(H6+I6/2)*J6</f>
        <v>-2.749316130924206</v>
      </c>
      <c r="L6" s="662">
        <f t="shared" ref="L6:L28" si="5">+H6+I6+K6</f>
        <v>-17512.522172630153</v>
      </c>
      <c r="N6" s="662">
        <f>R5</f>
        <v>0</v>
      </c>
      <c r="O6" s="660">
        <f>'1A. 2022-2024 Reconciliation'!U6</f>
        <v>0</v>
      </c>
      <c r="P6" s="661">
        <f t="shared" ref="P6:P40" si="6">J6</f>
        <v>2.5000000000000001E-4</v>
      </c>
      <c r="Q6" s="662">
        <f t="shared" ref="Q6:Q40" si="7">(N6+O6/2)*P6</f>
        <v>0</v>
      </c>
      <c r="R6" s="662">
        <f t="shared" ref="R6:R40" si="8">+N6+O6+Q6</f>
        <v>0</v>
      </c>
      <c r="T6" s="703">
        <f>+F6+L6+R6</f>
        <v>-177935.66651566088</v>
      </c>
    </row>
    <row r="7" spans="1:20" ht="15.05" x14ac:dyDescent="0.3">
      <c r="A7" s="646">
        <f t="shared" si="1"/>
        <v>44651</v>
      </c>
      <c r="B7" s="662">
        <f t="shared" ref="B7:B28" si="9">F6</f>
        <v>-160423.14434303073</v>
      </c>
      <c r="C7" s="660">
        <f>'1A. 2022-2024 Reconciliation'!E7</f>
        <v>-122062.94252873564</v>
      </c>
      <c r="D7" s="661">
        <f>'1A. 2022-2024 Reconciliation'!F7</f>
        <v>3.8333333333333334E-4</v>
      </c>
      <c r="E7" s="662">
        <f t="shared" si="0"/>
        <v>-84.890935982836112</v>
      </c>
      <c r="F7" s="662">
        <f t="shared" si="2"/>
        <v>-282570.97780774918</v>
      </c>
      <c r="G7" s="659"/>
      <c r="H7" s="662">
        <f t="shared" ref="H7:H28" si="10">L6</f>
        <v>-17512.522172630153</v>
      </c>
      <c r="I7" s="660">
        <f>'1A. 2022-2024 Reconciliation'!M7</f>
        <v>-11455.069592568851</v>
      </c>
      <c r="J7" s="661">
        <f t="shared" si="3"/>
        <v>3.8333333333333334E-4</v>
      </c>
      <c r="K7" s="662">
        <f t="shared" si="4"/>
        <v>-8.9086885047505877</v>
      </c>
      <c r="L7" s="662">
        <f t="shared" si="5"/>
        <v>-28976.500453703753</v>
      </c>
      <c r="N7" s="662">
        <f t="shared" ref="N7:N40" si="11">R6</f>
        <v>0</v>
      </c>
      <c r="O7" s="660">
        <f>'1A. 2022-2024 Reconciliation'!U7</f>
        <v>0</v>
      </c>
      <c r="P7" s="661">
        <f t="shared" si="6"/>
        <v>3.8333333333333334E-4</v>
      </c>
      <c r="Q7" s="662">
        <f t="shared" si="7"/>
        <v>0</v>
      </c>
      <c r="R7" s="662">
        <f t="shared" si="8"/>
        <v>0</v>
      </c>
      <c r="T7" s="703">
        <f t="shared" ref="T7:T40" si="12">+F7+L7+R7</f>
        <v>-311547.47826145292</v>
      </c>
    </row>
    <row r="8" spans="1:20" ht="15.05" x14ac:dyDescent="0.3">
      <c r="A8" s="646">
        <f t="shared" si="1"/>
        <v>44681</v>
      </c>
      <c r="B8" s="662">
        <f t="shared" si="9"/>
        <v>-282570.97780774918</v>
      </c>
      <c r="C8" s="660">
        <f>'1A. 2022-2024 Reconciliation'!E8</f>
        <v>-95788.183908045976</v>
      </c>
      <c r="D8" s="661">
        <f>'1A. 2022-2024 Reconciliation'!F8</f>
        <v>5.5000000000000003E-4</v>
      </c>
      <c r="E8" s="662">
        <f t="shared" si="0"/>
        <v>-181.75578836897472</v>
      </c>
      <c r="F8" s="662">
        <f t="shared" si="2"/>
        <v>-378540.91750416416</v>
      </c>
      <c r="G8" s="659"/>
      <c r="H8" s="662">
        <f t="shared" si="10"/>
        <v>-28976.500453703753</v>
      </c>
      <c r="I8" s="660">
        <f>'1A. 2022-2024 Reconciliation'!M8</f>
        <v>-8682.5245282102678</v>
      </c>
      <c r="J8" s="661">
        <f t="shared" si="3"/>
        <v>5.5000000000000003E-4</v>
      </c>
      <c r="K8" s="662">
        <f t="shared" si="4"/>
        <v>-18.324769494794889</v>
      </c>
      <c r="L8" s="662">
        <f t="shared" si="5"/>
        <v>-37677.349751408816</v>
      </c>
      <c r="N8" s="662">
        <f t="shared" si="11"/>
        <v>0</v>
      </c>
      <c r="O8" s="660">
        <f>'1A. 2022-2024 Reconciliation'!U8</f>
        <v>0</v>
      </c>
      <c r="P8" s="661">
        <f t="shared" si="6"/>
        <v>5.5000000000000003E-4</v>
      </c>
      <c r="Q8" s="662">
        <f t="shared" si="7"/>
        <v>0</v>
      </c>
      <c r="R8" s="662">
        <f t="shared" si="8"/>
        <v>0</v>
      </c>
      <c r="T8" s="703">
        <f t="shared" si="12"/>
        <v>-416218.26725557295</v>
      </c>
    </row>
    <row r="9" spans="1:20" ht="15.05" x14ac:dyDescent="0.3">
      <c r="A9" s="646">
        <f t="shared" si="1"/>
        <v>44712</v>
      </c>
      <c r="B9" s="662">
        <f t="shared" si="9"/>
        <v>-378540.91750416416</v>
      </c>
      <c r="C9" s="660">
        <f>'1A. 2022-2024 Reconciliation'!E9</f>
        <v>-11952.977011494266</v>
      </c>
      <c r="D9" s="661">
        <f>'1A. 2022-2024 Reconciliation'!F9</f>
        <v>9.5833333333333328E-4</v>
      </c>
      <c r="E9" s="662">
        <f t="shared" si="0"/>
        <v>-368.49584742616497</v>
      </c>
      <c r="F9" s="662">
        <f t="shared" si="2"/>
        <v>-390862.39036308462</v>
      </c>
      <c r="G9" s="659"/>
      <c r="H9" s="662">
        <f t="shared" si="10"/>
        <v>-37677.349751408816</v>
      </c>
      <c r="I9" s="660">
        <f>'1A. 2022-2024 Reconciliation'!M9</f>
        <v>-6657.2126616041469</v>
      </c>
      <c r="J9" s="661">
        <f t="shared" si="3"/>
        <v>9.5833333333333328E-4</v>
      </c>
      <c r="K9" s="662">
        <f t="shared" si="4"/>
        <v>-39.297374578785437</v>
      </c>
      <c r="L9" s="662">
        <f t="shared" si="5"/>
        <v>-44373.859787591748</v>
      </c>
      <c r="N9" s="662">
        <f t="shared" si="11"/>
        <v>0</v>
      </c>
      <c r="O9" s="660">
        <f>'1A. 2022-2024 Reconciliation'!U9</f>
        <v>0</v>
      </c>
      <c r="P9" s="661">
        <f t="shared" si="6"/>
        <v>9.5833333333333328E-4</v>
      </c>
      <c r="Q9" s="662">
        <f t="shared" si="7"/>
        <v>0</v>
      </c>
      <c r="R9" s="662">
        <f t="shared" si="8"/>
        <v>0</v>
      </c>
      <c r="T9" s="703">
        <f t="shared" si="12"/>
        <v>-435236.25015067635</v>
      </c>
    </row>
    <row r="10" spans="1:20" ht="15.05" x14ac:dyDescent="0.3">
      <c r="A10" s="646">
        <f t="shared" si="1"/>
        <v>44742</v>
      </c>
      <c r="B10" s="662">
        <f t="shared" si="9"/>
        <v>-390862.39036308462</v>
      </c>
      <c r="C10" s="660">
        <f>'1A. 2022-2024 Reconciliation'!E10</f>
        <v>2286.3218390804541</v>
      </c>
      <c r="D10" s="661">
        <f>'1A. 2022-2024 Reconciliation'!F10</f>
        <v>1.4250000000000001E-3</v>
      </c>
      <c r="E10" s="662">
        <f t="shared" si="0"/>
        <v>-555.34990195705075</v>
      </c>
      <c r="F10" s="662">
        <f t="shared" si="2"/>
        <v>-389131.41842596122</v>
      </c>
      <c r="G10" s="659"/>
      <c r="H10" s="662">
        <f t="shared" si="10"/>
        <v>-44373.859787591748</v>
      </c>
      <c r="I10" s="660">
        <f>'1A. 2022-2024 Reconciliation'!M10</f>
        <v>-6958.3114324233666</v>
      </c>
      <c r="J10" s="661">
        <f t="shared" si="3"/>
        <v>1.4250000000000001E-3</v>
      </c>
      <c r="K10" s="662">
        <f t="shared" si="4"/>
        <v>-68.190547092919886</v>
      </c>
      <c r="L10" s="662">
        <f t="shared" si="5"/>
        <v>-51400.361767108036</v>
      </c>
      <c r="N10" s="662">
        <f t="shared" si="11"/>
        <v>0</v>
      </c>
      <c r="O10" s="660">
        <f>'1A. 2022-2024 Reconciliation'!U10</f>
        <v>0</v>
      </c>
      <c r="P10" s="661">
        <f t="shared" si="6"/>
        <v>1.4250000000000001E-3</v>
      </c>
      <c r="Q10" s="662">
        <f t="shared" si="7"/>
        <v>0</v>
      </c>
      <c r="R10" s="662">
        <f t="shared" si="8"/>
        <v>0</v>
      </c>
      <c r="T10" s="703">
        <f t="shared" si="12"/>
        <v>-440531.78019306925</v>
      </c>
    </row>
    <row r="11" spans="1:20" ht="15.05" x14ac:dyDescent="0.3">
      <c r="A11" s="646">
        <f t="shared" si="1"/>
        <v>44773</v>
      </c>
      <c r="B11" s="662">
        <f t="shared" si="9"/>
        <v>-389131.41842596122</v>
      </c>
      <c r="C11" s="660">
        <f>'1A. 2022-2024 Reconciliation'!E11</f>
        <v>-97361.321839080454</v>
      </c>
      <c r="D11" s="661">
        <f>'1A. 2022-2024 Reconciliation'!F11</f>
        <v>1.9166666666666666E-3</v>
      </c>
      <c r="E11" s="662">
        <f t="shared" si="0"/>
        <v>-839.1398187455444</v>
      </c>
      <c r="F11" s="662">
        <f t="shared" si="2"/>
        <v>-487331.88008378725</v>
      </c>
      <c r="G11" s="659"/>
      <c r="H11" s="662">
        <f t="shared" si="10"/>
        <v>-51400.361767108036</v>
      </c>
      <c r="I11" s="660">
        <f>'1A. 2022-2024 Reconciliation'!M11</f>
        <v>-7832.9438382524659</v>
      </c>
      <c r="J11" s="661">
        <f t="shared" si="3"/>
        <v>1.9166666666666666E-3</v>
      </c>
      <c r="K11" s="662">
        <f t="shared" si="4"/>
        <v>-106.02393123194901</v>
      </c>
      <c r="L11" s="662">
        <f t="shared" si="5"/>
        <v>-59339.32953659245</v>
      </c>
      <c r="N11" s="662">
        <f t="shared" si="11"/>
        <v>0</v>
      </c>
      <c r="O11" s="660">
        <f>'1A. 2022-2024 Reconciliation'!U11</f>
        <v>0</v>
      </c>
      <c r="P11" s="661">
        <f t="shared" si="6"/>
        <v>1.9166666666666666E-3</v>
      </c>
      <c r="Q11" s="662">
        <f t="shared" si="7"/>
        <v>0</v>
      </c>
      <c r="R11" s="662">
        <f t="shared" si="8"/>
        <v>0</v>
      </c>
      <c r="T11" s="703">
        <f t="shared" si="12"/>
        <v>-546671.20962037973</v>
      </c>
    </row>
    <row r="12" spans="1:20" ht="15.05" x14ac:dyDescent="0.3">
      <c r="A12" s="646">
        <f t="shared" si="1"/>
        <v>44804</v>
      </c>
      <c r="B12" s="662">
        <f t="shared" si="9"/>
        <v>-487331.88008378725</v>
      </c>
      <c r="C12" s="660">
        <f>'1A. 2022-2024 Reconciliation'!E12</f>
        <v>-117279.90804597703</v>
      </c>
      <c r="D12" s="661">
        <f>'1A. 2022-2024 Reconciliation'!F12</f>
        <v>2.5083333333333333E-3</v>
      </c>
      <c r="E12" s="662">
        <f t="shared" si="0"/>
        <v>-1369.4793505511627</v>
      </c>
      <c r="F12" s="662">
        <f t="shared" si="2"/>
        <v>-605981.26748031541</v>
      </c>
      <c r="G12" s="659"/>
      <c r="H12" s="662">
        <f t="shared" si="10"/>
        <v>-59339.32953659245</v>
      </c>
      <c r="I12" s="660">
        <f>'1A. 2022-2024 Reconciliation'!M12</f>
        <v>-8953.6143361117029</v>
      </c>
      <c r="J12" s="661">
        <f t="shared" si="3"/>
        <v>2.5083333333333333E-3</v>
      </c>
      <c r="K12" s="662">
        <f t="shared" si="4"/>
        <v>-160.07214290082615</v>
      </c>
      <c r="L12" s="662">
        <f t="shared" si="5"/>
        <v>-68453.016015604982</v>
      </c>
      <c r="N12" s="662">
        <f t="shared" si="11"/>
        <v>0</v>
      </c>
      <c r="O12" s="660">
        <f>'1A. 2022-2024 Reconciliation'!U12</f>
        <v>0</v>
      </c>
      <c r="P12" s="661">
        <f t="shared" si="6"/>
        <v>2.5083333333333333E-3</v>
      </c>
      <c r="Q12" s="662">
        <f t="shared" si="7"/>
        <v>0</v>
      </c>
      <c r="R12" s="662">
        <f t="shared" si="8"/>
        <v>0</v>
      </c>
      <c r="T12" s="703">
        <f t="shared" si="12"/>
        <v>-674434.28349592036</v>
      </c>
    </row>
    <row r="13" spans="1:20" ht="15.05" x14ac:dyDescent="0.3">
      <c r="A13" s="646">
        <f t="shared" si="1"/>
        <v>44834</v>
      </c>
      <c r="B13" s="662">
        <f t="shared" si="9"/>
        <v>-605981.26748031541</v>
      </c>
      <c r="C13" s="660">
        <f>'1A. 2022-2024 Reconciliation'!E13</f>
        <v>-97393.747126436792</v>
      </c>
      <c r="D13" s="661">
        <f>'1A. 2022-2024 Reconciliation'!F13</f>
        <v>2.7333333333333337E-3</v>
      </c>
      <c r="E13" s="662">
        <f t="shared" si="0"/>
        <v>-1789.4535855189927</v>
      </c>
      <c r="F13" s="662">
        <f t="shared" si="2"/>
        <v>-705164.46819227119</v>
      </c>
      <c r="G13" s="659"/>
      <c r="H13" s="662">
        <f t="shared" si="10"/>
        <v>-68453.016015604982</v>
      </c>
      <c r="I13" s="660">
        <f>'1A. 2022-2024 Reconciliation'!M13</f>
        <v>-7796.7345114351519</v>
      </c>
      <c r="J13" s="661">
        <f t="shared" si="3"/>
        <v>2.7333333333333337E-3</v>
      </c>
      <c r="K13" s="662">
        <f t="shared" si="4"/>
        <v>-197.76044760828168</v>
      </c>
      <c r="L13" s="662">
        <f t="shared" si="5"/>
        <v>-76447.510974648409</v>
      </c>
      <c r="N13" s="662">
        <f t="shared" si="11"/>
        <v>0</v>
      </c>
      <c r="O13" s="660">
        <f>'1A. 2022-2024 Reconciliation'!U13</f>
        <v>0</v>
      </c>
      <c r="P13" s="661">
        <f t="shared" si="6"/>
        <v>2.7333333333333337E-3</v>
      </c>
      <c r="Q13" s="662">
        <f t="shared" si="7"/>
        <v>0</v>
      </c>
      <c r="R13" s="662">
        <f t="shared" si="8"/>
        <v>0</v>
      </c>
      <c r="T13" s="703">
        <f t="shared" si="12"/>
        <v>-781611.9791669196</v>
      </c>
    </row>
    <row r="14" spans="1:20" ht="15.05" x14ac:dyDescent="0.3">
      <c r="A14" s="646">
        <f t="shared" si="1"/>
        <v>44865</v>
      </c>
      <c r="B14" s="662">
        <f t="shared" si="9"/>
        <v>-705164.46819227119</v>
      </c>
      <c r="C14" s="660">
        <f>'1A. 2022-2024 Reconciliation'!E14</f>
        <v>-49929.758620689652</v>
      </c>
      <c r="D14" s="661">
        <f>'1A. 2022-2024 Reconciliation'!F14</f>
        <v>3.3249999999999998E-3</v>
      </c>
      <c r="E14" s="662">
        <f t="shared" si="0"/>
        <v>-2427.6800804461982</v>
      </c>
      <c r="F14" s="662">
        <f t="shared" si="2"/>
        <v>-757521.90689340699</v>
      </c>
      <c r="G14" s="659"/>
      <c r="H14" s="662">
        <f t="shared" si="10"/>
        <v>-76447.510974648409</v>
      </c>
      <c r="I14" s="660">
        <f>'1A. 2022-2024 Reconciliation'!M14</f>
        <v>-6030.5563542327491</v>
      </c>
      <c r="J14" s="661">
        <f t="shared" si="3"/>
        <v>3.3249999999999998E-3</v>
      </c>
      <c r="K14" s="662">
        <f t="shared" si="4"/>
        <v>-264.2137739296179</v>
      </c>
      <c r="L14" s="662">
        <f t="shared" si="5"/>
        <v>-82742.281102810768</v>
      </c>
      <c r="N14" s="662">
        <f t="shared" si="11"/>
        <v>0</v>
      </c>
      <c r="O14" s="660">
        <f>'1A. 2022-2024 Reconciliation'!U14</f>
        <v>0</v>
      </c>
      <c r="P14" s="661">
        <f t="shared" si="6"/>
        <v>3.3249999999999998E-3</v>
      </c>
      <c r="Q14" s="662">
        <f t="shared" si="7"/>
        <v>0</v>
      </c>
      <c r="R14" s="662">
        <f t="shared" si="8"/>
        <v>0</v>
      </c>
      <c r="T14" s="703">
        <f t="shared" si="12"/>
        <v>-840264.18799621775</v>
      </c>
    </row>
    <row r="15" spans="1:20" ht="15.05" x14ac:dyDescent="0.3">
      <c r="A15" s="646">
        <f t="shared" si="1"/>
        <v>44895</v>
      </c>
      <c r="B15" s="662">
        <f t="shared" si="9"/>
        <v>-757521.90689340699</v>
      </c>
      <c r="C15" s="660">
        <f>'1A. 2022-2024 Reconciliation'!E15</f>
        <v>-39458.034482758623</v>
      </c>
      <c r="D15" s="661">
        <f>'1A. 2022-2024 Reconciliation'!F15</f>
        <v>3.8333333333333331E-3</v>
      </c>
      <c r="E15" s="662">
        <f t="shared" si="0"/>
        <v>-2979.4618758500142</v>
      </c>
      <c r="F15" s="662">
        <f t="shared" si="2"/>
        <v>-799959.40325201559</v>
      </c>
      <c r="G15" s="659"/>
      <c r="H15" s="662">
        <f t="shared" si="10"/>
        <v>-82742.281102810768</v>
      </c>
      <c r="I15" s="660">
        <f>'1A. 2022-2024 Reconciliation'!M15</f>
        <v>-3466.1233880539912</v>
      </c>
      <c r="J15" s="661">
        <f t="shared" si="3"/>
        <v>3.8333333333333331E-3</v>
      </c>
      <c r="K15" s="662">
        <f t="shared" si="4"/>
        <v>-323.82214738787809</v>
      </c>
      <c r="L15" s="662">
        <f t="shared" si="5"/>
        <v>-86532.226638252643</v>
      </c>
      <c r="N15" s="662">
        <f t="shared" si="11"/>
        <v>0</v>
      </c>
      <c r="O15" s="660">
        <f>'1A. 2022-2024 Reconciliation'!U15</f>
        <v>0</v>
      </c>
      <c r="P15" s="661">
        <f t="shared" si="6"/>
        <v>3.8333333333333331E-3</v>
      </c>
      <c r="Q15" s="662">
        <f t="shared" si="7"/>
        <v>0</v>
      </c>
      <c r="R15" s="662">
        <f t="shared" si="8"/>
        <v>0</v>
      </c>
      <c r="T15" s="703">
        <f t="shared" si="12"/>
        <v>-886491.6298902682</v>
      </c>
    </row>
    <row r="16" spans="1:20" ht="15.05" x14ac:dyDescent="0.3">
      <c r="A16" s="646">
        <f t="shared" si="1"/>
        <v>44926</v>
      </c>
      <c r="B16" s="662">
        <f t="shared" si="9"/>
        <v>-799959.40325201559</v>
      </c>
      <c r="C16" s="660">
        <f>'1A. 2022-2024 Reconciliation'!E16</f>
        <v>187054.54022988505</v>
      </c>
      <c r="D16" s="661">
        <f>'1A. 2022-2024 Reconciliation'!F16</f>
        <v>4.1250000000000002E-3</v>
      </c>
      <c r="E16" s="662">
        <f t="shared" si="0"/>
        <v>-2914.0325491904264</v>
      </c>
      <c r="F16" s="662">
        <f t="shared" si="2"/>
        <v>-615818.89557132102</v>
      </c>
      <c r="G16" s="659"/>
      <c r="H16" s="662">
        <f t="shared" si="10"/>
        <v>-86532.226638252643</v>
      </c>
      <c r="I16" s="660">
        <f>'1A. 2022-2024 Reconciliation'!M16</f>
        <v>-1702.3328417075063</v>
      </c>
      <c r="J16" s="661">
        <f t="shared" si="3"/>
        <v>4.1250000000000002E-3</v>
      </c>
      <c r="K16" s="662">
        <f t="shared" si="4"/>
        <v>-360.45649636881393</v>
      </c>
      <c r="L16" s="662">
        <f t="shared" si="5"/>
        <v>-88595.01597632897</v>
      </c>
      <c r="N16" s="662">
        <f t="shared" si="11"/>
        <v>0</v>
      </c>
      <c r="O16" s="660">
        <f>'1A. 2022-2024 Reconciliation'!U16</f>
        <v>0</v>
      </c>
      <c r="P16" s="661">
        <f t="shared" si="6"/>
        <v>4.1250000000000002E-3</v>
      </c>
      <c r="Q16" s="662">
        <f t="shared" si="7"/>
        <v>0</v>
      </c>
      <c r="R16" s="662">
        <f t="shared" si="8"/>
        <v>0</v>
      </c>
      <c r="T16" s="703">
        <f t="shared" si="12"/>
        <v>-704413.91154765</v>
      </c>
    </row>
    <row r="17" spans="1:20" ht="15.05" x14ac:dyDescent="0.3">
      <c r="A17" s="646">
        <v>44927</v>
      </c>
      <c r="B17" s="662">
        <f t="shared" si="9"/>
        <v>-615818.89557132102</v>
      </c>
      <c r="C17" s="660">
        <f>'1A. 2022-2024 Reconciliation'!E17</f>
        <v>-158881.74200077786</v>
      </c>
      <c r="D17" s="661">
        <f>'1A. 2022-2024 Reconciliation'!F17</f>
        <v>4.1075833333333337E-3</v>
      </c>
      <c r="E17" s="662">
        <f t="shared" si="0"/>
        <v>-2855.8374295071794</v>
      </c>
      <c r="F17" s="662">
        <f t="shared" si="2"/>
        <v>-777556.47500160604</v>
      </c>
      <c r="G17" s="659"/>
      <c r="H17" s="662">
        <f t="shared" si="10"/>
        <v>-88595.01597632897</v>
      </c>
      <c r="I17" s="660">
        <f>'1A. 2022-2024 Reconciliation'!M17</f>
        <v>-1226.2878802002979</v>
      </c>
      <c r="J17" s="661">
        <f t="shared" si="3"/>
        <v>4.1075833333333337E-3</v>
      </c>
      <c r="K17" s="662">
        <f t="shared" si="4"/>
        <v>-366.42995087005903</v>
      </c>
      <c r="L17" s="662">
        <f t="shared" si="5"/>
        <v>-90187.733807399331</v>
      </c>
      <c r="N17" s="662">
        <f t="shared" si="11"/>
        <v>0</v>
      </c>
      <c r="O17" s="660">
        <f>'1A. 2022-2024 Reconciliation'!U17</f>
        <v>0</v>
      </c>
      <c r="P17" s="661">
        <f t="shared" si="6"/>
        <v>4.1075833333333337E-3</v>
      </c>
      <c r="Q17" s="662">
        <f t="shared" si="7"/>
        <v>0</v>
      </c>
      <c r="R17" s="662">
        <f t="shared" si="8"/>
        <v>0</v>
      </c>
      <c r="T17" s="703">
        <f t="shared" si="12"/>
        <v>-867744.20880900533</v>
      </c>
    </row>
    <row r="18" spans="1:20" ht="15.05" x14ac:dyDescent="0.3">
      <c r="A18" s="646">
        <f t="shared" ref="A18:A40" si="13">EOMONTH(A17,1)</f>
        <v>44985</v>
      </c>
      <c r="B18" s="662">
        <f t="shared" si="9"/>
        <v>-777556.47500160604</v>
      </c>
      <c r="C18" s="660">
        <f>'1A. 2022-2024 Reconciliation'!E18</f>
        <v>-76206.56484880505</v>
      </c>
      <c r="D18" s="661">
        <f>'1A. 2022-2024 Reconciliation'!F18</f>
        <v>4.1909166666666666E-3</v>
      </c>
      <c r="E18" s="662">
        <f t="shared" si="0"/>
        <v>-3418.3620717259496</v>
      </c>
      <c r="F18" s="662">
        <f t="shared" si="2"/>
        <v>-857181.40192213713</v>
      </c>
      <c r="G18" s="659"/>
      <c r="H18" s="662">
        <f t="shared" si="10"/>
        <v>-90187.733807399331</v>
      </c>
      <c r="I18" s="660">
        <f>'1A. 2022-2024 Reconciliation'!M18</f>
        <v>657.52453113239426</v>
      </c>
      <c r="J18" s="661">
        <f t="shared" si="3"/>
        <v>4.1909166666666666E-3</v>
      </c>
      <c r="K18" s="662">
        <f t="shared" si="4"/>
        <v>-376.59146148419416</v>
      </c>
      <c r="L18" s="662">
        <f t="shared" si="5"/>
        <v>-89906.800737751124</v>
      </c>
      <c r="N18" s="662">
        <f t="shared" si="11"/>
        <v>0</v>
      </c>
      <c r="O18" s="660">
        <f>'1A. 2022-2024 Reconciliation'!U18</f>
        <v>0</v>
      </c>
      <c r="P18" s="661">
        <f t="shared" si="6"/>
        <v>4.1909166666666666E-3</v>
      </c>
      <c r="Q18" s="662">
        <f t="shared" si="7"/>
        <v>0</v>
      </c>
      <c r="R18" s="662">
        <f t="shared" si="8"/>
        <v>0</v>
      </c>
      <c r="T18" s="703">
        <f t="shared" si="12"/>
        <v>-947088.20265988819</v>
      </c>
    </row>
    <row r="19" spans="1:20" ht="15.05" x14ac:dyDescent="0.3">
      <c r="A19" s="646">
        <f t="shared" si="13"/>
        <v>45016</v>
      </c>
      <c r="B19" s="662">
        <f t="shared" si="9"/>
        <v>-857181.40192213713</v>
      </c>
      <c r="C19" s="660">
        <f>'1A. 2022-2024 Reconciliation'!E19</f>
        <v>-86533.372994857578</v>
      </c>
      <c r="D19" s="661">
        <f>'1A. 2022-2024 Reconciliation'!F19</f>
        <v>4.3408333333333328E-3</v>
      </c>
      <c r="E19" s="662">
        <f t="shared" si="0"/>
        <v>-3908.6950771479319</v>
      </c>
      <c r="F19" s="662">
        <f t="shared" si="2"/>
        <v>-947623.46999414265</v>
      </c>
      <c r="G19" s="659"/>
      <c r="H19" s="662">
        <f t="shared" si="10"/>
        <v>-89906.800737751124</v>
      </c>
      <c r="I19" s="660">
        <f>'1A. 2022-2024 Reconciliation'!M19</f>
        <v>1084.8101421216506</v>
      </c>
      <c r="J19" s="661">
        <f t="shared" si="3"/>
        <v>4.3408333333333328E-3</v>
      </c>
      <c r="K19" s="662">
        <f t="shared" si="4"/>
        <v>-387.91594752315808</v>
      </c>
      <c r="L19" s="662">
        <f t="shared" si="5"/>
        <v>-89209.906543152625</v>
      </c>
      <c r="N19" s="662">
        <f t="shared" si="11"/>
        <v>0</v>
      </c>
      <c r="O19" s="660">
        <f>'1A. 2022-2024 Reconciliation'!U19</f>
        <v>0</v>
      </c>
      <c r="P19" s="661">
        <f t="shared" si="6"/>
        <v>4.3408333333333328E-3</v>
      </c>
      <c r="Q19" s="662">
        <f t="shared" si="7"/>
        <v>0</v>
      </c>
      <c r="R19" s="662">
        <f t="shared" si="8"/>
        <v>0</v>
      </c>
      <c r="T19" s="703">
        <f t="shared" si="12"/>
        <v>-1036833.3765372953</v>
      </c>
    </row>
    <row r="20" spans="1:20" ht="15.05" x14ac:dyDescent="0.3">
      <c r="A20" s="646">
        <f t="shared" si="13"/>
        <v>45046</v>
      </c>
      <c r="B20" s="662">
        <f t="shared" si="9"/>
        <v>-947623.46999414265</v>
      </c>
      <c r="C20" s="660">
        <f>'1A. 2022-2024 Reconciliation'!E20</f>
        <v>-55307.646295440551</v>
      </c>
      <c r="D20" s="661">
        <f>'1A. 2022-2024 Reconciliation'!F20</f>
        <v>4.4479999999999997E-3</v>
      </c>
      <c r="E20" s="662">
        <f t="shared" si="0"/>
        <v>-4338.0333998950064</v>
      </c>
      <c r="F20" s="662">
        <f t="shared" si="2"/>
        <v>-1007269.1496894781</v>
      </c>
      <c r="G20" s="659"/>
      <c r="H20" s="662">
        <f t="shared" si="10"/>
        <v>-89209.906543152625</v>
      </c>
      <c r="I20" s="660">
        <f>'1A. 2022-2024 Reconciliation'!M20</f>
        <v>-1607.6844205518119</v>
      </c>
      <c r="J20" s="661">
        <f t="shared" si="3"/>
        <v>4.4479999999999997E-3</v>
      </c>
      <c r="K20" s="662">
        <f t="shared" si="4"/>
        <v>-400.38115445525005</v>
      </c>
      <c r="L20" s="662">
        <f t="shared" si="5"/>
        <v>-91217.972118159683</v>
      </c>
      <c r="N20" s="662">
        <f t="shared" si="11"/>
        <v>0</v>
      </c>
      <c r="O20" s="660">
        <f>'1A. 2022-2024 Reconciliation'!U20</f>
        <v>0</v>
      </c>
      <c r="P20" s="661">
        <f t="shared" si="6"/>
        <v>4.4479999999999997E-3</v>
      </c>
      <c r="Q20" s="662">
        <f t="shared" si="7"/>
        <v>0</v>
      </c>
      <c r="R20" s="662">
        <f t="shared" si="8"/>
        <v>0</v>
      </c>
      <c r="T20" s="703">
        <f t="shared" si="12"/>
        <v>-1098487.1218076379</v>
      </c>
    </row>
    <row r="21" spans="1:20" ht="15.05" x14ac:dyDescent="0.3">
      <c r="A21" s="646">
        <f t="shared" si="13"/>
        <v>45077</v>
      </c>
      <c r="B21" s="662">
        <f t="shared" si="9"/>
        <v>-1007269.1496894781</v>
      </c>
      <c r="C21" s="660">
        <f>'1A. 2022-2024 Reconciliation'!E21</f>
        <v>12935.307587687246</v>
      </c>
      <c r="D21" s="661">
        <f>'1A. 2022-2024 Reconciliation'!F21</f>
        <v>4.5473333333333329E-3</v>
      </c>
      <c r="E21" s="662">
        <f t="shared" si="0"/>
        <v>-4550.9780023360818</v>
      </c>
      <c r="F21" s="662">
        <f t="shared" si="2"/>
        <v>-998884.82010412693</v>
      </c>
      <c r="G21" s="659"/>
      <c r="H21" s="662">
        <f t="shared" si="10"/>
        <v>-91217.972118159683</v>
      </c>
      <c r="I21" s="660">
        <f>'1A. 2022-2024 Reconciliation'!M21</f>
        <v>1831.6553922004032</v>
      </c>
      <c r="J21" s="661">
        <f t="shared" si="3"/>
        <v>4.5473333333333329E-3</v>
      </c>
      <c r="K21" s="662">
        <f t="shared" si="4"/>
        <v>-410.63395140191182</v>
      </c>
      <c r="L21" s="662">
        <f t="shared" si="5"/>
        <v>-89796.950677361179</v>
      </c>
      <c r="N21" s="662">
        <f t="shared" si="11"/>
        <v>0</v>
      </c>
      <c r="O21" s="660">
        <f>'1A. 2022-2024 Reconciliation'!U21</f>
        <v>0</v>
      </c>
      <c r="P21" s="661">
        <f t="shared" si="6"/>
        <v>4.5473333333333329E-3</v>
      </c>
      <c r="Q21" s="662">
        <f t="shared" si="7"/>
        <v>0</v>
      </c>
      <c r="R21" s="662">
        <f t="shared" si="8"/>
        <v>0</v>
      </c>
      <c r="T21" s="703">
        <f t="shared" si="12"/>
        <v>-1088681.7707814882</v>
      </c>
    </row>
    <row r="22" spans="1:20" ht="15.05" x14ac:dyDescent="0.3">
      <c r="A22" s="646">
        <f t="shared" si="13"/>
        <v>45107</v>
      </c>
      <c r="B22" s="662">
        <f t="shared" si="9"/>
        <v>-998884.82010412693</v>
      </c>
      <c r="C22" s="660">
        <f>'1A. 2022-2024 Reconciliation'!E22</f>
        <v>73131.247546323168</v>
      </c>
      <c r="D22" s="661">
        <f>'1A. 2022-2024 Reconciliation'!F22</f>
        <v>4.6470833333333338E-3</v>
      </c>
      <c r="E22" s="662">
        <f t="shared" si="0"/>
        <v>-4471.9774986163575</v>
      </c>
      <c r="F22" s="662">
        <f t="shared" si="2"/>
        <v>-930225.55005642003</v>
      </c>
      <c r="G22" s="659"/>
      <c r="H22" s="662">
        <f t="shared" si="10"/>
        <v>-89796.950677361179</v>
      </c>
      <c r="I22" s="660">
        <f>'1A. 2022-2024 Reconciliation'!M22</f>
        <v>11867.775636461864</v>
      </c>
      <c r="J22" s="661">
        <f t="shared" si="3"/>
        <v>4.6470833333333338E-3</v>
      </c>
      <c r="K22" s="662">
        <f t="shared" si="4"/>
        <v>-389.71864169494989</v>
      </c>
      <c r="L22" s="662">
        <f t="shared" si="5"/>
        <v>-78318.893682594266</v>
      </c>
      <c r="N22" s="662">
        <f t="shared" si="11"/>
        <v>0</v>
      </c>
      <c r="O22" s="660">
        <f>'1A. 2022-2024 Reconciliation'!U22</f>
        <v>0</v>
      </c>
      <c r="P22" s="661">
        <f t="shared" si="6"/>
        <v>4.6470833333333338E-3</v>
      </c>
      <c r="Q22" s="662">
        <f t="shared" si="7"/>
        <v>0</v>
      </c>
      <c r="R22" s="662">
        <f t="shared" si="8"/>
        <v>0</v>
      </c>
      <c r="T22" s="703">
        <f t="shared" si="12"/>
        <v>-1008544.4437390143</v>
      </c>
    </row>
    <row r="23" spans="1:20" ht="15.05" x14ac:dyDescent="0.3">
      <c r="A23" s="646">
        <f t="shared" si="13"/>
        <v>45138</v>
      </c>
      <c r="B23" s="662">
        <f t="shared" si="9"/>
        <v>-930225.55005642003</v>
      </c>
      <c r="C23" s="660">
        <f>'1A. 2022-2024 Reconciliation'!E23</f>
        <v>-65518.781510235385</v>
      </c>
      <c r="D23" s="661">
        <f>'1A. 2022-2024 Reconciliation'!F23</f>
        <v>4.68425E-3</v>
      </c>
      <c r="E23" s="662">
        <f t="shared" si="0"/>
        <v>-4510.8622089964456</v>
      </c>
      <c r="F23" s="662">
        <f t="shared" si="2"/>
        <v>-1000255.1937756519</v>
      </c>
      <c r="G23" s="659"/>
      <c r="H23" s="662">
        <f t="shared" si="10"/>
        <v>-78318.893682594266</v>
      </c>
      <c r="I23" s="660">
        <f>'1A. 2022-2024 Reconciliation'!M23</f>
        <v>16269.233516704082</v>
      </c>
      <c r="J23" s="661">
        <f t="shared" si="3"/>
        <v>4.68425E-3</v>
      </c>
      <c r="K23" s="662">
        <f t="shared" si="4"/>
        <v>-328.76069918238164</v>
      </c>
      <c r="L23" s="662">
        <f t="shared" si="5"/>
        <v>-62378.42086507257</v>
      </c>
      <c r="N23" s="662">
        <f t="shared" si="11"/>
        <v>0</v>
      </c>
      <c r="O23" s="660">
        <f>'1A. 2022-2024 Reconciliation'!U23</f>
        <v>0</v>
      </c>
      <c r="P23" s="661">
        <f t="shared" si="6"/>
        <v>4.68425E-3</v>
      </c>
      <c r="Q23" s="662">
        <f t="shared" si="7"/>
        <v>0</v>
      </c>
      <c r="R23" s="662">
        <f t="shared" si="8"/>
        <v>0</v>
      </c>
      <c r="T23" s="703">
        <f t="shared" si="12"/>
        <v>-1062633.6146407244</v>
      </c>
    </row>
    <row r="24" spans="1:20" ht="15.05" x14ac:dyDescent="0.3">
      <c r="A24" s="646">
        <f t="shared" si="13"/>
        <v>45169</v>
      </c>
      <c r="B24" s="662">
        <f t="shared" si="9"/>
        <v>-1000255.1937756519</v>
      </c>
      <c r="C24" s="660">
        <f>'1A. 2022-2024 Reconciliation'!E24</f>
        <v>-25590.484787433132</v>
      </c>
      <c r="D24" s="661">
        <f>'1A. 2022-2024 Reconciliation'!F24</f>
        <v>4.8268333333333331E-3</v>
      </c>
      <c r="E24" s="662">
        <f t="shared" si="0"/>
        <v>-4889.8256136501795</v>
      </c>
      <c r="F24" s="662">
        <f t="shared" si="2"/>
        <v>-1030735.5041767352</v>
      </c>
      <c r="G24" s="659"/>
      <c r="H24" s="662">
        <f t="shared" si="10"/>
        <v>-62378.42086507257</v>
      </c>
      <c r="I24" s="660">
        <f>'1A. 2022-2024 Reconciliation'!M24</f>
        <v>19265.593236269844</v>
      </c>
      <c r="J24" s="661">
        <f t="shared" si="3"/>
        <v>4.8268333333333331E-3</v>
      </c>
      <c r="K24" s="662">
        <f t="shared" si="4"/>
        <v>-254.59433730259352</v>
      </c>
      <c r="L24" s="662">
        <f t="shared" si="5"/>
        <v>-43367.421966105321</v>
      </c>
      <c r="N24" s="662">
        <f t="shared" si="11"/>
        <v>0</v>
      </c>
      <c r="O24" s="660">
        <f>'1A. 2022-2024 Reconciliation'!U24</f>
        <v>0</v>
      </c>
      <c r="P24" s="661">
        <f t="shared" si="6"/>
        <v>4.8268333333333331E-3</v>
      </c>
      <c r="Q24" s="662">
        <f t="shared" si="7"/>
        <v>0</v>
      </c>
      <c r="R24" s="662">
        <f t="shared" si="8"/>
        <v>0</v>
      </c>
      <c r="T24" s="703">
        <f t="shared" si="12"/>
        <v>-1074102.9261428404</v>
      </c>
    </row>
    <row r="25" spans="1:20" ht="15.05" x14ac:dyDescent="0.3">
      <c r="A25" s="646">
        <f t="shared" si="13"/>
        <v>45199</v>
      </c>
      <c r="B25" s="662">
        <f t="shared" si="9"/>
        <v>-1030735.5041767352</v>
      </c>
      <c r="C25" s="660">
        <f>'1A. 2022-2024 Reconciliation'!E25</f>
        <v>7134.9604804335686</v>
      </c>
      <c r="D25" s="661">
        <f>'1A. 2022-2024 Reconciliation'!F25</f>
        <v>4.9008333333333334E-3</v>
      </c>
      <c r="E25" s="662">
        <f t="shared" si="0"/>
        <v>-5033.9792906422208</v>
      </c>
      <c r="F25" s="662">
        <f t="shared" si="2"/>
        <v>-1028634.5229869438</v>
      </c>
      <c r="G25" s="659"/>
      <c r="H25" s="662">
        <f t="shared" si="10"/>
        <v>-43367.421966105321</v>
      </c>
      <c r="I25" s="660">
        <f>'1A. 2022-2024 Reconciliation'!M25</f>
        <v>6442.3815624197614</v>
      </c>
      <c r="J25" s="661">
        <f t="shared" si="3"/>
        <v>4.9008333333333334E-3</v>
      </c>
      <c r="K25" s="662">
        <f t="shared" si="4"/>
        <v>-196.74998799864176</v>
      </c>
      <c r="L25" s="662">
        <f t="shared" si="5"/>
        <v>-37121.790391684204</v>
      </c>
      <c r="N25" s="662">
        <f t="shared" si="11"/>
        <v>0</v>
      </c>
      <c r="O25" s="660">
        <f>'1A. 2022-2024 Reconciliation'!U25</f>
        <v>0</v>
      </c>
      <c r="P25" s="661">
        <f t="shared" si="6"/>
        <v>4.9008333333333334E-3</v>
      </c>
      <c r="Q25" s="662">
        <f t="shared" si="7"/>
        <v>0</v>
      </c>
      <c r="R25" s="662">
        <f t="shared" si="8"/>
        <v>0</v>
      </c>
      <c r="T25" s="703">
        <f t="shared" si="12"/>
        <v>-1065756.3133786281</v>
      </c>
    </row>
    <row r="26" spans="1:20" ht="15.05" x14ac:dyDescent="0.3">
      <c r="A26" s="646">
        <f t="shared" si="13"/>
        <v>45230</v>
      </c>
      <c r="B26" s="662">
        <f t="shared" si="9"/>
        <v>-1028634.5229869438</v>
      </c>
      <c r="C26" s="660">
        <f>'1A. 2022-2024 Reconciliation'!E26</f>
        <v>31849.202391221486</v>
      </c>
      <c r="D26" s="661">
        <f>'1A. 2022-2024 Reconciliation'!F26</f>
        <v>5.0680000000000005E-3</v>
      </c>
      <c r="E26" s="662">
        <f t="shared" si="0"/>
        <v>-5132.4138836384764</v>
      </c>
      <c r="F26" s="662">
        <f t="shared" si="2"/>
        <v>-1001917.7344793607</v>
      </c>
      <c r="G26" s="659"/>
      <c r="H26" s="662">
        <f t="shared" si="10"/>
        <v>-37121.790391684204</v>
      </c>
      <c r="I26" s="660">
        <f>'1A. 2022-2024 Reconciliation'!M26</f>
        <v>3933.2573956545366</v>
      </c>
      <c r="J26" s="661">
        <f t="shared" si="3"/>
        <v>5.0680000000000005E-3</v>
      </c>
      <c r="K26" s="662">
        <f t="shared" si="4"/>
        <v>-178.16635946446695</v>
      </c>
      <c r="L26" s="662">
        <f t="shared" si="5"/>
        <v>-33366.699355494129</v>
      </c>
      <c r="N26" s="662">
        <f t="shared" si="11"/>
        <v>0</v>
      </c>
      <c r="O26" s="660">
        <f>'1A. 2022-2024 Reconciliation'!U26</f>
        <v>0</v>
      </c>
      <c r="P26" s="661">
        <f t="shared" si="6"/>
        <v>5.0680000000000005E-3</v>
      </c>
      <c r="Q26" s="662">
        <f t="shared" si="7"/>
        <v>0</v>
      </c>
      <c r="R26" s="662">
        <f t="shared" si="8"/>
        <v>0</v>
      </c>
      <c r="T26" s="703">
        <f t="shared" si="12"/>
        <v>-1035284.4338348549</v>
      </c>
    </row>
    <row r="27" spans="1:20" ht="15.05" x14ac:dyDescent="0.3">
      <c r="A27" s="646">
        <f t="shared" si="13"/>
        <v>45260</v>
      </c>
      <c r="B27" s="662">
        <f t="shared" si="9"/>
        <v>-1001917.7344793607</v>
      </c>
      <c r="C27" s="660">
        <f>'1A. 2022-2024 Reconciliation'!E27</f>
        <v>31119.853252581001</v>
      </c>
      <c r="D27" s="661">
        <f>'1A. 2022-2024 Reconciliation'!F27</f>
        <v>5.1228333333333334E-3</v>
      </c>
      <c r="E27" s="662">
        <f t="shared" si="0"/>
        <v>-5052.9466566633037</v>
      </c>
      <c r="F27" s="662">
        <f t="shared" si="2"/>
        <v>-975850.8278834431</v>
      </c>
      <c r="G27" s="659"/>
      <c r="H27" s="662">
        <f t="shared" si="10"/>
        <v>-33366.699355494129</v>
      </c>
      <c r="I27" s="660">
        <f>'1A. 2022-2024 Reconciliation'!M27</f>
        <v>9081.8928455080786</v>
      </c>
      <c r="J27" s="661">
        <f t="shared" si="3"/>
        <v>5.1228333333333334E-3</v>
      </c>
      <c r="K27" s="662">
        <f t="shared" si="4"/>
        <v>-147.66952798227203</v>
      </c>
      <c r="L27" s="662">
        <f t="shared" si="5"/>
        <v>-24432.476037968321</v>
      </c>
      <c r="N27" s="662">
        <f t="shared" si="11"/>
        <v>0</v>
      </c>
      <c r="O27" s="660">
        <f>'1A. 2022-2024 Reconciliation'!U27</f>
        <v>0</v>
      </c>
      <c r="P27" s="661">
        <f t="shared" si="6"/>
        <v>5.1228333333333334E-3</v>
      </c>
      <c r="Q27" s="662">
        <f t="shared" si="7"/>
        <v>0</v>
      </c>
      <c r="R27" s="662">
        <f t="shared" si="8"/>
        <v>0</v>
      </c>
      <c r="T27" s="703">
        <f t="shared" si="12"/>
        <v>-1000283.3039214114</v>
      </c>
    </row>
    <row r="28" spans="1:20" ht="15.05" x14ac:dyDescent="0.3">
      <c r="A28" s="739">
        <f t="shared" si="13"/>
        <v>45291</v>
      </c>
      <c r="B28" s="740">
        <f t="shared" si="9"/>
        <v>-975850.8278834431</v>
      </c>
      <c r="C28" s="741">
        <f>'1A. 2022-2024 Reconciliation'!E28</f>
        <v>99337.327856980381</v>
      </c>
      <c r="D28" s="742">
        <f>'1A. 2022-2024 Reconciliation'!F28</f>
        <v>5.2255000000000001E-3</v>
      </c>
      <c r="E28" s="740">
        <f t="shared" si="0"/>
        <v>-4839.7648977466069</v>
      </c>
      <c r="F28" s="663">
        <f t="shared" si="2"/>
        <v>-881353.26492420933</v>
      </c>
      <c r="G28" s="659"/>
      <c r="H28" s="740">
        <f t="shared" si="10"/>
        <v>-24432.476037968321</v>
      </c>
      <c r="I28" s="741">
        <f>'1A. 2022-2024 Reconciliation'!M28</f>
        <v>19533.559505767516</v>
      </c>
      <c r="J28" s="742">
        <f t="shared" si="3"/>
        <v>5.2255000000000001E-3</v>
      </c>
      <c r="K28" s="740">
        <f t="shared" si="4"/>
        <v>-76.635595937709382</v>
      </c>
      <c r="L28" s="663">
        <f t="shared" si="5"/>
        <v>-4975.5521281385145</v>
      </c>
      <c r="N28" s="740">
        <f t="shared" si="11"/>
        <v>0</v>
      </c>
      <c r="O28" s="741">
        <f>'1A. 2022-2024 Reconciliation'!U28</f>
        <v>0</v>
      </c>
      <c r="P28" s="742">
        <f t="shared" si="6"/>
        <v>5.2255000000000001E-3</v>
      </c>
      <c r="Q28" s="740">
        <f t="shared" si="7"/>
        <v>0</v>
      </c>
      <c r="R28" s="663">
        <f t="shared" si="8"/>
        <v>0</v>
      </c>
      <c r="T28" s="705">
        <f t="shared" si="12"/>
        <v>-886328.81705234782</v>
      </c>
    </row>
    <row r="29" spans="1:20" ht="15.05" x14ac:dyDescent="0.3">
      <c r="A29" s="646">
        <v>45292</v>
      </c>
      <c r="B29" s="662">
        <f t="shared" ref="B29:B40" si="14">F28</f>
        <v>-881353.26492420933</v>
      </c>
      <c r="C29" s="660">
        <f>'1A. 2022-2024 Reconciliation'!E29</f>
        <v>-79205.774696844295</v>
      </c>
      <c r="D29" s="661">
        <f>'1A. 2022-2024 Reconciliation'!F29</f>
        <v>4.8333333333333336E-3</v>
      </c>
      <c r="E29" s="662">
        <f t="shared" ref="E29:E40" si="15">(B29+C29/2)*D29</f>
        <v>-4451.2880693177194</v>
      </c>
      <c r="F29" s="702">
        <f t="shared" ref="F29:F40" si="16">+B29+C29+E29</f>
        <v>-965010.32769037131</v>
      </c>
      <c r="H29" s="662">
        <f t="shared" ref="H29:H40" si="17">L28</f>
        <v>-4975.5521281385145</v>
      </c>
      <c r="I29" s="660">
        <f>'1A. 2022-2024 Reconciliation'!M29</f>
        <v>16862.952369555162</v>
      </c>
      <c r="J29" s="661">
        <f t="shared" si="3"/>
        <v>4.8333333333333336E-3</v>
      </c>
      <c r="K29" s="662">
        <f t="shared" ref="K29:K40" si="18">(H29+I29/2)*J29</f>
        <v>16.703632940422153</v>
      </c>
      <c r="L29" s="702">
        <f t="shared" ref="L29:L40" si="19">+H29+I29+K29</f>
        <v>11904.103874357068</v>
      </c>
      <c r="N29" s="662">
        <f t="shared" si="11"/>
        <v>0</v>
      </c>
      <c r="O29" s="660">
        <f>'1A. 2022-2024 Reconciliation'!U29</f>
        <v>9035.75</v>
      </c>
      <c r="P29" s="661">
        <f t="shared" si="6"/>
        <v>4.8333333333333336E-3</v>
      </c>
      <c r="Q29" s="662">
        <f t="shared" si="7"/>
        <v>21.836395833333334</v>
      </c>
      <c r="R29" s="702">
        <f t="shared" si="8"/>
        <v>9057.5863958333339</v>
      </c>
      <c r="T29" s="703">
        <f t="shared" si="12"/>
        <v>-944048.63742018095</v>
      </c>
    </row>
    <row r="30" spans="1:20" ht="15.05" x14ac:dyDescent="0.3">
      <c r="A30" s="646">
        <f t="shared" si="13"/>
        <v>45351</v>
      </c>
      <c r="B30" s="662">
        <f t="shared" si="14"/>
        <v>-965010.32769037131</v>
      </c>
      <c r="C30" s="660">
        <f>'1A. 2022-2024 Reconciliation'!E30</f>
        <v>-75611.649916807655</v>
      </c>
      <c r="D30" s="661">
        <f>'1A. 2022-2024 Reconciliation'!F30</f>
        <v>4.6166666666666665E-3</v>
      </c>
      <c r="E30" s="662">
        <f t="shared" si="15"/>
        <v>-4629.6679047285115</v>
      </c>
      <c r="F30" s="702">
        <f t="shared" si="16"/>
        <v>-1045251.6455119075</v>
      </c>
      <c r="H30" s="662">
        <f t="shared" si="17"/>
        <v>11904.103874357068</v>
      </c>
      <c r="I30" s="660">
        <f>'1A. 2022-2024 Reconciliation'!M30</f>
        <v>10079.561488956162</v>
      </c>
      <c r="J30" s="661">
        <f t="shared" si="3"/>
        <v>4.6166666666666665E-3</v>
      </c>
      <c r="K30" s="662">
        <f t="shared" si="18"/>
        <v>78.224267323622271</v>
      </c>
      <c r="L30" s="702">
        <f t="shared" si="19"/>
        <v>22061.889630636852</v>
      </c>
      <c r="N30" s="662">
        <f t="shared" si="11"/>
        <v>9057.5863958333339</v>
      </c>
      <c r="O30" s="660">
        <f>'1A. 2022-2024 Reconciliation'!U30</f>
        <v>9035.75</v>
      </c>
      <c r="P30" s="661">
        <f t="shared" si="6"/>
        <v>4.6166666666666665E-3</v>
      </c>
      <c r="Q30" s="662">
        <f t="shared" si="7"/>
        <v>62.673380110763887</v>
      </c>
      <c r="R30" s="702">
        <f t="shared" si="8"/>
        <v>18156.009775944098</v>
      </c>
      <c r="T30" s="703">
        <f t="shared" si="12"/>
        <v>-1005033.7461053266</v>
      </c>
    </row>
    <row r="31" spans="1:20" ht="15.05" x14ac:dyDescent="0.3">
      <c r="A31" s="646">
        <f t="shared" si="13"/>
        <v>45382</v>
      </c>
      <c r="B31" s="662">
        <f t="shared" si="14"/>
        <v>-1045251.6455119075</v>
      </c>
      <c r="C31" s="660">
        <f>'1A. 2022-2024 Reconciliation'!E31</f>
        <v>-18716.167098680096</v>
      </c>
      <c r="D31" s="661">
        <f>'1A. 2022-2024 Reconciliation'!F31</f>
        <v>4.6333333333333331E-3</v>
      </c>
      <c r="E31" s="662">
        <f t="shared" si="15"/>
        <v>-4886.3584113171137</v>
      </c>
      <c r="F31" s="702">
        <f t="shared" si="16"/>
        <v>-1068854.1710219048</v>
      </c>
      <c r="H31" s="662">
        <f t="shared" si="17"/>
        <v>22061.889630636852</v>
      </c>
      <c r="I31" s="660">
        <f>'1A. 2022-2024 Reconciliation'!M31</f>
        <v>12397.905576608855</v>
      </c>
      <c r="J31" s="661">
        <f t="shared" si="3"/>
        <v>4.6333333333333331E-3</v>
      </c>
      <c r="K31" s="662">
        <f t="shared" si="18"/>
        <v>130.94190320776124</v>
      </c>
      <c r="L31" s="702">
        <f t="shared" si="19"/>
        <v>34590.737110453469</v>
      </c>
      <c r="N31" s="662">
        <f t="shared" si="11"/>
        <v>18156.009775944098</v>
      </c>
      <c r="O31" s="660">
        <f>'1A. 2022-2024 Reconciliation'!U31</f>
        <v>9035.75</v>
      </c>
      <c r="P31" s="661">
        <f t="shared" si="6"/>
        <v>4.6333333333333331E-3</v>
      </c>
      <c r="Q31" s="662">
        <f t="shared" si="7"/>
        <v>105.05566612854098</v>
      </c>
      <c r="R31" s="702">
        <f t="shared" si="8"/>
        <v>27296.815442072639</v>
      </c>
      <c r="T31" s="703">
        <f t="shared" si="12"/>
        <v>-1006966.6184693787</v>
      </c>
    </row>
    <row r="32" spans="1:20" ht="15.05" x14ac:dyDescent="0.3">
      <c r="A32" s="646">
        <f t="shared" si="13"/>
        <v>45412</v>
      </c>
      <c r="B32" s="662">
        <f t="shared" si="14"/>
        <v>-1068854.1710219048</v>
      </c>
      <c r="C32" s="660">
        <f>'1A. 2022-2024 Reconciliation'!E32</f>
        <v>-8954.5125741407901</v>
      </c>
      <c r="D32" s="661">
        <f>'1A. 2022-2024 Reconciliation'!F32</f>
        <v>4.6583333333333329E-3</v>
      </c>
      <c r="E32" s="662">
        <f t="shared" si="15"/>
        <v>-4999.9355655476429</v>
      </c>
      <c r="F32" s="702">
        <f t="shared" si="16"/>
        <v>-1082808.619161593</v>
      </c>
      <c r="H32" s="662">
        <f t="shared" si="17"/>
        <v>34590.737110453469</v>
      </c>
      <c r="I32" s="660">
        <f>'1A. 2022-2024 Reconciliation'!M32</f>
        <v>5511.601603515096</v>
      </c>
      <c r="J32" s="661">
        <f t="shared" si="3"/>
        <v>4.6583333333333329E-3</v>
      </c>
      <c r="K32" s="662">
        <f t="shared" si="18"/>
        <v>173.97262244104965</v>
      </c>
      <c r="L32" s="702">
        <f t="shared" si="19"/>
        <v>40276.311336409613</v>
      </c>
      <c r="N32" s="662">
        <f t="shared" si="11"/>
        <v>27296.815442072639</v>
      </c>
      <c r="O32" s="660">
        <f>'1A. 2022-2024 Reconciliation'!U32</f>
        <v>9035.75</v>
      </c>
      <c r="P32" s="661">
        <f t="shared" si="6"/>
        <v>4.6583333333333329E-3</v>
      </c>
      <c r="Q32" s="662">
        <f t="shared" si="7"/>
        <v>148.20343297598836</v>
      </c>
      <c r="R32" s="702">
        <f t="shared" si="8"/>
        <v>36480.768875048627</v>
      </c>
      <c r="T32" s="703">
        <f t="shared" si="12"/>
        <v>-1006051.5389501348</v>
      </c>
    </row>
    <row r="33" spans="1:20" ht="15.05" x14ac:dyDescent="0.3">
      <c r="A33" s="646">
        <f t="shared" si="13"/>
        <v>45443</v>
      </c>
      <c r="B33" s="662">
        <f t="shared" si="14"/>
        <v>-1082808.619161593</v>
      </c>
      <c r="C33" s="660">
        <f>'1A. 2022-2024 Reconciliation'!E33</f>
        <v>112606.40308651541</v>
      </c>
      <c r="D33" s="661">
        <f>'1A. 2022-2024 Reconciliation'!F33</f>
        <v>4.6166666666666665E-3</v>
      </c>
      <c r="E33" s="662">
        <f t="shared" si="15"/>
        <v>-4739.0333446713148</v>
      </c>
      <c r="F33" s="702">
        <f t="shared" si="16"/>
        <v>-974941.24941974902</v>
      </c>
      <c r="H33" s="662">
        <f t="shared" si="17"/>
        <v>40276.311336409613</v>
      </c>
      <c r="I33" s="660">
        <f>'1A. 2022-2024 Reconciliation'!M33</f>
        <v>7340.7306968062367</v>
      </c>
      <c r="J33" s="661">
        <f t="shared" si="3"/>
        <v>4.6166666666666665E-3</v>
      </c>
      <c r="K33" s="662">
        <f t="shared" si="18"/>
        <v>202.88715736155208</v>
      </c>
      <c r="L33" s="702">
        <f t="shared" si="19"/>
        <v>47819.929190577408</v>
      </c>
      <c r="N33" s="662">
        <f t="shared" si="11"/>
        <v>36480.768875048627</v>
      </c>
      <c r="O33" s="660">
        <f>'1A. 2022-2024 Reconciliation'!U33</f>
        <v>9035.75</v>
      </c>
      <c r="P33" s="661">
        <f t="shared" si="6"/>
        <v>4.6166666666666665E-3</v>
      </c>
      <c r="Q33" s="662">
        <f t="shared" si="7"/>
        <v>189.27707255647448</v>
      </c>
      <c r="R33" s="702">
        <f t="shared" si="8"/>
        <v>45705.795947605104</v>
      </c>
      <c r="T33" s="703">
        <f t="shared" si="12"/>
        <v>-881415.5242815665</v>
      </c>
    </row>
    <row r="34" spans="1:20" ht="15.05" x14ac:dyDescent="0.3">
      <c r="A34" s="646">
        <f t="shared" si="13"/>
        <v>45473</v>
      </c>
      <c r="B34" s="662">
        <f t="shared" si="14"/>
        <v>-974941.24941974902</v>
      </c>
      <c r="C34" s="660">
        <f>'1A. 2022-2024 Reconciliation'!E34</f>
        <v>-25244.722694229313</v>
      </c>
      <c r="D34" s="661">
        <f>'1A. 2022-2024 Reconciliation'!F34</f>
        <v>4.6166666666666665E-3</v>
      </c>
      <c r="E34" s="662">
        <f t="shared" si="15"/>
        <v>-4559.2520030403539</v>
      </c>
      <c r="F34" s="702">
        <f t="shared" si="16"/>
        <v>-1004745.2241170187</v>
      </c>
      <c r="H34" s="662">
        <f t="shared" si="17"/>
        <v>47819.929190577408</v>
      </c>
      <c r="I34" s="660">
        <f>'1A. 2022-2024 Reconciliation'!M34</f>
        <v>30139.496228648775</v>
      </c>
      <c r="J34" s="661">
        <f t="shared" si="3"/>
        <v>4.6166666666666665E-3</v>
      </c>
      <c r="K34" s="662">
        <f t="shared" si="18"/>
        <v>290.34067689096327</v>
      </c>
      <c r="L34" s="702">
        <f t="shared" si="19"/>
        <v>78249.76609611715</v>
      </c>
      <c r="N34" s="662">
        <f t="shared" si="11"/>
        <v>45705.795947605104</v>
      </c>
      <c r="O34" s="660">
        <f>'1A. 2022-2024 Reconciliation'!U34</f>
        <v>9035.75</v>
      </c>
      <c r="P34" s="661">
        <f t="shared" si="6"/>
        <v>4.6166666666666665E-3</v>
      </c>
      <c r="Q34" s="662">
        <f t="shared" si="7"/>
        <v>231.86594754144355</v>
      </c>
      <c r="R34" s="702">
        <f t="shared" si="8"/>
        <v>54973.41189514655</v>
      </c>
      <c r="T34" s="703">
        <f t="shared" si="12"/>
        <v>-871522.04612575495</v>
      </c>
    </row>
    <row r="35" spans="1:20" ht="15.05" x14ac:dyDescent="0.3">
      <c r="A35" s="646">
        <f t="shared" si="13"/>
        <v>45504</v>
      </c>
      <c r="B35" s="662">
        <f t="shared" si="14"/>
        <v>-1004745.2241170187</v>
      </c>
      <c r="C35" s="660">
        <f>'1A. 2022-2024 Reconciliation'!E35</f>
        <v>34079.082392242686</v>
      </c>
      <c r="D35" s="661">
        <f>'1A. 2022-2024 Reconciliation'!F35</f>
        <v>4.5583333333333335E-3</v>
      </c>
      <c r="E35" s="662">
        <f t="shared" si="15"/>
        <v>-4502.2917379810906</v>
      </c>
      <c r="F35" s="702">
        <f t="shared" si="16"/>
        <v>-975168.43346275715</v>
      </c>
      <c r="H35" s="662">
        <f t="shared" si="17"/>
        <v>78249.76609611715</v>
      </c>
      <c r="I35" s="660">
        <f>'1A. 2022-2024 Reconciliation'!M35</f>
        <v>51073.642252851772</v>
      </c>
      <c r="J35" s="661">
        <f t="shared" si="3"/>
        <v>4.5583333333333335E-3</v>
      </c>
      <c r="K35" s="662">
        <f t="shared" si="18"/>
        <v>473.09386008942533</v>
      </c>
      <c r="L35" s="702">
        <f t="shared" si="19"/>
        <v>129796.50220905835</v>
      </c>
      <c r="N35" s="662">
        <f t="shared" si="11"/>
        <v>54973.41189514655</v>
      </c>
      <c r="O35" s="660">
        <f>'1A. 2022-2024 Reconciliation'!U35</f>
        <v>9035.75</v>
      </c>
      <c r="P35" s="661">
        <f t="shared" si="6"/>
        <v>4.5583333333333335E-3</v>
      </c>
      <c r="Q35" s="662">
        <f t="shared" si="7"/>
        <v>271.18111609704306</v>
      </c>
      <c r="R35" s="702">
        <f t="shared" si="8"/>
        <v>64280.343011243596</v>
      </c>
      <c r="T35" s="703">
        <f t="shared" si="12"/>
        <v>-781091.58824245515</v>
      </c>
    </row>
    <row r="36" spans="1:20" ht="15.05" x14ac:dyDescent="0.3">
      <c r="A36" s="646">
        <f t="shared" si="13"/>
        <v>45535</v>
      </c>
      <c r="B36" s="662">
        <f t="shared" si="14"/>
        <v>-975168.43346275715</v>
      </c>
      <c r="C36" s="660">
        <f>'1A. 2022-2024 Reconciliation'!E36</f>
        <v>59044.043530033407</v>
      </c>
      <c r="D36" s="661">
        <f>'1A. 2022-2024 Reconciliation'!F36</f>
        <v>4.5583333333333335E-3</v>
      </c>
      <c r="E36" s="662">
        <f t="shared" si="15"/>
        <v>-4310.5715599888672</v>
      </c>
      <c r="F36" s="702">
        <f t="shared" si="16"/>
        <v>-920434.96149271261</v>
      </c>
      <c r="H36" s="662">
        <f t="shared" si="17"/>
        <v>129796.50220905835</v>
      </c>
      <c r="I36" s="660">
        <f>'1A. 2022-2024 Reconciliation'!M36</f>
        <v>46472.247029396458</v>
      </c>
      <c r="J36" s="661">
        <f t="shared" si="3"/>
        <v>4.5583333333333335E-3</v>
      </c>
      <c r="K36" s="662">
        <f t="shared" si="18"/>
        <v>697.5737189241238</v>
      </c>
      <c r="L36" s="702">
        <f t="shared" si="19"/>
        <v>176966.32295737893</v>
      </c>
      <c r="N36" s="662">
        <f t="shared" si="11"/>
        <v>64280.343011243596</v>
      </c>
      <c r="O36" s="660">
        <f>'1A. 2022-2024 Reconciliation'!U36</f>
        <v>9035.75</v>
      </c>
      <c r="P36" s="661">
        <f t="shared" si="6"/>
        <v>4.5583333333333335E-3</v>
      </c>
      <c r="Q36" s="662">
        <f t="shared" si="7"/>
        <v>313.60521043458539</v>
      </c>
      <c r="R36" s="702">
        <f t="shared" si="8"/>
        <v>73629.698221678176</v>
      </c>
      <c r="T36" s="703">
        <f t="shared" si="12"/>
        <v>-669838.94031365553</v>
      </c>
    </row>
    <row r="37" spans="1:20" ht="15.05" x14ac:dyDescent="0.3">
      <c r="A37" s="646">
        <f t="shared" si="13"/>
        <v>45565</v>
      </c>
      <c r="B37" s="662">
        <f t="shared" si="14"/>
        <v>-920434.96149271261</v>
      </c>
      <c r="C37" s="660">
        <f>'1A. 2022-2024 Reconciliation'!E37</f>
        <v>101743.77466667682</v>
      </c>
      <c r="D37" s="661">
        <f>'1A. 2022-2024 Reconciliation'!F37</f>
        <v>4.4000000000000003E-3</v>
      </c>
      <c r="E37" s="662">
        <f t="shared" si="15"/>
        <v>-3826.077526301247</v>
      </c>
      <c r="F37" s="702">
        <f t="shared" si="16"/>
        <v>-822517.26435233711</v>
      </c>
      <c r="H37" s="662">
        <f t="shared" si="17"/>
        <v>176966.32295737893</v>
      </c>
      <c r="I37" s="660">
        <f>'1A. 2022-2024 Reconciliation'!M37</f>
        <v>25018.292269813825</v>
      </c>
      <c r="J37" s="661">
        <f t="shared" si="3"/>
        <v>4.4000000000000003E-3</v>
      </c>
      <c r="K37" s="662">
        <f t="shared" si="18"/>
        <v>833.69206400605776</v>
      </c>
      <c r="L37" s="702">
        <f t="shared" si="19"/>
        <v>202818.30729119881</v>
      </c>
      <c r="N37" s="662">
        <f t="shared" si="11"/>
        <v>73629.698221678176</v>
      </c>
      <c r="O37" s="660">
        <f>'1A. 2022-2024 Reconciliation'!U37</f>
        <v>9035.75</v>
      </c>
      <c r="P37" s="661">
        <f t="shared" si="6"/>
        <v>4.4000000000000003E-3</v>
      </c>
      <c r="Q37" s="662">
        <f t="shared" si="7"/>
        <v>343.84932217538397</v>
      </c>
      <c r="R37" s="702">
        <f t="shared" si="8"/>
        <v>83009.297543853565</v>
      </c>
      <c r="T37" s="703">
        <f t="shared" si="12"/>
        <v>-536689.65951728472</v>
      </c>
    </row>
    <row r="38" spans="1:20" ht="15.05" x14ac:dyDescent="0.3">
      <c r="A38" s="646">
        <f t="shared" si="13"/>
        <v>45596</v>
      </c>
      <c r="B38" s="662">
        <f t="shared" si="14"/>
        <v>-822517.26435233711</v>
      </c>
      <c r="C38" s="660">
        <f>'1A. 2022-2024 Reconciliation'!E38</f>
        <v>39410.638244505622</v>
      </c>
      <c r="D38" s="661">
        <f>'1A. 2022-2024 Reconciliation'!F38</f>
        <v>4.2333333333333329E-3</v>
      </c>
      <c r="E38" s="662">
        <f t="shared" si="15"/>
        <v>-3398.5705681406894</v>
      </c>
      <c r="F38" s="702">
        <f t="shared" si="16"/>
        <v>-786505.1966759722</v>
      </c>
      <c r="H38" s="662">
        <f t="shared" si="17"/>
        <v>202818.30729119881</v>
      </c>
      <c r="I38" s="660">
        <f>'1A. 2022-2024 Reconciliation'!M38</f>
        <v>302.89075972550199</v>
      </c>
      <c r="J38" s="661">
        <f t="shared" si="3"/>
        <v>4.2333333333333329E-3</v>
      </c>
      <c r="K38" s="662">
        <f t="shared" si="18"/>
        <v>859.2386196408271</v>
      </c>
      <c r="L38" s="702">
        <f t="shared" si="19"/>
        <v>203980.43667056513</v>
      </c>
      <c r="N38" s="662">
        <f t="shared" si="11"/>
        <v>83009.297543853565</v>
      </c>
      <c r="O38" s="660">
        <f>'1A. 2022-2024 Reconciliation'!U38</f>
        <v>3710.9472500000011</v>
      </c>
      <c r="P38" s="661">
        <f t="shared" si="6"/>
        <v>4.2333333333333329E-3</v>
      </c>
      <c r="Q38" s="662">
        <f t="shared" si="7"/>
        <v>359.26086461481339</v>
      </c>
      <c r="R38" s="702">
        <f t="shared" si="8"/>
        <v>87079.505658468377</v>
      </c>
      <c r="T38" s="703">
        <f t="shared" si="12"/>
        <v>-495445.25434693869</v>
      </c>
    </row>
    <row r="39" spans="1:20" ht="15.05" x14ac:dyDescent="0.3">
      <c r="A39" s="646">
        <f t="shared" si="13"/>
        <v>45626</v>
      </c>
      <c r="B39" s="662">
        <f t="shared" si="14"/>
        <v>-786505.1966759722</v>
      </c>
      <c r="C39" s="660">
        <f>'1A. 2022-2024 Reconciliation'!E39</f>
        <v>187.56283026138408</v>
      </c>
      <c r="D39" s="661">
        <f>'1A. 2022-2024 Reconciliation'!F39</f>
        <v>4.5750000000000001E-3</v>
      </c>
      <c r="E39" s="662">
        <f t="shared" si="15"/>
        <v>-3597.8322248183499</v>
      </c>
      <c r="F39" s="702">
        <f t="shared" si="16"/>
        <v>-789915.46607052907</v>
      </c>
      <c r="H39" s="662">
        <f t="shared" si="17"/>
        <v>203980.43667056513</v>
      </c>
      <c r="I39" s="660">
        <f>'1A. 2022-2024 Reconciliation'!M39</f>
        <v>6410.3842307864579</v>
      </c>
      <c r="J39" s="661">
        <f t="shared" si="3"/>
        <v>4.5750000000000001E-3</v>
      </c>
      <c r="K39" s="662">
        <f t="shared" si="18"/>
        <v>947.87425169575954</v>
      </c>
      <c r="L39" s="702">
        <f t="shared" si="19"/>
        <v>211338.69515304736</v>
      </c>
      <c r="N39" s="662">
        <f t="shared" si="11"/>
        <v>87079.505658468377</v>
      </c>
      <c r="O39" s="660">
        <f>'1A. 2022-2024 Reconciliation'!U39</f>
        <v>3220.598</v>
      </c>
      <c r="P39" s="661">
        <f t="shared" si="6"/>
        <v>4.5750000000000001E-3</v>
      </c>
      <c r="Q39" s="662">
        <f t="shared" si="7"/>
        <v>405.75585631249282</v>
      </c>
      <c r="R39" s="702">
        <f t="shared" si="8"/>
        <v>90705.859514780866</v>
      </c>
      <c r="T39" s="703">
        <f t="shared" si="12"/>
        <v>-487870.91140270088</v>
      </c>
    </row>
    <row r="40" spans="1:20" ht="15.05" x14ac:dyDescent="0.3">
      <c r="A40" s="646">
        <f t="shared" si="13"/>
        <v>45657</v>
      </c>
      <c r="B40" s="662">
        <f t="shared" si="14"/>
        <v>-789915.46607052907</v>
      </c>
      <c r="C40" s="660">
        <f>'1A. 2022-2024 Reconciliation'!E40</f>
        <v>44286.984623484008</v>
      </c>
      <c r="D40" s="661">
        <f>'1A. 2022-2024 Reconciliation'!F40</f>
        <v>4.4250000000000001E-3</v>
      </c>
      <c r="E40" s="662">
        <f t="shared" si="15"/>
        <v>-3397.3909838826326</v>
      </c>
      <c r="F40" s="702">
        <f t="shared" si="16"/>
        <v>-749025.8724309277</v>
      </c>
      <c r="H40" s="662">
        <f t="shared" si="17"/>
        <v>211338.69515304736</v>
      </c>
      <c r="I40" s="660">
        <f>'1A. 2022-2024 Reconciliation'!M40</f>
        <v>15172.614239152375</v>
      </c>
      <c r="J40" s="661">
        <f t="shared" si="3"/>
        <v>4.4250000000000001E-3</v>
      </c>
      <c r="K40" s="662">
        <f t="shared" si="18"/>
        <v>968.74313505635916</v>
      </c>
      <c r="L40" s="702">
        <f t="shared" si="19"/>
        <v>227480.05252725611</v>
      </c>
      <c r="N40" s="662">
        <f t="shared" si="11"/>
        <v>90705.859514780866</v>
      </c>
      <c r="O40" s="660">
        <f>'1A. 2022-2024 Reconciliation'!U40</f>
        <v>183.37849999999889</v>
      </c>
      <c r="P40" s="661">
        <f t="shared" si="6"/>
        <v>4.4250000000000001E-3</v>
      </c>
      <c r="Q40" s="662">
        <f t="shared" si="7"/>
        <v>401.77915328415531</v>
      </c>
      <c r="R40" s="702">
        <f t="shared" si="8"/>
        <v>91291.017168065009</v>
      </c>
      <c r="T40" s="703">
        <f t="shared" si="12"/>
        <v>-430254.80273560662</v>
      </c>
    </row>
    <row r="41" spans="1:20" x14ac:dyDescent="0.25">
      <c r="A41" s="8"/>
    </row>
    <row r="42" spans="1:20" ht="13.75" thickBot="1" x14ac:dyDescent="0.3">
      <c r="A42" s="645" t="s">
        <v>85</v>
      </c>
    </row>
    <row r="43" spans="1:20" ht="13.75" thickTop="1" x14ac:dyDescent="0.25">
      <c r="A43" s="639" t="s">
        <v>276</v>
      </c>
      <c r="B43" s="706"/>
      <c r="C43" s="707"/>
      <c r="D43" s="707"/>
      <c r="E43" s="707"/>
      <c r="F43" s="708">
        <f>F16</f>
        <v>-615818.89557132102</v>
      </c>
      <c r="H43" s="706"/>
      <c r="I43" s="707"/>
      <c r="J43" s="707"/>
      <c r="K43" s="707"/>
      <c r="L43" s="708">
        <f>L16</f>
        <v>-88595.01597632897</v>
      </c>
      <c r="N43" s="706"/>
      <c r="O43" s="707"/>
      <c r="P43" s="707"/>
      <c r="Q43" s="707"/>
      <c r="R43" s="708">
        <f>R16</f>
        <v>0</v>
      </c>
      <c r="T43" s="716">
        <f>T16</f>
        <v>-704413.91154765</v>
      </c>
    </row>
    <row r="44" spans="1:20" x14ac:dyDescent="0.25">
      <c r="A44" s="639" t="s">
        <v>255</v>
      </c>
      <c r="B44" s="709"/>
      <c r="C44" s="710"/>
      <c r="D44" s="710"/>
      <c r="E44" s="710"/>
      <c r="F44" s="711">
        <f>F28</f>
        <v>-881353.26492420933</v>
      </c>
      <c r="H44" s="709"/>
      <c r="I44" s="710"/>
      <c r="J44" s="710"/>
      <c r="K44" s="710"/>
      <c r="L44" s="711">
        <f>L28</f>
        <v>-4975.5521281385145</v>
      </c>
      <c r="N44" s="709"/>
      <c r="O44" s="710"/>
      <c r="P44" s="710"/>
      <c r="Q44" s="710"/>
      <c r="R44" s="711">
        <f>R28</f>
        <v>0</v>
      </c>
      <c r="T44" s="717">
        <f>T28</f>
        <v>-886328.81705234782</v>
      </c>
    </row>
    <row r="45" spans="1:20" x14ac:dyDescent="0.25">
      <c r="A45" s="639" t="s">
        <v>256</v>
      </c>
      <c r="B45" s="709"/>
      <c r="C45" s="710"/>
      <c r="D45" s="710"/>
      <c r="E45" s="710"/>
      <c r="F45" s="711">
        <f>F40</f>
        <v>-749025.8724309277</v>
      </c>
      <c r="H45" s="709"/>
      <c r="I45" s="710"/>
      <c r="J45" s="710"/>
      <c r="K45" s="710"/>
      <c r="L45" s="711">
        <f>L40</f>
        <v>227480.05252725611</v>
      </c>
      <c r="N45" s="709"/>
      <c r="O45" s="710"/>
      <c r="P45" s="710"/>
      <c r="Q45" s="710"/>
      <c r="R45" s="711">
        <f>R40</f>
        <v>91291.017168065009</v>
      </c>
      <c r="T45" s="717">
        <f>T40</f>
        <v>-430254.80273560662</v>
      </c>
    </row>
    <row r="46" spans="1:20" x14ac:dyDescent="0.25">
      <c r="A46" s="738" t="s">
        <v>296</v>
      </c>
      <c r="B46" s="743"/>
      <c r="C46" s="744"/>
      <c r="D46" s="744"/>
      <c r="E46" s="744"/>
      <c r="F46" s="745">
        <v>-881353.26492420933</v>
      </c>
      <c r="H46" s="743"/>
      <c r="I46" s="744"/>
      <c r="J46" s="744"/>
      <c r="K46" s="744"/>
      <c r="L46" s="745">
        <v>4400.9044788398733</v>
      </c>
      <c r="N46" s="743"/>
      <c r="O46" s="744"/>
      <c r="P46" s="744"/>
      <c r="Q46" s="744"/>
      <c r="R46" s="745">
        <v>0</v>
      </c>
      <c r="T46" s="746">
        <f>+F46+L46+R46</f>
        <v>-876952.3604453695</v>
      </c>
    </row>
    <row r="48" spans="1:20" x14ac:dyDescent="0.25">
      <c r="A48" s="658"/>
      <c r="B48" s="611"/>
      <c r="C48" s="611" t="s">
        <v>263</v>
      </c>
      <c r="D48" s="611"/>
      <c r="E48" s="611"/>
      <c r="F48" s="611"/>
      <c r="H48" s="611"/>
      <c r="I48" s="611" t="s">
        <v>263</v>
      </c>
      <c r="J48" s="611"/>
      <c r="K48" s="611"/>
      <c r="L48" s="611"/>
      <c r="N48" s="611"/>
      <c r="O48" s="611" t="s">
        <v>263</v>
      </c>
      <c r="P48" s="611"/>
      <c r="Q48" s="611"/>
      <c r="R48" s="611"/>
      <c r="T48" s="611"/>
    </row>
    <row r="49" spans="1:20" x14ac:dyDescent="0.25">
      <c r="A49" s="657" t="s">
        <v>3</v>
      </c>
      <c r="B49" s="611" t="s">
        <v>28</v>
      </c>
      <c r="C49" s="611" t="s">
        <v>28</v>
      </c>
      <c r="D49" s="611" t="s">
        <v>264</v>
      </c>
      <c r="E49" s="611" t="s">
        <v>264</v>
      </c>
      <c r="F49" s="611" t="s">
        <v>28</v>
      </c>
      <c r="H49" s="611" t="s">
        <v>267</v>
      </c>
      <c r="I49" s="611" t="s">
        <v>267</v>
      </c>
      <c r="J49" s="611" t="s">
        <v>264</v>
      </c>
      <c r="K49" s="611" t="s">
        <v>264</v>
      </c>
      <c r="L49" s="611" t="s">
        <v>267</v>
      </c>
      <c r="N49" s="611" t="s">
        <v>269</v>
      </c>
      <c r="O49" s="611" t="s">
        <v>269</v>
      </c>
      <c r="P49" s="611" t="s">
        <v>264</v>
      </c>
      <c r="Q49" s="611" t="s">
        <v>264</v>
      </c>
      <c r="R49" s="611" t="s">
        <v>269</v>
      </c>
      <c r="T49" s="611" t="s">
        <v>1</v>
      </c>
    </row>
    <row r="50" spans="1:20" x14ac:dyDescent="0.25">
      <c r="A50" s="212" t="s">
        <v>280</v>
      </c>
      <c r="B50" s="615" t="s">
        <v>281</v>
      </c>
      <c r="C50" s="615" t="s">
        <v>143</v>
      </c>
      <c r="D50" s="615" t="s">
        <v>265</v>
      </c>
      <c r="E50" s="615" t="s">
        <v>266</v>
      </c>
      <c r="F50" s="615" t="s">
        <v>32</v>
      </c>
      <c r="H50" s="615" t="s">
        <v>281</v>
      </c>
      <c r="I50" s="615" t="s">
        <v>143</v>
      </c>
      <c r="J50" s="615" t="s">
        <v>265</v>
      </c>
      <c r="K50" s="615" t="s">
        <v>266</v>
      </c>
      <c r="L50" s="615" t="s">
        <v>32</v>
      </c>
      <c r="N50" s="615" t="s">
        <v>281</v>
      </c>
      <c r="O50" s="615" t="s">
        <v>143</v>
      </c>
      <c r="P50" s="615" t="s">
        <v>265</v>
      </c>
      <c r="Q50" s="615" t="s">
        <v>266</v>
      </c>
      <c r="R50" s="615" t="s">
        <v>32</v>
      </c>
      <c r="T50" s="615" t="s">
        <v>32</v>
      </c>
    </row>
    <row r="51" spans="1:20" ht="15.05" x14ac:dyDescent="0.3">
      <c r="C51" s="699"/>
      <c r="D51" s="700"/>
      <c r="E51" s="699"/>
      <c r="F51" s="701"/>
      <c r="G51" s="659"/>
      <c r="H51" s="699"/>
      <c r="I51" s="699"/>
      <c r="J51" s="699"/>
      <c r="K51" s="699"/>
      <c r="L51" s="701"/>
      <c r="N51" s="699"/>
      <c r="O51" s="699"/>
      <c r="P51" s="699"/>
      <c r="Q51" s="699"/>
      <c r="R51" s="701"/>
    </row>
    <row r="52" spans="1:20" ht="15.05" x14ac:dyDescent="0.3">
      <c r="A52" s="646">
        <v>44562</v>
      </c>
      <c r="B52" s="660">
        <v>0</v>
      </c>
      <c r="C52" s="660">
        <f>'1A. 2022-2024 Reconciliation'!E51</f>
        <v>-32858.5</v>
      </c>
      <c r="D52" s="661">
        <f>'1A. 2022-2024 Reconciliation'!F51</f>
        <v>3.8333333333333334E-4</v>
      </c>
      <c r="E52" s="660">
        <f t="shared" ref="E52" si="20">(B52+C52/2)*D52</f>
        <v>-6.2978791666666671</v>
      </c>
      <c r="F52" s="660">
        <f>+B52+C52+E52</f>
        <v>-32864.797879166668</v>
      </c>
      <c r="G52" s="659"/>
      <c r="H52" s="660">
        <v>0</v>
      </c>
      <c r="I52" s="660">
        <f>'1A. 2022-2024 Reconciliation'!M51</f>
        <v>-5318.5864783082525</v>
      </c>
      <c r="J52" s="661">
        <f>D52</f>
        <v>3.8333333333333334E-4</v>
      </c>
      <c r="K52" s="660">
        <f>(H52+I52/2)*J52</f>
        <v>-1.0193957416757484</v>
      </c>
      <c r="L52" s="660">
        <f>+H52+I52+K52</f>
        <v>-5319.6058740499284</v>
      </c>
      <c r="N52" s="660">
        <v>0</v>
      </c>
      <c r="O52" s="660">
        <f>'1A. 2022-2024 Reconciliation'!U51</f>
        <v>0</v>
      </c>
      <c r="P52" s="661">
        <f>J52</f>
        <v>3.8333333333333334E-4</v>
      </c>
      <c r="Q52" s="660">
        <f>(N52+O52/2)*P52</f>
        <v>0</v>
      </c>
      <c r="R52" s="660">
        <f>+N52+O52+Q52</f>
        <v>0</v>
      </c>
      <c r="T52" s="704">
        <f>+F52+L52+R52</f>
        <v>-38184.403753216597</v>
      </c>
    </row>
    <row r="53" spans="1:20" ht="15.05" x14ac:dyDescent="0.3">
      <c r="A53" s="646">
        <f t="shared" ref="A53:A63" si="21">EOMONTH(A52,1)</f>
        <v>44620</v>
      </c>
      <c r="B53" s="662">
        <f>F52</f>
        <v>-32864.797879166668</v>
      </c>
      <c r="C53" s="660">
        <f>'1A. 2022-2024 Reconciliation'!E52</f>
        <v>-13124.961538461532</v>
      </c>
      <c r="D53" s="661">
        <f>'1A. 2022-2024 Reconciliation'!F52</f>
        <v>2.5000000000000001E-4</v>
      </c>
      <c r="E53" s="662">
        <f>(B53+C53/2)*D53</f>
        <v>-9.8568196620993582</v>
      </c>
      <c r="F53" s="662">
        <f t="shared" ref="F53:F87" si="22">+B53+C53+E53</f>
        <v>-45999.616237290298</v>
      </c>
      <c r="G53" s="659"/>
      <c r="H53" s="662">
        <f>L52</f>
        <v>-5319.6058740499284</v>
      </c>
      <c r="I53" s="660">
        <f>'1A. 2022-2024 Reconciliation'!M52</f>
        <v>-17763.961146554138</v>
      </c>
      <c r="J53" s="661">
        <f t="shared" ref="J53:J87" si="23">D53</f>
        <v>2.5000000000000001E-4</v>
      </c>
      <c r="K53" s="662">
        <f t="shared" ref="K53:K87" si="24">(H53+I53/2)*J53</f>
        <v>-3.5503966118317494</v>
      </c>
      <c r="L53" s="662">
        <f t="shared" ref="L53:L87" si="25">+H53+I53+K53</f>
        <v>-23087.117417215897</v>
      </c>
      <c r="N53" s="662">
        <f>R52</f>
        <v>0</v>
      </c>
      <c r="O53" s="660">
        <f>'1A. 2022-2024 Reconciliation'!U52</f>
        <v>0</v>
      </c>
      <c r="P53" s="661">
        <f t="shared" ref="P53:P87" si="26">J53</f>
        <v>2.5000000000000001E-4</v>
      </c>
      <c r="Q53" s="662">
        <f t="shared" ref="Q53:Q87" si="27">(N53+O53/2)*P53</f>
        <v>0</v>
      </c>
      <c r="R53" s="662">
        <f t="shared" ref="R53:R87" si="28">+N53+O53+Q53</f>
        <v>0</v>
      </c>
      <c r="T53" s="703">
        <f>+F53+L53+R53</f>
        <v>-69086.733654506199</v>
      </c>
    </row>
    <row r="54" spans="1:20" ht="15.05" x14ac:dyDescent="0.3">
      <c r="A54" s="646">
        <f t="shared" si="21"/>
        <v>44651</v>
      </c>
      <c r="B54" s="662">
        <f t="shared" ref="B54:B87" si="29">F53</f>
        <v>-45999.616237290298</v>
      </c>
      <c r="C54" s="660">
        <f>'1A. 2022-2024 Reconciliation'!E53</f>
        <v>-125711.84615384616</v>
      </c>
      <c r="D54" s="661">
        <f>'1A. 2022-2024 Reconciliation'!F53</f>
        <v>3.8333333333333334E-4</v>
      </c>
      <c r="E54" s="662">
        <f t="shared" ref="E54:E87" si="30">(B54+C54/2)*D54</f>
        <v>-41.727956737115129</v>
      </c>
      <c r="F54" s="662">
        <f t="shared" si="22"/>
        <v>-171753.19034787355</v>
      </c>
      <c r="G54" s="659"/>
      <c r="H54" s="662">
        <f t="shared" ref="H54:H87" si="31">L53</f>
        <v>-23087.117417215897</v>
      </c>
      <c r="I54" s="660">
        <f>'1A. 2022-2024 Reconciliation'!M53</f>
        <v>-14471.190920472702</v>
      </c>
      <c r="J54" s="661">
        <f t="shared" si="23"/>
        <v>3.8333333333333334E-4</v>
      </c>
      <c r="K54" s="662">
        <f t="shared" si="24"/>
        <v>-11.623706603023363</v>
      </c>
      <c r="L54" s="662">
        <f t="shared" si="25"/>
        <v>-37569.932044291621</v>
      </c>
      <c r="N54" s="662">
        <f t="shared" ref="N54:N87" si="32">R53</f>
        <v>0</v>
      </c>
      <c r="O54" s="660">
        <f>'1A. 2022-2024 Reconciliation'!U53</f>
        <v>0</v>
      </c>
      <c r="P54" s="661">
        <f t="shared" si="26"/>
        <v>3.8333333333333334E-4</v>
      </c>
      <c r="Q54" s="662">
        <f t="shared" si="27"/>
        <v>0</v>
      </c>
      <c r="R54" s="662">
        <f t="shared" si="28"/>
        <v>0</v>
      </c>
      <c r="T54" s="703">
        <f t="shared" ref="T54:T87" si="33">+F54+L54+R54</f>
        <v>-209323.12239216518</v>
      </c>
    </row>
    <row r="55" spans="1:20" ht="15.05" x14ac:dyDescent="0.3">
      <c r="A55" s="646">
        <f t="shared" si="21"/>
        <v>44681</v>
      </c>
      <c r="B55" s="662">
        <f t="shared" si="29"/>
        <v>-171753.19034787355</v>
      </c>
      <c r="C55" s="660">
        <f>'1A. 2022-2024 Reconciliation'!E54</f>
        <v>-148412.96153846156</v>
      </c>
      <c r="D55" s="661">
        <f>'1A. 2022-2024 Reconciliation'!F54</f>
        <v>5.5000000000000003E-4</v>
      </c>
      <c r="E55" s="662">
        <f t="shared" si="30"/>
        <v>-135.27781911440738</v>
      </c>
      <c r="F55" s="662">
        <f t="shared" si="22"/>
        <v>-320301.4297054495</v>
      </c>
      <c r="G55" s="659"/>
      <c r="H55" s="662">
        <f t="shared" si="31"/>
        <v>-37569.932044291621</v>
      </c>
      <c r="I55" s="660">
        <f>'1A. 2022-2024 Reconciliation'!M54</f>
        <v>-12039.778633242651</v>
      </c>
      <c r="J55" s="661">
        <f t="shared" si="23"/>
        <v>5.5000000000000003E-4</v>
      </c>
      <c r="K55" s="662">
        <f t="shared" si="24"/>
        <v>-23.974401748502121</v>
      </c>
      <c r="L55" s="662">
        <f t="shared" si="25"/>
        <v>-49633.685079282768</v>
      </c>
      <c r="N55" s="662">
        <f t="shared" si="32"/>
        <v>0</v>
      </c>
      <c r="O55" s="660">
        <f>'1A. 2022-2024 Reconciliation'!U54</f>
        <v>0</v>
      </c>
      <c r="P55" s="661">
        <f t="shared" si="26"/>
        <v>5.5000000000000003E-4</v>
      </c>
      <c r="Q55" s="662">
        <f t="shared" si="27"/>
        <v>0</v>
      </c>
      <c r="R55" s="662">
        <f t="shared" si="28"/>
        <v>0</v>
      </c>
      <c r="T55" s="703">
        <f t="shared" si="33"/>
        <v>-369935.11478473229</v>
      </c>
    </row>
    <row r="56" spans="1:20" ht="15.05" x14ac:dyDescent="0.3">
      <c r="A56" s="646">
        <f t="shared" si="21"/>
        <v>44712</v>
      </c>
      <c r="B56" s="662">
        <f t="shared" si="29"/>
        <v>-320301.4297054495</v>
      </c>
      <c r="C56" s="660">
        <f>'1A. 2022-2024 Reconciliation'!E55</f>
        <v>15287.576923076907</v>
      </c>
      <c r="D56" s="661">
        <f>'1A. 2022-2024 Reconciliation'!F55</f>
        <v>9.5833333333333328E-4</v>
      </c>
      <c r="E56" s="662">
        <f t="shared" si="30"/>
        <v>-299.63023952541477</v>
      </c>
      <c r="F56" s="662">
        <f t="shared" si="22"/>
        <v>-305313.48302189802</v>
      </c>
      <c r="G56" s="659"/>
      <c r="H56" s="662">
        <f t="shared" si="31"/>
        <v>-49633.685079282768</v>
      </c>
      <c r="I56" s="660">
        <f>'1A. 2022-2024 Reconciliation'!M55</f>
        <v>-10480.076652943309</v>
      </c>
      <c r="J56" s="661">
        <f t="shared" si="23"/>
        <v>9.5833333333333328E-4</v>
      </c>
      <c r="K56" s="662">
        <f t="shared" si="24"/>
        <v>-52.58731826384799</v>
      </c>
      <c r="L56" s="662">
        <f t="shared" si="25"/>
        <v>-60166.349050489924</v>
      </c>
      <c r="N56" s="662">
        <f t="shared" si="32"/>
        <v>0</v>
      </c>
      <c r="O56" s="660">
        <f>'1A. 2022-2024 Reconciliation'!U55</f>
        <v>0</v>
      </c>
      <c r="P56" s="661">
        <f t="shared" si="26"/>
        <v>9.5833333333333328E-4</v>
      </c>
      <c r="Q56" s="662">
        <f t="shared" si="27"/>
        <v>0</v>
      </c>
      <c r="R56" s="662">
        <f t="shared" si="28"/>
        <v>0</v>
      </c>
      <c r="T56" s="703">
        <f t="shared" si="33"/>
        <v>-365479.83207238792</v>
      </c>
    </row>
    <row r="57" spans="1:20" ht="15.05" x14ac:dyDescent="0.3">
      <c r="A57" s="646">
        <f t="shared" si="21"/>
        <v>44742</v>
      </c>
      <c r="B57" s="662">
        <f t="shared" si="29"/>
        <v>-305313.48302189802</v>
      </c>
      <c r="C57" s="660">
        <f>'1A. 2022-2024 Reconciliation'!E56</f>
        <v>-32957.230769230751</v>
      </c>
      <c r="D57" s="661">
        <f>'1A. 2022-2024 Reconciliation'!F56</f>
        <v>1.4250000000000001E-3</v>
      </c>
      <c r="E57" s="662">
        <f t="shared" si="30"/>
        <v>-458.55374022928163</v>
      </c>
      <c r="F57" s="662">
        <f t="shared" si="22"/>
        <v>-338729.26753135805</v>
      </c>
      <c r="G57" s="659"/>
      <c r="H57" s="662">
        <f t="shared" si="31"/>
        <v>-60166.349050489924</v>
      </c>
      <c r="I57" s="660">
        <f>'1A. 2022-2024 Reconciliation'!M56</f>
        <v>-12587.652347177791</v>
      </c>
      <c r="J57" s="661">
        <f t="shared" si="23"/>
        <v>1.4250000000000001E-3</v>
      </c>
      <c r="K57" s="662">
        <f t="shared" si="24"/>
        <v>-94.705749694312317</v>
      </c>
      <c r="L57" s="662">
        <f t="shared" si="25"/>
        <v>-72848.707147362031</v>
      </c>
      <c r="N57" s="662">
        <f t="shared" si="32"/>
        <v>0</v>
      </c>
      <c r="O57" s="660">
        <f>'1A. 2022-2024 Reconciliation'!U56</f>
        <v>0</v>
      </c>
      <c r="P57" s="661">
        <f t="shared" si="26"/>
        <v>1.4250000000000001E-3</v>
      </c>
      <c r="Q57" s="662">
        <f t="shared" si="27"/>
        <v>0</v>
      </c>
      <c r="R57" s="662">
        <f t="shared" si="28"/>
        <v>0</v>
      </c>
      <c r="T57" s="703">
        <f t="shared" si="33"/>
        <v>-411577.97467872011</v>
      </c>
    </row>
    <row r="58" spans="1:20" ht="15.05" x14ac:dyDescent="0.3">
      <c r="A58" s="646">
        <f t="shared" si="21"/>
        <v>44773</v>
      </c>
      <c r="B58" s="662">
        <f t="shared" si="29"/>
        <v>-338729.26753135805</v>
      </c>
      <c r="C58" s="660">
        <f>'1A. 2022-2024 Reconciliation'!E57</f>
        <v>-129303.53846153847</v>
      </c>
      <c r="D58" s="661">
        <f>'1A. 2022-2024 Reconciliation'!F57</f>
        <v>1.9166666666666666E-3</v>
      </c>
      <c r="E58" s="662">
        <f t="shared" si="30"/>
        <v>-773.14698712741063</v>
      </c>
      <c r="F58" s="662">
        <f t="shared" si="22"/>
        <v>-468805.95298002398</v>
      </c>
      <c r="G58" s="659"/>
      <c r="H58" s="662">
        <f t="shared" si="31"/>
        <v>-72848.707147362031</v>
      </c>
      <c r="I58" s="660">
        <f>'1A. 2022-2024 Reconciliation'!M57</f>
        <v>-13745.456730406346</v>
      </c>
      <c r="J58" s="661">
        <f t="shared" si="23"/>
        <v>1.9166666666666666E-3</v>
      </c>
      <c r="K58" s="662">
        <f t="shared" si="24"/>
        <v>-152.79941806574996</v>
      </c>
      <c r="L58" s="662">
        <f t="shared" si="25"/>
        <v>-86746.963295834139</v>
      </c>
      <c r="N58" s="662">
        <f t="shared" si="32"/>
        <v>0</v>
      </c>
      <c r="O58" s="660">
        <f>'1A. 2022-2024 Reconciliation'!U57</f>
        <v>0</v>
      </c>
      <c r="P58" s="661">
        <f t="shared" si="26"/>
        <v>1.9166666666666666E-3</v>
      </c>
      <c r="Q58" s="662">
        <f t="shared" si="27"/>
        <v>0</v>
      </c>
      <c r="R58" s="662">
        <f t="shared" si="28"/>
        <v>0</v>
      </c>
      <c r="T58" s="703">
        <f t="shared" si="33"/>
        <v>-555552.91627585818</v>
      </c>
    </row>
    <row r="59" spans="1:20" ht="15.05" x14ac:dyDescent="0.3">
      <c r="A59" s="646">
        <f t="shared" si="21"/>
        <v>44804</v>
      </c>
      <c r="B59" s="662">
        <f t="shared" si="29"/>
        <v>-468805.95298002398</v>
      </c>
      <c r="C59" s="660">
        <f>'1A. 2022-2024 Reconciliation'!E58</f>
        <v>-148973.76923076922</v>
      </c>
      <c r="D59" s="661">
        <f>'1A. 2022-2024 Reconciliation'!F58</f>
        <v>2.5083333333333333E-3</v>
      </c>
      <c r="E59" s="662">
        <f t="shared" si="30"/>
        <v>-1362.7595343018165</v>
      </c>
      <c r="F59" s="662">
        <f t="shared" si="22"/>
        <v>-619142.48174509499</v>
      </c>
      <c r="G59" s="659"/>
      <c r="H59" s="662">
        <f t="shared" si="31"/>
        <v>-86746.963295834139</v>
      </c>
      <c r="I59" s="660">
        <f>'1A. 2022-2024 Reconciliation'!M58</f>
        <v>-15894.836358638784</v>
      </c>
      <c r="J59" s="661">
        <f t="shared" si="23"/>
        <v>2.5083333333333333E-3</v>
      </c>
      <c r="K59" s="662">
        <f t="shared" si="24"/>
        <v>-237.5250735335101</v>
      </c>
      <c r="L59" s="662">
        <f t="shared" si="25"/>
        <v>-102879.32472800644</v>
      </c>
      <c r="N59" s="662">
        <f t="shared" si="32"/>
        <v>0</v>
      </c>
      <c r="O59" s="660">
        <f>'1A. 2022-2024 Reconciliation'!U58</f>
        <v>0</v>
      </c>
      <c r="P59" s="661">
        <f t="shared" si="26"/>
        <v>2.5083333333333333E-3</v>
      </c>
      <c r="Q59" s="662">
        <f t="shared" si="27"/>
        <v>0</v>
      </c>
      <c r="R59" s="662">
        <f t="shared" si="28"/>
        <v>0</v>
      </c>
      <c r="T59" s="703">
        <f t="shared" si="33"/>
        <v>-722021.80647310149</v>
      </c>
    </row>
    <row r="60" spans="1:20" ht="15.05" x14ac:dyDescent="0.3">
      <c r="A60" s="646">
        <f t="shared" si="21"/>
        <v>44834</v>
      </c>
      <c r="B60" s="662">
        <f t="shared" si="29"/>
        <v>-619142.48174509499</v>
      </c>
      <c r="C60" s="660">
        <f>'1A. 2022-2024 Reconciliation'!E59</f>
        <v>-121619.38461538462</v>
      </c>
      <c r="D60" s="661">
        <f>'1A. 2022-2024 Reconciliation'!F59</f>
        <v>2.7333333333333337E-3</v>
      </c>
      <c r="E60" s="662">
        <f t="shared" si="30"/>
        <v>-1858.535942410952</v>
      </c>
      <c r="F60" s="662">
        <f t="shared" si="22"/>
        <v>-742620.40230289055</v>
      </c>
      <c r="G60" s="659"/>
      <c r="H60" s="662">
        <f t="shared" si="31"/>
        <v>-102879.32472800644</v>
      </c>
      <c r="I60" s="660">
        <f>'1A. 2022-2024 Reconciliation'!M59</f>
        <v>-11925.0527044144</v>
      </c>
      <c r="J60" s="661">
        <f t="shared" si="23"/>
        <v>2.7333333333333337E-3</v>
      </c>
      <c r="K60" s="662">
        <f t="shared" si="24"/>
        <v>-297.50105961925067</v>
      </c>
      <c r="L60" s="662">
        <f t="shared" si="25"/>
        <v>-115101.87849204008</v>
      </c>
      <c r="N60" s="662">
        <f t="shared" si="32"/>
        <v>0</v>
      </c>
      <c r="O60" s="660">
        <f>'1A. 2022-2024 Reconciliation'!U59</f>
        <v>0</v>
      </c>
      <c r="P60" s="661">
        <f t="shared" si="26"/>
        <v>2.7333333333333337E-3</v>
      </c>
      <c r="Q60" s="662">
        <f t="shared" si="27"/>
        <v>0</v>
      </c>
      <c r="R60" s="662">
        <f t="shared" si="28"/>
        <v>0</v>
      </c>
      <c r="T60" s="703">
        <f t="shared" si="33"/>
        <v>-857722.28079493064</v>
      </c>
    </row>
    <row r="61" spans="1:20" ht="15.05" x14ac:dyDescent="0.3">
      <c r="A61" s="646">
        <f t="shared" si="21"/>
        <v>44865</v>
      </c>
      <c r="B61" s="662">
        <f t="shared" si="29"/>
        <v>-742620.40230289055</v>
      </c>
      <c r="C61" s="660">
        <f>'1A. 2022-2024 Reconciliation'!E60</f>
        <v>-99990.461538461532</v>
      </c>
      <c r="D61" s="661">
        <f>'1A. 2022-2024 Reconciliation'!F60</f>
        <v>3.3249999999999998E-3</v>
      </c>
      <c r="E61" s="662">
        <f t="shared" si="30"/>
        <v>-2635.4469799648032</v>
      </c>
      <c r="F61" s="662">
        <f t="shared" si="22"/>
        <v>-845246.3108213169</v>
      </c>
      <c r="G61" s="659"/>
      <c r="H61" s="662">
        <f t="shared" si="31"/>
        <v>-115101.87849204008</v>
      </c>
      <c r="I61" s="660">
        <f>'1A. 2022-2024 Reconciliation'!M60</f>
        <v>-6316.3530196435004</v>
      </c>
      <c r="J61" s="661">
        <f t="shared" si="23"/>
        <v>3.3249999999999998E-3</v>
      </c>
      <c r="K61" s="662">
        <f t="shared" si="24"/>
        <v>-393.21468288119053</v>
      </c>
      <c r="L61" s="662">
        <f t="shared" si="25"/>
        <v>-121811.44619456478</v>
      </c>
      <c r="N61" s="662">
        <f t="shared" si="32"/>
        <v>0</v>
      </c>
      <c r="O61" s="660">
        <f>'1A. 2022-2024 Reconciliation'!U60</f>
        <v>0</v>
      </c>
      <c r="P61" s="661">
        <f t="shared" si="26"/>
        <v>3.3249999999999998E-3</v>
      </c>
      <c r="Q61" s="662">
        <f t="shared" si="27"/>
        <v>0</v>
      </c>
      <c r="R61" s="662">
        <f t="shared" si="28"/>
        <v>0</v>
      </c>
      <c r="T61" s="703">
        <f t="shared" si="33"/>
        <v>-967057.75701588171</v>
      </c>
    </row>
    <row r="62" spans="1:20" ht="15.05" x14ac:dyDescent="0.3">
      <c r="A62" s="646">
        <f t="shared" si="21"/>
        <v>44895</v>
      </c>
      <c r="B62" s="662">
        <f t="shared" si="29"/>
        <v>-845246.3108213169</v>
      </c>
      <c r="C62" s="660">
        <f>'1A. 2022-2024 Reconciliation'!E61</f>
        <v>-109978.46153846156</v>
      </c>
      <c r="D62" s="661">
        <f>'1A. 2022-2024 Reconciliation'!F61</f>
        <v>3.8333333333333331E-3</v>
      </c>
      <c r="E62" s="662">
        <f t="shared" si="30"/>
        <v>-3450.9029094304324</v>
      </c>
      <c r="F62" s="662">
        <f t="shared" si="22"/>
        <v>-958675.67526920885</v>
      </c>
      <c r="G62" s="659"/>
      <c r="H62" s="662">
        <f t="shared" si="31"/>
        <v>-121811.44619456478</v>
      </c>
      <c r="I62" s="660">
        <f>'1A. 2022-2024 Reconciliation'!M61</f>
        <v>-3219.6231667005595</v>
      </c>
      <c r="J62" s="661">
        <f t="shared" si="23"/>
        <v>3.8333333333333331E-3</v>
      </c>
      <c r="K62" s="662">
        <f t="shared" si="24"/>
        <v>-473.1148214820077</v>
      </c>
      <c r="L62" s="662">
        <f t="shared" si="25"/>
        <v>-125504.18418274735</v>
      </c>
      <c r="N62" s="662">
        <f t="shared" si="32"/>
        <v>0</v>
      </c>
      <c r="O62" s="660">
        <f>'1A. 2022-2024 Reconciliation'!U61</f>
        <v>0</v>
      </c>
      <c r="P62" s="661">
        <f t="shared" si="26"/>
        <v>3.8333333333333331E-3</v>
      </c>
      <c r="Q62" s="662">
        <f t="shared" si="27"/>
        <v>0</v>
      </c>
      <c r="R62" s="662">
        <f t="shared" si="28"/>
        <v>0</v>
      </c>
      <c r="T62" s="703">
        <f t="shared" si="33"/>
        <v>-1084179.8594519561</v>
      </c>
    </row>
    <row r="63" spans="1:20" ht="15.05" x14ac:dyDescent="0.3">
      <c r="A63" s="646">
        <f t="shared" si="21"/>
        <v>44926</v>
      </c>
      <c r="B63" s="662">
        <f t="shared" si="29"/>
        <v>-958675.67526920885</v>
      </c>
      <c r="C63" s="660">
        <f>'1A. 2022-2024 Reconciliation'!E62</f>
        <v>51577.923076923063</v>
      </c>
      <c r="D63" s="661">
        <f>'1A. 2022-2024 Reconciliation'!F62</f>
        <v>4.1250000000000002E-3</v>
      </c>
      <c r="E63" s="662">
        <f t="shared" si="30"/>
        <v>-3848.1576941393328</v>
      </c>
      <c r="F63" s="662">
        <f t="shared" si="22"/>
        <v>-910945.90988642513</v>
      </c>
      <c r="G63" s="659"/>
      <c r="H63" s="662">
        <f t="shared" si="31"/>
        <v>-125504.18418274735</v>
      </c>
      <c r="I63" s="660">
        <f>'1A. 2022-2024 Reconciliation'!M62</f>
        <v>-2397.0000531506521</v>
      </c>
      <c r="J63" s="661">
        <f t="shared" si="23"/>
        <v>4.1250000000000002E-3</v>
      </c>
      <c r="K63" s="662">
        <f t="shared" si="24"/>
        <v>-522.64857236345608</v>
      </c>
      <c r="L63" s="662">
        <f t="shared" si="25"/>
        <v>-128423.83280826146</v>
      </c>
      <c r="N63" s="662">
        <f t="shared" si="32"/>
        <v>0</v>
      </c>
      <c r="O63" s="660">
        <f>'1A. 2022-2024 Reconciliation'!U62</f>
        <v>0</v>
      </c>
      <c r="P63" s="661">
        <f t="shared" si="26"/>
        <v>4.1250000000000002E-3</v>
      </c>
      <c r="Q63" s="662">
        <f t="shared" si="27"/>
        <v>0</v>
      </c>
      <c r="R63" s="662">
        <f t="shared" si="28"/>
        <v>0</v>
      </c>
      <c r="T63" s="703">
        <f t="shared" si="33"/>
        <v>-1039369.7426946866</v>
      </c>
    </row>
    <row r="64" spans="1:20" ht="15.05" x14ac:dyDescent="0.3">
      <c r="A64" s="646">
        <v>44927</v>
      </c>
      <c r="B64" s="662">
        <f t="shared" si="29"/>
        <v>-910945.90988642513</v>
      </c>
      <c r="C64" s="660">
        <f>'1A. 2022-2024 Reconciliation'!E63</f>
        <v>-169274.91765439458</v>
      </c>
      <c r="D64" s="661">
        <f>'1A. 2022-2024 Reconciliation'!F63</f>
        <v>4.1075833333333337E-3</v>
      </c>
      <c r="E64" s="662">
        <f t="shared" si="30"/>
        <v>-4089.4416522719307</v>
      </c>
      <c r="F64" s="662">
        <f t="shared" si="22"/>
        <v>-1084310.2691930917</v>
      </c>
      <c r="G64" s="659"/>
      <c r="H64" s="662">
        <f t="shared" si="31"/>
        <v>-128423.83280826146</v>
      </c>
      <c r="I64" s="660">
        <f>'1A. 2022-2024 Reconciliation'!M63</f>
        <v>-3017.0251167323222</v>
      </c>
      <c r="J64" s="661">
        <f t="shared" si="23"/>
        <v>4.1075833333333337E-3</v>
      </c>
      <c r="K64" s="662">
        <f t="shared" si="24"/>
        <v>-533.7079362888702</v>
      </c>
      <c r="L64" s="662">
        <f t="shared" si="25"/>
        <v>-131974.56586128267</v>
      </c>
      <c r="N64" s="662">
        <f t="shared" si="32"/>
        <v>0</v>
      </c>
      <c r="O64" s="660">
        <f>'1A. 2022-2024 Reconciliation'!U63</f>
        <v>0</v>
      </c>
      <c r="P64" s="661">
        <f t="shared" si="26"/>
        <v>4.1075833333333337E-3</v>
      </c>
      <c r="Q64" s="662">
        <f t="shared" si="27"/>
        <v>0</v>
      </c>
      <c r="R64" s="662">
        <f t="shared" si="28"/>
        <v>0</v>
      </c>
      <c r="T64" s="703">
        <f t="shared" si="33"/>
        <v>-1216284.8350543743</v>
      </c>
    </row>
    <row r="65" spans="1:20" ht="15.05" x14ac:dyDescent="0.3">
      <c r="A65" s="646">
        <f t="shared" ref="A65:A87" si="34">EOMONTH(A64,1)</f>
        <v>44985</v>
      </c>
      <c r="B65" s="662">
        <f t="shared" si="29"/>
        <v>-1084310.2691930917</v>
      </c>
      <c r="C65" s="660">
        <f>'1A. 2022-2024 Reconciliation'!E64</f>
        <v>-114347.03836958579</v>
      </c>
      <c r="D65" s="661">
        <f>'1A. 2022-2024 Reconciliation'!F64</f>
        <v>4.1909166666666666E-3</v>
      </c>
      <c r="E65" s="662">
        <f t="shared" si="30"/>
        <v>-4783.8634334426824</v>
      </c>
      <c r="F65" s="662">
        <f t="shared" si="22"/>
        <v>-1203441.1709961202</v>
      </c>
      <c r="G65" s="659"/>
      <c r="H65" s="662">
        <f t="shared" si="31"/>
        <v>-131974.56586128267</v>
      </c>
      <c r="I65" s="660">
        <f>'1A. 2022-2024 Reconciliation'!M64</f>
        <v>-3006.8553474744695</v>
      </c>
      <c r="J65" s="661">
        <f t="shared" si="23"/>
        <v>4.1909166666666666E-3</v>
      </c>
      <c r="K65" s="662">
        <f t="shared" si="24"/>
        <v>-559.3951477391405</v>
      </c>
      <c r="L65" s="662">
        <f t="shared" si="25"/>
        <v>-135540.8163564963</v>
      </c>
      <c r="N65" s="662">
        <f t="shared" si="32"/>
        <v>0</v>
      </c>
      <c r="O65" s="660">
        <f>'1A. 2022-2024 Reconciliation'!U64</f>
        <v>0</v>
      </c>
      <c r="P65" s="661">
        <f t="shared" si="26"/>
        <v>4.1909166666666666E-3</v>
      </c>
      <c r="Q65" s="662">
        <f t="shared" si="27"/>
        <v>0</v>
      </c>
      <c r="R65" s="662">
        <f t="shared" si="28"/>
        <v>0</v>
      </c>
      <c r="T65" s="703">
        <f t="shared" si="33"/>
        <v>-1338981.9873526166</v>
      </c>
    </row>
    <row r="66" spans="1:20" ht="15.05" x14ac:dyDescent="0.3">
      <c r="A66" s="646">
        <f t="shared" si="34"/>
        <v>45016</v>
      </c>
      <c r="B66" s="662">
        <f t="shared" si="29"/>
        <v>-1203441.1709961202</v>
      </c>
      <c r="C66" s="660">
        <f>'1A. 2022-2024 Reconciliation'!E65</f>
        <v>-43837.721258016449</v>
      </c>
      <c r="D66" s="661">
        <f>'1A. 2022-2024 Reconciliation'!F65</f>
        <v>4.3408333333333328E-3</v>
      </c>
      <c r="E66" s="662">
        <f t="shared" si="30"/>
        <v>-5319.0836706127438</v>
      </c>
      <c r="F66" s="662">
        <f t="shared" si="22"/>
        <v>-1252597.9759247494</v>
      </c>
      <c r="G66" s="659"/>
      <c r="H66" s="662">
        <f t="shared" si="31"/>
        <v>-135540.8163564963</v>
      </c>
      <c r="I66" s="660">
        <f>'1A. 2022-2024 Reconciliation'!M65</f>
        <v>317.90624991803634</v>
      </c>
      <c r="J66" s="661">
        <f t="shared" si="23"/>
        <v>4.3408333333333328E-3</v>
      </c>
      <c r="K66" s="662">
        <f t="shared" si="24"/>
        <v>-587.6701046442314</v>
      </c>
      <c r="L66" s="662">
        <f t="shared" si="25"/>
        <v>-135810.58021122249</v>
      </c>
      <c r="N66" s="662">
        <f t="shared" si="32"/>
        <v>0</v>
      </c>
      <c r="O66" s="660">
        <f>'1A. 2022-2024 Reconciliation'!U65</f>
        <v>0</v>
      </c>
      <c r="P66" s="661">
        <f t="shared" si="26"/>
        <v>4.3408333333333328E-3</v>
      </c>
      <c r="Q66" s="662">
        <f t="shared" si="27"/>
        <v>0</v>
      </c>
      <c r="R66" s="662">
        <f t="shared" si="28"/>
        <v>0</v>
      </c>
      <c r="T66" s="703">
        <f t="shared" si="33"/>
        <v>-1388408.5561359718</v>
      </c>
    </row>
    <row r="67" spans="1:20" ht="15.05" x14ac:dyDescent="0.3">
      <c r="A67" s="646">
        <f t="shared" si="34"/>
        <v>45046</v>
      </c>
      <c r="B67" s="662">
        <f t="shared" si="29"/>
        <v>-1252597.9759247494</v>
      </c>
      <c r="C67" s="660">
        <f>'1A. 2022-2024 Reconciliation'!E66</f>
        <v>-48271.186781482538</v>
      </c>
      <c r="D67" s="661">
        <f>'1A. 2022-2024 Reconciliation'!F66</f>
        <v>4.4479999999999997E-3</v>
      </c>
      <c r="E67" s="662">
        <f t="shared" si="30"/>
        <v>-5678.9109163153025</v>
      </c>
      <c r="F67" s="662">
        <f t="shared" si="22"/>
        <v>-1306548.0736225473</v>
      </c>
      <c r="G67" s="659"/>
      <c r="H67" s="662">
        <f t="shared" si="31"/>
        <v>-135810.58021122249</v>
      </c>
      <c r="I67" s="660">
        <f>'1A. 2022-2024 Reconciliation'!M66</f>
        <v>-1288.6463008800201</v>
      </c>
      <c r="J67" s="661">
        <f t="shared" si="23"/>
        <v>4.4479999999999997E-3</v>
      </c>
      <c r="K67" s="662">
        <f t="shared" si="24"/>
        <v>-606.95141015267473</v>
      </c>
      <c r="L67" s="662">
        <f t="shared" si="25"/>
        <v>-137706.17792225521</v>
      </c>
      <c r="N67" s="662">
        <f t="shared" si="32"/>
        <v>0</v>
      </c>
      <c r="O67" s="660">
        <f>'1A. 2022-2024 Reconciliation'!U66</f>
        <v>0</v>
      </c>
      <c r="P67" s="661">
        <f t="shared" si="26"/>
        <v>4.4479999999999997E-3</v>
      </c>
      <c r="Q67" s="662">
        <f t="shared" si="27"/>
        <v>0</v>
      </c>
      <c r="R67" s="662">
        <f t="shared" si="28"/>
        <v>0</v>
      </c>
      <c r="T67" s="703">
        <f t="shared" si="33"/>
        <v>-1444254.2515448024</v>
      </c>
    </row>
    <row r="68" spans="1:20" ht="15.05" x14ac:dyDescent="0.3">
      <c r="A68" s="646">
        <f t="shared" si="34"/>
        <v>45077</v>
      </c>
      <c r="B68" s="662">
        <f t="shared" si="29"/>
        <v>-1306548.0736225473</v>
      </c>
      <c r="C68" s="660">
        <f>'1A. 2022-2024 Reconciliation'!E67</f>
        <v>-57184.620806078048</v>
      </c>
      <c r="D68" s="661">
        <f>'1A. 2022-2024 Reconciliation'!F67</f>
        <v>4.5473333333333329E-3</v>
      </c>
      <c r="E68" s="662">
        <f t="shared" si="30"/>
        <v>-6071.3283729590157</v>
      </c>
      <c r="F68" s="662">
        <f t="shared" si="22"/>
        <v>-1369804.0228015843</v>
      </c>
      <c r="G68" s="659"/>
      <c r="H68" s="662">
        <f t="shared" si="31"/>
        <v>-137706.17792225521</v>
      </c>
      <c r="I68" s="660">
        <f>'1A. 2022-2024 Reconciliation'!M67</f>
        <v>766.08489571798054</v>
      </c>
      <c r="J68" s="661">
        <f t="shared" si="23"/>
        <v>4.5473333333333329E-3</v>
      </c>
      <c r="K68" s="662">
        <f t="shared" si="24"/>
        <v>-624.45407138057101</v>
      </c>
      <c r="L68" s="662">
        <f t="shared" si="25"/>
        <v>-137564.54709791782</v>
      </c>
      <c r="N68" s="662">
        <f t="shared" si="32"/>
        <v>0</v>
      </c>
      <c r="O68" s="660">
        <f>'1A. 2022-2024 Reconciliation'!U67</f>
        <v>0</v>
      </c>
      <c r="P68" s="661">
        <f t="shared" si="26"/>
        <v>4.5473333333333329E-3</v>
      </c>
      <c r="Q68" s="662">
        <f t="shared" si="27"/>
        <v>0</v>
      </c>
      <c r="R68" s="662">
        <f t="shared" si="28"/>
        <v>0</v>
      </c>
      <c r="T68" s="703">
        <f t="shared" si="33"/>
        <v>-1507368.5698995022</v>
      </c>
    </row>
    <row r="69" spans="1:20" ht="15.05" x14ac:dyDescent="0.3">
      <c r="A69" s="646">
        <f t="shared" si="34"/>
        <v>45107</v>
      </c>
      <c r="B69" s="662">
        <f t="shared" si="29"/>
        <v>-1369804.0228015843</v>
      </c>
      <c r="C69" s="660">
        <f>'1A. 2022-2024 Reconciliation'!E68</f>
        <v>-85433.554084784642</v>
      </c>
      <c r="D69" s="661">
        <f>'1A. 2022-2024 Reconciliation'!F68</f>
        <v>4.6470833333333338E-3</v>
      </c>
      <c r="E69" s="662">
        <f t="shared" si="30"/>
        <v>-6564.1018669416144</v>
      </c>
      <c r="F69" s="662">
        <f t="shared" si="22"/>
        <v>-1461801.6787533106</v>
      </c>
      <c r="G69" s="659"/>
      <c r="H69" s="662">
        <f t="shared" si="31"/>
        <v>-137564.54709791782</v>
      </c>
      <c r="I69" s="660">
        <f>'1A. 2022-2024 Reconciliation'!M68</f>
        <v>-2359.0161513122548</v>
      </c>
      <c r="J69" s="661">
        <f t="shared" si="23"/>
        <v>4.6470833333333338E-3</v>
      </c>
      <c r="K69" s="662">
        <f t="shared" si="24"/>
        <v>-644.755186396196</v>
      </c>
      <c r="L69" s="662">
        <f t="shared" si="25"/>
        <v>-140568.31843562625</v>
      </c>
      <c r="N69" s="662">
        <f t="shared" si="32"/>
        <v>0</v>
      </c>
      <c r="O69" s="660">
        <f>'1A. 2022-2024 Reconciliation'!U68</f>
        <v>0</v>
      </c>
      <c r="P69" s="661">
        <f t="shared" si="26"/>
        <v>4.6470833333333338E-3</v>
      </c>
      <c r="Q69" s="662">
        <f t="shared" si="27"/>
        <v>0</v>
      </c>
      <c r="R69" s="662">
        <f t="shared" si="28"/>
        <v>0</v>
      </c>
      <c r="T69" s="703">
        <f t="shared" si="33"/>
        <v>-1602369.9971889369</v>
      </c>
    </row>
    <row r="70" spans="1:20" ht="15.05" x14ac:dyDescent="0.3">
      <c r="A70" s="646">
        <f t="shared" si="34"/>
        <v>45138</v>
      </c>
      <c r="B70" s="662">
        <f t="shared" si="29"/>
        <v>-1461801.6787533106</v>
      </c>
      <c r="C70" s="660">
        <f>'1A. 2022-2024 Reconciliation'!E69</f>
        <v>-38186.208489764613</v>
      </c>
      <c r="D70" s="661">
        <f>'1A. 2022-2024 Reconciliation'!F69</f>
        <v>4.68425E-3</v>
      </c>
      <c r="E70" s="662">
        <f t="shared" si="30"/>
        <v>-6936.8813872592846</v>
      </c>
      <c r="F70" s="662">
        <f t="shared" si="22"/>
        <v>-1506924.7686303346</v>
      </c>
      <c r="G70" s="659"/>
      <c r="H70" s="662">
        <f t="shared" si="31"/>
        <v>-140568.31843562625</v>
      </c>
      <c r="I70" s="660">
        <f>'1A. 2022-2024 Reconciliation'!M69</f>
        <v>-28345.787664509531</v>
      </c>
      <c r="J70" s="661">
        <f t="shared" si="23"/>
        <v>4.68425E-3</v>
      </c>
      <c r="K70" s="662">
        <f t="shared" si="24"/>
        <v>-724.84652356582171</v>
      </c>
      <c r="L70" s="662">
        <f t="shared" si="25"/>
        <v>-169638.9526237016</v>
      </c>
      <c r="N70" s="662">
        <f t="shared" si="32"/>
        <v>0</v>
      </c>
      <c r="O70" s="660">
        <f>'1A. 2022-2024 Reconciliation'!U69</f>
        <v>0</v>
      </c>
      <c r="P70" s="661">
        <f t="shared" si="26"/>
        <v>4.68425E-3</v>
      </c>
      <c r="Q70" s="662">
        <f t="shared" si="27"/>
        <v>0</v>
      </c>
      <c r="R70" s="662">
        <f t="shared" si="28"/>
        <v>0</v>
      </c>
      <c r="T70" s="703">
        <f t="shared" si="33"/>
        <v>-1676563.7212540363</v>
      </c>
    </row>
    <row r="71" spans="1:20" ht="15.05" x14ac:dyDescent="0.3">
      <c r="A71" s="646">
        <f t="shared" si="34"/>
        <v>45169</v>
      </c>
      <c r="B71" s="662">
        <f t="shared" si="29"/>
        <v>-1506924.7686303346</v>
      </c>
      <c r="C71" s="660">
        <f>'1A. 2022-2024 Reconciliation'!E70</f>
        <v>-33815.881420711652</v>
      </c>
      <c r="D71" s="661">
        <f>'1A. 2022-2024 Reconciliation'!F70</f>
        <v>4.8268333333333331E-3</v>
      </c>
      <c r="E71" s="662">
        <f t="shared" si="30"/>
        <v>-7355.2865158692885</v>
      </c>
      <c r="F71" s="662">
        <f t="shared" si="22"/>
        <v>-1548095.9365669156</v>
      </c>
      <c r="G71" s="659"/>
      <c r="H71" s="662">
        <f t="shared" si="31"/>
        <v>-169638.9526237016</v>
      </c>
      <c r="I71" s="660">
        <f>'1A. 2022-2024 Reconciliation'!M70</f>
        <v>-8378.6913019621206</v>
      </c>
      <c r="J71" s="661">
        <f t="shared" si="23"/>
        <v>4.8268333333333331E-3</v>
      </c>
      <c r="K71" s="662">
        <f t="shared" si="24"/>
        <v>-839.04022438884738</v>
      </c>
      <c r="L71" s="662">
        <f t="shared" si="25"/>
        <v>-178856.68415005258</v>
      </c>
      <c r="N71" s="662">
        <f t="shared" si="32"/>
        <v>0</v>
      </c>
      <c r="O71" s="660">
        <f>'1A. 2022-2024 Reconciliation'!U70</f>
        <v>0</v>
      </c>
      <c r="P71" s="661">
        <f t="shared" si="26"/>
        <v>4.8268333333333331E-3</v>
      </c>
      <c r="Q71" s="662">
        <f t="shared" si="27"/>
        <v>0</v>
      </c>
      <c r="R71" s="662">
        <f t="shared" si="28"/>
        <v>0</v>
      </c>
      <c r="T71" s="703">
        <f t="shared" si="33"/>
        <v>-1726952.6207169681</v>
      </c>
    </row>
    <row r="72" spans="1:20" ht="15.05" x14ac:dyDescent="0.3">
      <c r="A72" s="646">
        <f t="shared" si="34"/>
        <v>45199</v>
      </c>
      <c r="B72" s="662">
        <f t="shared" si="29"/>
        <v>-1548095.9365669156</v>
      </c>
      <c r="C72" s="660">
        <f>'1A. 2022-2024 Reconciliation'!E71</f>
        <v>82021.561676429177</v>
      </c>
      <c r="D72" s="661">
        <f>'1A. 2022-2024 Reconciliation'!F71</f>
        <v>4.9008333333333334E-3</v>
      </c>
      <c r="E72" s="662">
        <f t="shared" si="30"/>
        <v>-7385.9731673670758</v>
      </c>
      <c r="F72" s="662">
        <f t="shared" si="22"/>
        <v>-1473460.3480578535</v>
      </c>
      <c r="G72" s="659"/>
      <c r="H72" s="662">
        <f t="shared" si="31"/>
        <v>-178856.68415005258</v>
      </c>
      <c r="I72" s="660">
        <f>'1A. 2022-2024 Reconciliation'!M71</f>
        <v>-8494.4311290734186</v>
      </c>
      <c r="J72" s="661">
        <f t="shared" si="23"/>
        <v>4.9008333333333334E-3</v>
      </c>
      <c r="K72" s="662">
        <f t="shared" si="24"/>
        <v>-897.36169518458303</v>
      </c>
      <c r="L72" s="662">
        <f t="shared" si="25"/>
        <v>-188248.47697431056</v>
      </c>
      <c r="N72" s="662">
        <f t="shared" si="32"/>
        <v>0</v>
      </c>
      <c r="O72" s="660">
        <f>'1A. 2022-2024 Reconciliation'!U71</f>
        <v>0</v>
      </c>
      <c r="P72" s="661">
        <f t="shared" si="26"/>
        <v>4.9008333333333334E-3</v>
      </c>
      <c r="Q72" s="662">
        <f t="shared" si="27"/>
        <v>0</v>
      </c>
      <c r="R72" s="662">
        <f t="shared" si="28"/>
        <v>0</v>
      </c>
      <c r="T72" s="703">
        <f t="shared" si="33"/>
        <v>-1661708.8250321641</v>
      </c>
    </row>
    <row r="73" spans="1:20" ht="15.05" x14ac:dyDescent="0.3">
      <c r="A73" s="646">
        <f t="shared" si="34"/>
        <v>45230</v>
      </c>
      <c r="B73" s="662">
        <f t="shared" si="29"/>
        <v>-1473460.3480578535</v>
      </c>
      <c r="C73" s="660">
        <f>'1A. 2022-2024 Reconciliation'!E72</f>
        <v>307328.32604015106</v>
      </c>
      <c r="D73" s="661">
        <f>'1A. 2022-2024 Reconciliation'!F72</f>
        <v>5.0680000000000005E-3</v>
      </c>
      <c r="E73" s="662">
        <f t="shared" si="30"/>
        <v>-6688.7270657714598</v>
      </c>
      <c r="F73" s="662">
        <f t="shared" si="22"/>
        <v>-1172820.7490834738</v>
      </c>
      <c r="G73" s="659"/>
      <c r="H73" s="662">
        <f t="shared" si="31"/>
        <v>-188248.47697431056</v>
      </c>
      <c r="I73" s="660">
        <f>'1A. 2022-2024 Reconciliation'!M72</f>
        <v>1152.184162914833</v>
      </c>
      <c r="J73" s="661">
        <f t="shared" si="23"/>
        <v>5.0680000000000005E-3</v>
      </c>
      <c r="K73" s="662">
        <f t="shared" si="24"/>
        <v>-951.12364663697986</v>
      </c>
      <c r="L73" s="662">
        <f t="shared" si="25"/>
        <v>-188047.41645803271</v>
      </c>
      <c r="N73" s="662">
        <f t="shared" si="32"/>
        <v>0</v>
      </c>
      <c r="O73" s="660">
        <f>'1A. 2022-2024 Reconciliation'!U72</f>
        <v>0</v>
      </c>
      <c r="P73" s="661">
        <f t="shared" si="26"/>
        <v>5.0680000000000005E-3</v>
      </c>
      <c r="Q73" s="662">
        <f t="shared" si="27"/>
        <v>0</v>
      </c>
      <c r="R73" s="662">
        <f t="shared" si="28"/>
        <v>0</v>
      </c>
      <c r="T73" s="703">
        <f t="shared" si="33"/>
        <v>-1360868.1655415066</v>
      </c>
    </row>
    <row r="74" spans="1:20" ht="15.05" x14ac:dyDescent="0.3">
      <c r="A74" s="646">
        <f t="shared" si="34"/>
        <v>45260</v>
      </c>
      <c r="B74" s="662">
        <f t="shared" si="29"/>
        <v>-1172820.7490834738</v>
      </c>
      <c r="C74" s="660">
        <f>'1A. 2022-2024 Reconciliation'!E73</f>
        <v>244609.14628588053</v>
      </c>
      <c r="D74" s="661">
        <f>'1A. 2022-2024 Reconciliation'!F73</f>
        <v>5.1228333333333334E-3</v>
      </c>
      <c r="E74" s="662">
        <f t="shared" si="30"/>
        <v>-5381.6192833140303</v>
      </c>
      <c r="F74" s="662">
        <f t="shared" si="22"/>
        <v>-933593.2220809072</v>
      </c>
      <c r="G74" s="659"/>
      <c r="H74" s="662">
        <f t="shared" si="31"/>
        <v>-188047.41645803271</v>
      </c>
      <c r="I74" s="660">
        <f>'1A. 2022-2024 Reconciliation'!M73</f>
        <v>33829.950362238473</v>
      </c>
      <c r="J74" s="661">
        <f t="shared" si="23"/>
        <v>5.1228333333333334E-3</v>
      </c>
      <c r="K74" s="662">
        <f t="shared" si="24"/>
        <v>-876.68297458808161</v>
      </c>
      <c r="L74" s="662">
        <f t="shared" si="25"/>
        <v>-155094.14907038229</v>
      </c>
      <c r="N74" s="662">
        <f t="shared" si="32"/>
        <v>0</v>
      </c>
      <c r="O74" s="660">
        <f>'1A. 2022-2024 Reconciliation'!U73</f>
        <v>0</v>
      </c>
      <c r="P74" s="661">
        <f t="shared" si="26"/>
        <v>5.1228333333333334E-3</v>
      </c>
      <c r="Q74" s="662">
        <f t="shared" si="27"/>
        <v>0</v>
      </c>
      <c r="R74" s="662">
        <f t="shared" si="28"/>
        <v>0</v>
      </c>
      <c r="T74" s="703">
        <f t="shared" si="33"/>
        <v>-1088687.3711512894</v>
      </c>
    </row>
    <row r="75" spans="1:20" ht="15.05" x14ac:dyDescent="0.3">
      <c r="A75" s="739">
        <f t="shared" si="34"/>
        <v>45291</v>
      </c>
      <c r="B75" s="740">
        <f t="shared" si="29"/>
        <v>-933593.2220809072</v>
      </c>
      <c r="C75" s="741">
        <f>'1A. 2022-2024 Reconciliation'!E74</f>
        <v>913372.23214301956</v>
      </c>
      <c r="D75" s="742">
        <f>'1A. 2022-2024 Reconciliation'!F74</f>
        <v>5.2255000000000001E-3</v>
      </c>
      <c r="E75" s="740">
        <f t="shared" si="30"/>
        <v>-2492.0780824521062</v>
      </c>
      <c r="F75" s="663">
        <f t="shared" si="22"/>
        <v>-22713.06802033975</v>
      </c>
      <c r="G75" s="659"/>
      <c r="H75" s="740">
        <f t="shared" si="31"/>
        <v>-155094.14907038229</v>
      </c>
      <c r="I75" s="741">
        <f>'1A. 2022-2024 Reconciliation'!M74</f>
        <v>41897.220694555326</v>
      </c>
      <c r="J75" s="742">
        <f t="shared" si="23"/>
        <v>5.2255000000000001E-3</v>
      </c>
      <c r="K75" s="740">
        <f t="shared" si="24"/>
        <v>-700.97751259758331</v>
      </c>
      <c r="L75" s="663">
        <f t="shared" si="25"/>
        <v>-113897.90588842456</v>
      </c>
      <c r="N75" s="740">
        <f t="shared" si="32"/>
        <v>0</v>
      </c>
      <c r="O75" s="741">
        <f>'1A. 2022-2024 Reconciliation'!U74</f>
        <v>0</v>
      </c>
      <c r="P75" s="742">
        <f t="shared" si="26"/>
        <v>5.2255000000000001E-3</v>
      </c>
      <c r="Q75" s="740">
        <f t="shared" si="27"/>
        <v>0</v>
      </c>
      <c r="R75" s="663">
        <f t="shared" si="28"/>
        <v>0</v>
      </c>
      <c r="T75" s="705">
        <f t="shared" si="33"/>
        <v>-136610.97390876431</v>
      </c>
    </row>
    <row r="76" spans="1:20" ht="15.05" x14ac:dyDescent="0.3">
      <c r="A76" s="646">
        <v>45292</v>
      </c>
      <c r="B76" s="662">
        <f t="shared" si="29"/>
        <v>-22713.06802033975</v>
      </c>
      <c r="C76" s="660">
        <f>'1A. 2022-2024 Reconciliation'!E75</f>
        <v>-140325.64615986761</v>
      </c>
      <c r="D76" s="661">
        <f>'1A. 2022-2024 Reconciliation'!F75</f>
        <v>4.8333333333333336E-3</v>
      </c>
      <c r="E76" s="662">
        <f t="shared" si="30"/>
        <v>-448.90014031798887</v>
      </c>
      <c r="F76" s="702">
        <f t="shared" si="22"/>
        <v>-163487.61432052535</v>
      </c>
      <c r="H76" s="662">
        <f t="shared" si="31"/>
        <v>-113897.90588842456</v>
      </c>
      <c r="I76" s="660">
        <f>'1A. 2022-2024 Reconciliation'!M75</f>
        <v>24422.696638875605</v>
      </c>
      <c r="J76" s="661">
        <f t="shared" si="23"/>
        <v>4.8333333333333336E-3</v>
      </c>
      <c r="K76" s="662">
        <f t="shared" si="24"/>
        <v>-491.48502825010269</v>
      </c>
      <c r="L76" s="702">
        <f t="shared" si="25"/>
        <v>-89966.694277799063</v>
      </c>
      <c r="N76" s="662">
        <f t="shared" si="32"/>
        <v>0</v>
      </c>
      <c r="O76" s="660">
        <f>'1A. 2022-2024 Reconciliation'!U75</f>
        <v>10516.833333333334</v>
      </c>
      <c r="P76" s="661">
        <f t="shared" si="26"/>
        <v>4.8333333333333336E-3</v>
      </c>
      <c r="Q76" s="662">
        <f t="shared" si="27"/>
        <v>25.415680555555557</v>
      </c>
      <c r="R76" s="702">
        <f t="shared" si="28"/>
        <v>10542.24901388889</v>
      </c>
      <c r="T76" s="703">
        <f t="shared" si="33"/>
        <v>-242912.05958443554</v>
      </c>
    </row>
    <row r="77" spans="1:20" ht="15.05" x14ac:dyDescent="0.3">
      <c r="A77" s="646">
        <f t="shared" si="34"/>
        <v>45351</v>
      </c>
      <c r="B77" s="662">
        <f t="shared" si="29"/>
        <v>-163487.61432052535</v>
      </c>
      <c r="C77" s="660">
        <f>'1A. 2022-2024 Reconciliation'!E76</f>
        <v>-45765.194541714198</v>
      </c>
      <c r="D77" s="661">
        <f>'1A. 2022-2024 Reconciliation'!F76</f>
        <v>4.6166666666666665E-3</v>
      </c>
      <c r="E77" s="662">
        <f t="shared" si="30"/>
        <v>-860.409143513549</v>
      </c>
      <c r="F77" s="702">
        <f t="shared" si="22"/>
        <v>-210113.21800575309</v>
      </c>
      <c r="H77" s="662">
        <f t="shared" si="31"/>
        <v>-89966.694277799063</v>
      </c>
      <c r="I77" s="660">
        <f>'1A. 2022-2024 Reconciliation'!M76</f>
        <v>43130.493952941841</v>
      </c>
      <c r="J77" s="661">
        <f t="shared" si="23"/>
        <v>4.6166666666666665E-3</v>
      </c>
      <c r="K77" s="662">
        <f t="shared" si="24"/>
        <v>-315.78668170779821</v>
      </c>
      <c r="L77" s="702">
        <f t="shared" si="25"/>
        <v>-47151.987006565018</v>
      </c>
      <c r="N77" s="662">
        <f t="shared" si="32"/>
        <v>10542.24901388889</v>
      </c>
      <c r="O77" s="660">
        <f>'1A. 2022-2024 Reconciliation'!U76</f>
        <v>10516.833333333334</v>
      </c>
      <c r="P77" s="661">
        <f t="shared" si="26"/>
        <v>4.6166666666666665E-3</v>
      </c>
      <c r="Q77" s="662">
        <f t="shared" si="27"/>
        <v>72.946406558564817</v>
      </c>
      <c r="R77" s="702">
        <f t="shared" si="28"/>
        <v>21132.028753780789</v>
      </c>
      <c r="T77" s="703">
        <f t="shared" si="33"/>
        <v>-236133.17625853731</v>
      </c>
    </row>
    <row r="78" spans="1:20" ht="15.05" x14ac:dyDescent="0.3">
      <c r="A78" s="646">
        <f t="shared" si="34"/>
        <v>45382</v>
      </c>
      <c r="B78" s="662">
        <f t="shared" si="29"/>
        <v>-210113.21800575309</v>
      </c>
      <c r="C78" s="660">
        <f>'1A. 2022-2024 Reconciliation'!E77</f>
        <v>9253.6373912894342</v>
      </c>
      <c r="D78" s="661">
        <f>'1A. 2022-2024 Reconciliation'!F77</f>
        <v>4.6333333333333331E-3</v>
      </c>
      <c r="E78" s="662">
        <f t="shared" si="30"/>
        <v>-952.08698347016878</v>
      </c>
      <c r="F78" s="702">
        <f t="shared" si="22"/>
        <v>-201811.66759793382</v>
      </c>
      <c r="H78" s="662">
        <f t="shared" si="31"/>
        <v>-47151.987006565018</v>
      </c>
      <c r="I78" s="660">
        <f>'1A. 2022-2024 Reconciliation'!M77</f>
        <v>52614.237275342908</v>
      </c>
      <c r="J78" s="661">
        <f t="shared" si="23"/>
        <v>4.6333333333333331E-3</v>
      </c>
      <c r="K78" s="662">
        <f t="shared" si="24"/>
        <v>-96.581223442540178</v>
      </c>
      <c r="L78" s="702">
        <f t="shared" si="25"/>
        <v>5365.6690453353503</v>
      </c>
      <c r="N78" s="662">
        <f t="shared" si="32"/>
        <v>21132.028753780789</v>
      </c>
      <c r="O78" s="660">
        <f>'1A. 2022-2024 Reconciliation'!U77</f>
        <v>10516.833333333334</v>
      </c>
      <c r="P78" s="661">
        <f t="shared" si="26"/>
        <v>4.6333333333333331E-3</v>
      </c>
      <c r="Q78" s="662">
        <f t="shared" si="27"/>
        <v>122.2757304480732</v>
      </c>
      <c r="R78" s="702">
        <f t="shared" si="28"/>
        <v>31771.137817562198</v>
      </c>
      <c r="T78" s="703">
        <f t="shared" si="33"/>
        <v>-164674.86073503626</v>
      </c>
    </row>
    <row r="79" spans="1:20" ht="15.05" x14ac:dyDescent="0.3">
      <c r="A79" s="646">
        <f t="shared" si="34"/>
        <v>45412</v>
      </c>
      <c r="B79" s="662">
        <f t="shared" si="29"/>
        <v>-201811.66759793382</v>
      </c>
      <c r="C79" s="660">
        <f>'1A. 2022-2024 Reconciliation'!E78</f>
        <v>68064.878088469617</v>
      </c>
      <c r="D79" s="661">
        <f>'1A. 2022-2024 Reconciliation'!F78</f>
        <v>4.6583333333333329E-3</v>
      </c>
      <c r="E79" s="662">
        <f t="shared" si="30"/>
        <v>-781.57157301264783</v>
      </c>
      <c r="F79" s="702">
        <f t="shared" si="22"/>
        <v>-134528.36108247685</v>
      </c>
      <c r="H79" s="662">
        <f t="shared" si="31"/>
        <v>5365.6690453353503</v>
      </c>
      <c r="I79" s="660">
        <f>'1A. 2022-2024 Reconciliation'!M78</f>
        <v>55501.74685671294</v>
      </c>
      <c r="J79" s="661">
        <f t="shared" si="23"/>
        <v>4.6583333333333329E-3</v>
      </c>
      <c r="K79" s="662">
        <f t="shared" si="24"/>
        <v>154.26789368994773</v>
      </c>
      <c r="L79" s="702">
        <f t="shared" si="25"/>
        <v>61021.683795738238</v>
      </c>
      <c r="N79" s="662">
        <f t="shared" si="32"/>
        <v>31771.137817562198</v>
      </c>
      <c r="O79" s="660">
        <f>'1A. 2022-2024 Reconciliation'!U78</f>
        <v>10516.833333333334</v>
      </c>
      <c r="P79" s="661">
        <f t="shared" si="26"/>
        <v>4.6583333333333329E-3</v>
      </c>
      <c r="Q79" s="662">
        <f t="shared" si="27"/>
        <v>172.49600797236613</v>
      </c>
      <c r="R79" s="702">
        <f t="shared" si="28"/>
        <v>42460.467158867898</v>
      </c>
      <c r="T79" s="703">
        <f t="shared" si="33"/>
        <v>-31046.21012787072</v>
      </c>
    </row>
    <row r="80" spans="1:20" ht="15.05" x14ac:dyDescent="0.3">
      <c r="A80" s="646">
        <f t="shared" si="34"/>
        <v>45443</v>
      </c>
      <c r="B80" s="662">
        <f t="shared" si="29"/>
        <v>-134528.36108247685</v>
      </c>
      <c r="C80" s="660">
        <f>'1A. 2022-2024 Reconciliation'!E79</f>
        <v>24358.351905943098</v>
      </c>
      <c r="D80" s="661">
        <f>'1A. 2022-2024 Reconciliation'!F79</f>
        <v>4.6166666666666665E-3</v>
      </c>
      <c r="E80" s="662">
        <f t="shared" si="30"/>
        <v>-564.84540468121611</v>
      </c>
      <c r="F80" s="702">
        <f t="shared" si="22"/>
        <v>-110734.85458121497</v>
      </c>
      <c r="H80" s="662">
        <f t="shared" si="31"/>
        <v>61021.683795738238</v>
      </c>
      <c r="I80" s="660">
        <f>'1A. 2022-2024 Reconciliation'!M79</f>
        <v>35214.985854028564</v>
      </c>
      <c r="J80" s="661">
        <f t="shared" si="23"/>
        <v>4.6166666666666665E-3</v>
      </c>
      <c r="K80" s="662">
        <f t="shared" si="24"/>
        <v>363.00469920337406</v>
      </c>
      <c r="L80" s="702">
        <f t="shared" si="25"/>
        <v>96599.674348970177</v>
      </c>
      <c r="N80" s="662">
        <f t="shared" si="32"/>
        <v>42460.467158867898</v>
      </c>
      <c r="O80" s="660">
        <f>'1A. 2022-2024 Reconciliation'!U79</f>
        <v>10516.833333333334</v>
      </c>
      <c r="P80" s="661">
        <f t="shared" si="26"/>
        <v>4.6166666666666665E-3</v>
      </c>
      <c r="Q80" s="662">
        <f t="shared" si="27"/>
        <v>220.30218032788454</v>
      </c>
      <c r="R80" s="702">
        <f t="shared" si="28"/>
        <v>53197.602672529116</v>
      </c>
      <c r="T80" s="703">
        <f t="shared" si="33"/>
        <v>39062.422440284325</v>
      </c>
    </row>
    <row r="81" spans="1:20" ht="15.05" x14ac:dyDescent="0.3">
      <c r="A81" s="646">
        <f t="shared" si="34"/>
        <v>45473</v>
      </c>
      <c r="B81" s="662">
        <f t="shared" si="29"/>
        <v>-110734.85458121497</v>
      </c>
      <c r="C81" s="660">
        <f>'1A. 2022-2024 Reconciliation'!E80</f>
        <v>141239.02808789449</v>
      </c>
      <c r="D81" s="661">
        <f>'1A. 2022-2024 Reconciliation'!F80</f>
        <v>4.6166666666666665E-3</v>
      </c>
      <c r="E81" s="662">
        <f t="shared" si="30"/>
        <v>-185.19915548038597</v>
      </c>
      <c r="F81" s="702">
        <f t="shared" si="22"/>
        <v>30318.974351199136</v>
      </c>
      <c r="H81" s="662">
        <f t="shared" si="31"/>
        <v>96599.674348970177</v>
      </c>
      <c r="I81" s="660">
        <f>'1A. 2022-2024 Reconciliation'!M80</f>
        <v>42705.662922959302</v>
      </c>
      <c r="J81" s="661">
        <f t="shared" si="23"/>
        <v>4.6166666666666665E-3</v>
      </c>
      <c r="K81" s="662">
        <f t="shared" si="24"/>
        <v>544.54740182491003</v>
      </c>
      <c r="L81" s="702">
        <f t="shared" si="25"/>
        <v>139849.88467375439</v>
      </c>
      <c r="N81" s="662">
        <f t="shared" si="32"/>
        <v>53197.602672529116</v>
      </c>
      <c r="O81" s="660">
        <f>'1A. 2022-2024 Reconciliation'!U80</f>
        <v>10516.833333333334</v>
      </c>
      <c r="P81" s="661">
        <f t="shared" si="26"/>
        <v>4.6166666666666665E-3</v>
      </c>
      <c r="Q81" s="662">
        <f t="shared" si="27"/>
        <v>269.87195594928716</v>
      </c>
      <c r="R81" s="702">
        <f t="shared" si="28"/>
        <v>63984.307961811741</v>
      </c>
      <c r="T81" s="703">
        <f t="shared" si="33"/>
        <v>234153.16698676528</v>
      </c>
    </row>
    <row r="82" spans="1:20" ht="15.05" x14ac:dyDescent="0.3">
      <c r="A82" s="646">
        <f t="shared" si="34"/>
        <v>45504</v>
      </c>
      <c r="B82" s="662">
        <f t="shared" si="29"/>
        <v>30318.974351199136</v>
      </c>
      <c r="C82" s="660">
        <f>'1A. 2022-2024 Reconciliation'!E81</f>
        <v>-31347.189028743436</v>
      </c>
      <c r="D82" s="661">
        <f>'1A. 2022-2024 Reconciliation'!F81</f>
        <v>4.5583333333333335E-3</v>
      </c>
      <c r="E82" s="662">
        <f t="shared" si="30"/>
        <v>66.758523089538315</v>
      </c>
      <c r="F82" s="702">
        <f t="shared" si="22"/>
        <v>-961.45615445476142</v>
      </c>
      <c r="H82" s="662">
        <f t="shared" si="31"/>
        <v>139849.88467375439</v>
      </c>
      <c r="I82" s="660">
        <f>'1A. 2022-2024 Reconciliation'!M81</f>
        <v>54299.200348944403</v>
      </c>
      <c r="J82" s="661">
        <f t="shared" si="23"/>
        <v>4.5583333333333335E-3</v>
      </c>
      <c r="K82" s="662">
        <f t="shared" si="24"/>
        <v>761.2393184331662</v>
      </c>
      <c r="L82" s="702">
        <f t="shared" si="25"/>
        <v>194910.32434113196</v>
      </c>
      <c r="N82" s="662">
        <f t="shared" si="32"/>
        <v>63984.307961811741</v>
      </c>
      <c r="O82" s="660">
        <f>'1A. 2022-2024 Reconciliation'!U81</f>
        <v>10516.833333333334</v>
      </c>
      <c r="P82" s="661">
        <f t="shared" si="26"/>
        <v>4.5583333333333335E-3</v>
      </c>
      <c r="Q82" s="662">
        <f t="shared" si="27"/>
        <v>315.6314197648141</v>
      </c>
      <c r="R82" s="702">
        <f t="shared" si="28"/>
        <v>74816.772714909894</v>
      </c>
      <c r="T82" s="703">
        <f t="shared" si="33"/>
        <v>268765.64090158709</v>
      </c>
    </row>
    <row r="83" spans="1:20" ht="15.05" x14ac:dyDescent="0.3">
      <c r="A83" s="646">
        <f t="shared" si="34"/>
        <v>45535</v>
      </c>
      <c r="B83" s="662">
        <f t="shared" si="29"/>
        <v>-961.45615445476142</v>
      </c>
      <c r="C83" s="660">
        <f>'1A. 2022-2024 Reconciliation'!E82</f>
        <v>101984.60004161065</v>
      </c>
      <c r="D83" s="661">
        <f>'1A. 2022-2024 Reconciliation'!F82</f>
        <v>4.5583333333333335E-3</v>
      </c>
      <c r="E83" s="662">
        <f t="shared" si="30"/>
        <v>228.05726329078135</v>
      </c>
      <c r="F83" s="702">
        <f t="shared" si="22"/>
        <v>101251.20115044668</v>
      </c>
      <c r="H83" s="662">
        <f t="shared" si="31"/>
        <v>194910.32434113196</v>
      </c>
      <c r="I83" s="660">
        <f>'1A. 2022-2024 Reconciliation'!M82</f>
        <v>33650.279269364175</v>
      </c>
      <c r="J83" s="661">
        <f t="shared" si="23"/>
        <v>4.5583333333333335E-3</v>
      </c>
      <c r="K83" s="662">
        <f t="shared" si="24"/>
        <v>965.16082328975244</v>
      </c>
      <c r="L83" s="702">
        <f t="shared" si="25"/>
        <v>229525.76443378587</v>
      </c>
      <c r="N83" s="662">
        <f t="shared" si="32"/>
        <v>74816.772714909894</v>
      </c>
      <c r="O83" s="660">
        <f>'1A. 2022-2024 Reconciliation'!U82</f>
        <v>10516.833333333334</v>
      </c>
      <c r="P83" s="661">
        <f t="shared" si="26"/>
        <v>4.5583333333333335E-3</v>
      </c>
      <c r="Q83" s="662">
        <f t="shared" si="27"/>
        <v>365.00940493101984</v>
      </c>
      <c r="R83" s="702">
        <f t="shared" si="28"/>
        <v>85698.615453174236</v>
      </c>
      <c r="T83" s="703">
        <f t="shared" si="33"/>
        <v>416475.58103740675</v>
      </c>
    </row>
    <row r="84" spans="1:20" ht="15.05" x14ac:dyDescent="0.3">
      <c r="A84" s="646">
        <f t="shared" si="34"/>
        <v>45565</v>
      </c>
      <c r="B84" s="662">
        <f t="shared" si="29"/>
        <v>101251.20115044668</v>
      </c>
      <c r="C84" s="660">
        <f>'1A. 2022-2024 Reconciliation'!E83</f>
        <v>15158.164277516269</v>
      </c>
      <c r="D84" s="661">
        <f>'1A. 2022-2024 Reconciliation'!F83</f>
        <v>4.4000000000000003E-3</v>
      </c>
      <c r="E84" s="662">
        <f t="shared" si="30"/>
        <v>478.85324647250121</v>
      </c>
      <c r="F84" s="702">
        <f t="shared" si="22"/>
        <v>116888.21867443544</v>
      </c>
      <c r="H84" s="662">
        <f t="shared" si="31"/>
        <v>229525.76443378587</v>
      </c>
      <c r="I84" s="660">
        <f>'1A. 2022-2024 Reconciliation'!M83</f>
        <v>50250.249706337294</v>
      </c>
      <c r="J84" s="661">
        <f t="shared" si="23"/>
        <v>4.4000000000000003E-3</v>
      </c>
      <c r="K84" s="662">
        <f t="shared" si="24"/>
        <v>1120.4639128626</v>
      </c>
      <c r="L84" s="702">
        <f t="shared" si="25"/>
        <v>280896.47805298574</v>
      </c>
      <c r="N84" s="662">
        <f t="shared" si="32"/>
        <v>85698.615453174236</v>
      </c>
      <c r="O84" s="660">
        <f>'1A. 2022-2024 Reconciliation'!U83</f>
        <v>10516.833333333334</v>
      </c>
      <c r="P84" s="661">
        <f t="shared" si="26"/>
        <v>4.4000000000000003E-3</v>
      </c>
      <c r="Q84" s="662">
        <f t="shared" si="27"/>
        <v>400.21094132730002</v>
      </c>
      <c r="R84" s="702">
        <f t="shared" si="28"/>
        <v>96615.659727834864</v>
      </c>
      <c r="T84" s="703">
        <f t="shared" si="33"/>
        <v>494400.35645525606</v>
      </c>
    </row>
    <row r="85" spans="1:20" ht="15.05" x14ac:dyDescent="0.3">
      <c r="A85" s="646">
        <f t="shared" si="34"/>
        <v>45596</v>
      </c>
      <c r="B85" s="662">
        <f t="shared" si="29"/>
        <v>116888.21867443544</v>
      </c>
      <c r="C85" s="660">
        <f>'1A. 2022-2024 Reconciliation'!E84</f>
        <v>84368.349809065796</v>
      </c>
      <c r="D85" s="661">
        <f>'1A. 2022-2024 Reconciliation'!F84</f>
        <v>4.2333333333333329E-3</v>
      </c>
      <c r="E85" s="662">
        <f t="shared" si="30"/>
        <v>673.40646615096591</v>
      </c>
      <c r="F85" s="702">
        <f t="shared" si="22"/>
        <v>201929.97494965221</v>
      </c>
      <c r="H85" s="662">
        <f t="shared" si="31"/>
        <v>280896.47805298574</v>
      </c>
      <c r="I85" s="660">
        <f>'1A. 2022-2024 Reconciliation'!M84</f>
        <v>18594.343177763702</v>
      </c>
      <c r="J85" s="661">
        <f t="shared" si="23"/>
        <v>4.2333333333333329E-3</v>
      </c>
      <c r="K85" s="662">
        <f t="shared" si="24"/>
        <v>1228.4864501505729</v>
      </c>
      <c r="L85" s="702">
        <f t="shared" si="25"/>
        <v>300719.30768089998</v>
      </c>
      <c r="N85" s="662">
        <f t="shared" si="32"/>
        <v>96615.659727834864</v>
      </c>
      <c r="O85" s="660">
        <f>'1A. 2022-2024 Reconciliation'!U84</f>
        <v>5880.1561904761902</v>
      </c>
      <c r="P85" s="661">
        <f t="shared" si="26"/>
        <v>4.2333333333333329E-3</v>
      </c>
      <c r="Q85" s="662">
        <f t="shared" si="27"/>
        <v>421.45262345100878</v>
      </c>
      <c r="R85" s="702">
        <f t="shared" si="28"/>
        <v>102917.26854176207</v>
      </c>
      <c r="T85" s="703">
        <f t="shared" si="33"/>
        <v>605566.55117231421</v>
      </c>
    </row>
    <row r="86" spans="1:20" ht="15.05" x14ac:dyDescent="0.3">
      <c r="A86" s="646">
        <f t="shared" si="34"/>
        <v>45626</v>
      </c>
      <c r="B86" s="662">
        <f t="shared" si="29"/>
        <v>201929.97494965221</v>
      </c>
      <c r="C86" s="660">
        <f>'1A. 2022-2024 Reconciliation'!E85</f>
        <v>523975.46374116722</v>
      </c>
      <c r="D86" s="661">
        <f>'1A. 2022-2024 Reconciliation'!F85</f>
        <v>4.5750000000000001E-3</v>
      </c>
      <c r="E86" s="662">
        <f t="shared" si="30"/>
        <v>2122.4235087025791</v>
      </c>
      <c r="F86" s="702">
        <f t="shared" si="22"/>
        <v>728027.86219952197</v>
      </c>
      <c r="H86" s="662">
        <f t="shared" si="31"/>
        <v>300719.30768089998</v>
      </c>
      <c r="I86" s="660">
        <f>'1A. 2022-2024 Reconciliation'!M85</f>
        <v>28502.073107310076</v>
      </c>
      <c r="J86" s="661">
        <f t="shared" si="23"/>
        <v>4.5750000000000001E-3</v>
      </c>
      <c r="K86" s="662">
        <f t="shared" si="24"/>
        <v>1440.9893248730893</v>
      </c>
      <c r="L86" s="702">
        <f t="shared" si="25"/>
        <v>330662.37011308316</v>
      </c>
      <c r="N86" s="662">
        <f t="shared" si="32"/>
        <v>102917.26854176207</v>
      </c>
      <c r="O86" s="660">
        <f>'1A. 2022-2024 Reconciliation'!U85</f>
        <v>5262.299365079366</v>
      </c>
      <c r="P86" s="661">
        <f t="shared" si="26"/>
        <v>4.5750000000000001E-3</v>
      </c>
      <c r="Q86" s="662">
        <f t="shared" si="27"/>
        <v>482.88401337618052</v>
      </c>
      <c r="R86" s="702">
        <f t="shared" si="28"/>
        <v>108662.45192021762</v>
      </c>
      <c r="T86" s="703">
        <f t="shared" si="33"/>
        <v>1167352.6842328229</v>
      </c>
    </row>
    <row r="87" spans="1:20" ht="15.05" x14ac:dyDescent="0.3">
      <c r="A87" s="646">
        <f t="shared" si="34"/>
        <v>45657</v>
      </c>
      <c r="B87" s="662">
        <f t="shared" si="29"/>
        <v>728027.86219952197</v>
      </c>
      <c r="C87" s="660">
        <f>'1A. 2022-2024 Reconciliation'!E86</f>
        <v>548695.46334080177</v>
      </c>
      <c r="D87" s="661">
        <f>'1A. 2022-2024 Reconciliation'!F86</f>
        <v>4.4250000000000001E-3</v>
      </c>
      <c r="E87" s="662">
        <f t="shared" si="30"/>
        <v>4435.5120028744086</v>
      </c>
      <c r="F87" s="702">
        <f t="shared" si="22"/>
        <v>1281158.8375431981</v>
      </c>
      <c r="H87" s="662">
        <f t="shared" si="31"/>
        <v>330662.37011308316</v>
      </c>
      <c r="I87" s="660">
        <f>'1A. 2022-2024 Reconciliation'!M86</f>
        <v>13549.651524978268</v>
      </c>
      <c r="J87" s="661">
        <f t="shared" si="23"/>
        <v>4.4250000000000001E-3</v>
      </c>
      <c r="K87" s="662">
        <f t="shared" si="24"/>
        <v>1493.1595917494074</v>
      </c>
      <c r="L87" s="702">
        <f t="shared" si="25"/>
        <v>345705.18122981087</v>
      </c>
      <c r="N87" s="662">
        <f t="shared" si="32"/>
        <v>108662.45192021762</v>
      </c>
      <c r="O87" s="660">
        <f>'1A. 2022-2024 Reconciliation'!U86</f>
        <v>1308.7558730158726</v>
      </c>
      <c r="P87" s="661">
        <f t="shared" si="26"/>
        <v>4.4250000000000001E-3</v>
      </c>
      <c r="Q87" s="662">
        <f t="shared" si="27"/>
        <v>483.72697211601059</v>
      </c>
      <c r="R87" s="702">
        <f t="shared" si="28"/>
        <v>110454.93476534951</v>
      </c>
      <c r="T87" s="703">
        <f t="shared" si="33"/>
        <v>1737318.9535383587</v>
      </c>
    </row>
    <row r="88" spans="1:20" x14ac:dyDescent="0.25">
      <c r="A88" s="8"/>
    </row>
    <row r="89" spans="1:20" ht="13.75" thickBot="1" x14ac:dyDescent="0.3">
      <c r="A89" s="645" t="s">
        <v>90</v>
      </c>
    </row>
    <row r="90" spans="1:20" ht="13.75" thickTop="1" x14ac:dyDescent="0.25">
      <c r="A90" s="639" t="s">
        <v>276</v>
      </c>
      <c r="B90" s="706"/>
      <c r="C90" s="707"/>
      <c r="D90" s="707"/>
      <c r="E90" s="707"/>
      <c r="F90" s="708">
        <f>F63</f>
        <v>-910945.90988642513</v>
      </c>
      <c r="H90" s="706"/>
      <c r="I90" s="707"/>
      <c r="J90" s="707"/>
      <c r="K90" s="707"/>
      <c r="L90" s="708">
        <f>L63</f>
        <v>-128423.83280826146</v>
      </c>
      <c r="N90" s="706"/>
      <c r="O90" s="707"/>
      <c r="P90" s="707"/>
      <c r="Q90" s="707"/>
      <c r="R90" s="708">
        <f>R63</f>
        <v>0</v>
      </c>
      <c r="T90" s="716">
        <f>T63</f>
        <v>-1039369.7426946866</v>
      </c>
    </row>
    <row r="91" spans="1:20" x14ac:dyDescent="0.25">
      <c r="A91" s="639" t="s">
        <v>255</v>
      </c>
      <c r="B91" s="709"/>
      <c r="C91" s="710"/>
      <c r="D91" s="710"/>
      <c r="E91" s="710"/>
      <c r="F91" s="711">
        <f>F75</f>
        <v>-22713.06802033975</v>
      </c>
      <c r="H91" s="709"/>
      <c r="I91" s="710"/>
      <c r="J91" s="710"/>
      <c r="K91" s="710"/>
      <c r="L91" s="711">
        <f>L75</f>
        <v>-113897.90588842456</v>
      </c>
      <c r="N91" s="709"/>
      <c r="O91" s="710"/>
      <c r="P91" s="710"/>
      <c r="Q91" s="710"/>
      <c r="R91" s="711">
        <f>R75</f>
        <v>0</v>
      </c>
      <c r="T91" s="717">
        <f>T75</f>
        <v>-136610.97390876431</v>
      </c>
    </row>
    <row r="92" spans="1:20" x14ac:dyDescent="0.25">
      <c r="A92" s="639" t="s">
        <v>256</v>
      </c>
      <c r="B92" s="709"/>
      <c r="C92" s="710"/>
      <c r="D92" s="710"/>
      <c r="E92" s="710"/>
      <c r="F92" s="711">
        <f>F87</f>
        <v>1281158.8375431981</v>
      </c>
      <c r="H92" s="709"/>
      <c r="I92" s="710"/>
      <c r="J92" s="710"/>
      <c r="K92" s="710"/>
      <c r="L92" s="711">
        <f>L87</f>
        <v>345705.18122981087</v>
      </c>
      <c r="N92" s="709"/>
      <c r="O92" s="710"/>
      <c r="P92" s="710"/>
      <c r="Q92" s="710"/>
      <c r="R92" s="711">
        <f>R87</f>
        <v>110454.93476534951</v>
      </c>
      <c r="T92" s="717">
        <f>T87</f>
        <v>1737318.9535383587</v>
      </c>
    </row>
    <row r="93" spans="1:20" x14ac:dyDescent="0.25">
      <c r="A93" s="738" t="s">
        <v>296</v>
      </c>
      <c r="B93" s="743"/>
      <c r="C93" s="744"/>
      <c r="D93" s="744"/>
      <c r="E93" s="744"/>
      <c r="F93" s="745">
        <v>-22713.06802033975</v>
      </c>
      <c r="H93" s="743"/>
      <c r="I93" s="744"/>
      <c r="J93" s="744"/>
      <c r="K93" s="744"/>
      <c r="L93" s="745">
        <v>41758.782460165356</v>
      </c>
      <c r="N93" s="743"/>
      <c r="O93" s="744"/>
      <c r="P93" s="744"/>
      <c r="Q93" s="744"/>
      <c r="R93" s="745">
        <v>0</v>
      </c>
      <c r="T93" s="746">
        <f>+F93+L93+R93</f>
        <v>19045.714439825606</v>
      </c>
    </row>
    <row r="95" spans="1:20" ht="13.75" thickBot="1" x14ac:dyDescent="0.3">
      <c r="A95" s="645" t="s">
        <v>86</v>
      </c>
    </row>
    <row r="96" spans="1:20" ht="13.75" thickTop="1" x14ac:dyDescent="0.25">
      <c r="A96" s="639" t="s">
        <v>276</v>
      </c>
      <c r="B96" s="706"/>
      <c r="C96" s="707"/>
      <c r="D96" s="707"/>
      <c r="E96" s="707"/>
      <c r="F96" s="715">
        <f>SUM(F43,F90)</f>
        <v>-1526764.8054577461</v>
      </c>
      <c r="H96" s="706"/>
      <c r="I96" s="707"/>
      <c r="J96" s="707"/>
      <c r="K96" s="707"/>
      <c r="L96" s="715">
        <f>SUM(L43,L90)</f>
        <v>-217018.84878459043</v>
      </c>
      <c r="N96" s="706"/>
      <c r="O96" s="707"/>
      <c r="P96" s="707"/>
      <c r="Q96" s="707"/>
      <c r="R96" s="715">
        <f>SUM(R43,R90)</f>
        <v>0</v>
      </c>
      <c r="T96" s="719">
        <f>SUM(T43,T90)</f>
        <v>-1743783.6542423368</v>
      </c>
    </row>
    <row r="97" spans="1:20" x14ac:dyDescent="0.25">
      <c r="A97" s="639" t="s">
        <v>255</v>
      </c>
      <c r="B97" s="709"/>
      <c r="C97" s="710"/>
      <c r="D97" s="710"/>
      <c r="E97" s="710"/>
      <c r="F97" s="711">
        <f>SUM(F44,F91)</f>
        <v>-904066.33294454904</v>
      </c>
      <c r="H97" s="709"/>
      <c r="I97" s="710"/>
      <c r="J97" s="710"/>
      <c r="K97" s="710"/>
      <c r="L97" s="711">
        <f>SUM(L44,L91)</f>
        <v>-118873.45801656308</v>
      </c>
      <c r="N97" s="709"/>
      <c r="O97" s="710"/>
      <c r="P97" s="710"/>
      <c r="Q97" s="710"/>
      <c r="R97" s="711">
        <f>SUM(R44,R91)</f>
        <v>0</v>
      </c>
      <c r="T97" s="717">
        <f>SUM(T44,T91)</f>
        <v>-1022939.7909611121</v>
      </c>
    </row>
    <row r="98" spans="1:20" x14ac:dyDescent="0.25">
      <c r="A98" s="639" t="s">
        <v>256</v>
      </c>
      <c r="B98" s="712"/>
      <c r="C98" s="713"/>
      <c r="D98" s="713"/>
      <c r="E98" s="713"/>
      <c r="F98" s="714">
        <f>SUM(F45,F92)</f>
        <v>532132.96511227044</v>
      </c>
      <c r="H98" s="712"/>
      <c r="I98" s="713"/>
      <c r="J98" s="713"/>
      <c r="K98" s="713"/>
      <c r="L98" s="714">
        <f>SUM(L45,L92)</f>
        <v>573185.23375706701</v>
      </c>
      <c r="N98" s="712"/>
      <c r="O98" s="713"/>
      <c r="P98" s="713"/>
      <c r="Q98" s="713"/>
      <c r="R98" s="714">
        <f>SUM(R45,R92)</f>
        <v>201745.9519334145</v>
      </c>
      <c r="T98" s="718">
        <f>SUM(T45,T92)</f>
        <v>1307064.150802752</v>
      </c>
    </row>
    <row r="99" spans="1:20" x14ac:dyDescent="0.25">
      <c r="A99" s="738" t="s">
        <v>296</v>
      </c>
      <c r="B99" s="743"/>
      <c r="C99" s="744"/>
      <c r="D99" s="744"/>
      <c r="E99" s="744"/>
      <c r="F99" s="745">
        <f>+F46+F93</f>
        <v>-904066.33294454904</v>
      </c>
      <c r="H99" s="743"/>
      <c r="I99" s="744"/>
      <c r="J99" s="744"/>
      <c r="K99" s="744"/>
      <c r="L99" s="745">
        <f>+L46+L93</f>
        <v>46159.686939005231</v>
      </c>
      <c r="N99" s="743"/>
      <c r="O99" s="744"/>
      <c r="P99" s="744"/>
      <c r="Q99" s="744"/>
      <c r="R99" s="745">
        <f>+R46+R93</f>
        <v>0</v>
      </c>
      <c r="T99" s="745">
        <f>+T46+T93</f>
        <v>-857906.64600554388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6D1F6-EFC7-4E20-A1ED-92F9F0B7DA62}">
  <sheetPr codeName="Sheet4"/>
  <dimension ref="A1:N126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16.7109375" defaultRowHeight="13.1" x14ac:dyDescent="0.25"/>
  <cols>
    <col min="1" max="1" width="32.7109375" customWidth="1"/>
  </cols>
  <sheetData>
    <row r="1" spans="1:14" x14ac:dyDescent="0.25">
      <c r="A1" s="168" t="str">
        <f>Company_Filing</f>
        <v>2025 MEEIA Filing</v>
      </c>
      <c r="B1" s="189" t="s">
        <v>133</v>
      </c>
      <c r="C1" s="189" t="s">
        <v>97</v>
      </c>
      <c r="D1" s="189" t="s">
        <v>133</v>
      </c>
      <c r="E1" s="189" t="s">
        <v>97</v>
      </c>
      <c r="F1" s="189" t="s">
        <v>133</v>
      </c>
      <c r="G1" s="189" t="s">
        <v>97</v>
      </c>
      <c r="H1" s="189" t="s">
        <v>133</v>
      </c>
      <c r="I1" s="189" t="s">
        <v>97</v>
      </c>
      <c r="J1" s="189" t="s">
        <v>133</v>
      </c>
      <c r="K1" s="189" t="s">
        <v>97</v>
      </c>
      <c r="L1" s="190" t="s">
        <v>22</v>
      </c>
      <c r="N1" s="163" t="s">
        <v>211</v>
      </c>
    </row>
    <row r="2" spans="1:14" x14ac:dyDescent="0.25">
      <c r="A2" s="12" t="s">
        <v>2</v>
      </c>
      <c r="B2" s="163" t="s">
        <v>177</v>
      </c>
      <c r="C2" s="163" t="s">
        <v>177</v>
      </c>
      <c r="D2" s="163" t="s">
        <v>177</v>
      </c>
      <c r="E2" s="163" t="s">
        <v>177</v>
      </c>
      <c r="F2" s="163" t="s">
        <v>177</v>
      </c>
      <c r="G2" s="163" t="s">
        <v>177</v>
      </c>
      <c r="H2" s="163" t="s">
        <v>177</v>
      </c>
      <c r="I2" s="163" t="s">
        <v>177</v>
      </c>
      <c r="J2" s="163" t="s">
        <v>1</v>
      </c>
      <c r="K2" s="163" t="s">
        <v>1</v>
      </c>
      <c r="L2" s="188" t="s">
        <v>144</v>
      </c>
    </row>
    <row r="3" spans="1:14" x14ac:dyDescent="0.25">
      <c r="A3" s="3" t="s">
        <v>178</v>
      </c>
      <c r="B3" s="9">
        <v>2022</v>
      </c>
      <c r="C3" s="9">
        <v>2022</v>
      </c>
      <c r="D3" s="9">
        <v>2023</v>
      </c>
      <c r="E3" s="9">
        <v>2023</v>
      </c>
      <c r="F3" s="9">
        <v>2024</v>
      </c>
      <c r="G3" s="9">
        <v>2024</v>
      </c>
      <c r="H3" s="9">
        <v>2025</v>
      </c>
      <c r="I3" s="9">
        <v>2025</v>
      </c>
      <c r="J3" s="9"/>
      <c r="K3" s="9"/>
      <c r="L3" s="10" t="s">
        <v>145</v>
      </c>
    </row>
    <row r="4" spans="1:14" x14ac:dyDescent="0.25">
      <c r="A4" s="312"/>
    </row>
    <row r="5" spans="1:14" x14ac:dyDescent="0.25">
      <c r="A5" s="13">
        <v>44562</v>
      </c>
      <c r="B5" s="451">
        <f t="array" ref="B5:B52">TRANSPOSE('2. TD Res Lighting install 2022'!C22:AX22)</f>
        <v>0</v>
      </c>
      <c r="C5" s="452">
        <f t="array" ref="C5:C52">TRANSPOSE('2. TD Res HVAC install 2022'!C22:AX22)</f>
        <v>227.66644104537801</v>
      </c>
      <c r="D5" s="452"/>
      <c r="E5" s="452"/>
      <c r="F5" s="452"/>
      <c r="G5" s="452"/>
      <c r="H5" s="452"/>
      <c r="I5" s="452"/>
      <c r="J5" s="452">
        <f>SUM(B5,D5,F5,H5)</f>
        <v>0</v>
      </c>
      <c r="K5" s="452">
        <f>SUM(C5,E5,G5,I5)</f>
        <v>227.66644104537801</v>
      </c>
      <c r="L5" s="453">
        <f>SUM(J5:K5)</f>
        <v>227.66644104537801</v>
      </c>
    </row>
    <row r="6" spans="1:14" x14ac:dyDescent="0.25">
      <c r="A6" s="13">
        <f t="shared" ref="A6:A16" si="0">EOMONTH(A5,1)</f>
        <v>44620</v>
      </c>
      <c r="B6" s="454">
        <v>0</v>
      </c>
      <c r="C6" s="455">
        <v>380.7879320963354</v>
      </c>
      <c r="D6" s="455"/>
      <c r="E6" s="455"/>
      <c r="F6" s="455"/>
      <c r="G6" s="455"/>
      <c r="H6" s="455"/>
      <c r="I6" s="455"/>
      <c r="J6" s="749">
        <f t="shared" ref="J6:J52" si="1">SUM(B6,D6,F6,H6)</f>
        <v>0</v>
      </c>
      <c r="K6" s="749">
        <f t="shared" ref="K6:K52" si="2">SUM(C6,E6,G6,I6)</f>
        <v>380.7879320963354</v>
      </c>
      <c r="L6" s="456">
        <f t="shared" ref="L6:L40" si="3">SUM(J6:K6)</f>
        <v>380.7879320963354</v>
      </c>
    </row>
    <row r="7" spans="1:14" x14ac:dyDescent="0.25">
      <c r="A7" s="13">
        <f t="shared" si="0"/>
        <v>44651</v>
      </c>
      <c r="B7" s="454">
        <v>4.9560615319998762</v>
      </c>
      <c r="C7" s="455">
        <v>373.03181716351662</v>
      </c>
      <c r="D7" s="455"/>
      <c r="E7" s="455"/>
      <c r="F7" s="455"/>
      <c r="G7" s="455"/>
      <c r="H7" s="455"/>
      <c r="I7" s="455"/>
      <c r="J7" s="749">
        <f t="shared" si="1"/>
        <v>4.9560615319998762</v>
      </c>
      <c r="K7" s="749">
        <f t="shared" si="2"/>
        <v>373.03181716351662</v>
      </c>
      <c r="L7" s="456">
        <f t="shared" si="3"/>
        <v>377.98787869551649</v>
      </c>
    </row>
    <row r="8" spans="1:14" x14ac:dyDescent="0.25">
      <c r="A8" s="13">
        <f t="shared" si="0"/>
        <v>44681</v>
      </c>
      <c r="B8" s="454">
        <v>17.327734979568749</v>
      </c>
      <c r="C8" s="455">
        <v>276.96382876418539</v>
      </c>
      <c r="D8" s="455"/>
      <c r="E8" s="455"/>
      <c r="F8" s="455"/>
      <c r="G8" s="455"/>
      <c r="H8" s="455"/>
      <c r="I8" s="455"/>
      <c r="J8" s="749">
        <f t="shared" si="1"/>
        <v>17.327734979568749</v>
      </c>
      <c r="K8" s="749">
        <f t="shared" si="2"/>
        <v>276.96382876418539</v>
      </c>
      <c r="L8" s="456">
        <f t="shared" si="3"/>
        <v>294.29156374375412</v>
      </c>
    </row>
    <row r="9" spans="1:14" x14ac:dyDescent="0.25">
      <c r="A9" s="13">
        <f t="shared" si="0"/>
        <v>44712</v>
      </c>
      <c r="B9" s="454">
        <v>24.032302959959253</v>
      </c>
      <c r="C9" s="455">
        <v>434.7780239416411</v>
      </c>
      <c r="D9" s="455"/>
      <c r="E9" s="455"/>
      <c r="F9" s="455"/>
      <c r="G9" s="455"/>
      <c r="H9" s="455"/>
      <c r="I9" s="455"/>
      <c r="J9" s="749">
        <f t="shared" si="1"/>
        <v>24.032302959959253</v>
      </c>
      <c r="K9" s="749">
        <f t="shared" si="2"/>
        <v>434.7780239416411</v>
      </c>
      <c r="L9" s="456">
        <f t="shared" si="3"/>
        <v>458.81032690160032</v>
      </c>
    </row>
    <row r="10" spans="1:14" x14ac:dyDescent="0.25">
      <c r="A10" s="13">
        <f t="shared" si="0"/>
        <v>44742</v>
      </c>
      <c r="B10" s="454">
        <v>28.275086026727102</v>
      </c>
      <c r="C10" s="455">
        <v>1931.7353206303644</v>
      </c>
      <c r="D10" s="455"/>
      <c r="E10" s="455"/>
      <c r="F10" s="455"/>
      <c r="G10" s="455"/>
      <c r="H10" s="455"/>
      <c r="I10" s="455"/>
      <c r="J10" s="749">
        <f t="shared" si="1"/>
        <v>28.275086026727102</v>
      </c>
      <c r="K10" s="749">
        <f t="shared" si="2"/>
        <v>1931.7353206303644</v>
      </c>
      <c r="L10" s="456">
        <f t="shared" si="3"/>
        <v>1960.0104066570916</v>
      </c>
    </row>
    <row r="11" spans="1:14" x14ac:dyDescent="0.25">
      <c r="A11" s="13">
        <f t="shared" si="0"/>
        <v>44773</v>
      </c>
      <c r="B11" s="454">
        <v>42.894229426787192</v>
      </c>
      <c r="C11" s="455">
        <v>4541.8400932402856</v>
      </c>
      <c r="D11" s="455"/>
      <c r="E11" s="455"/>
      <c r="F11" s="455"/>
      <c r="G11" s="455"/>
      <c r="H11" s="455"/>
      <c r="I11" s="455"/>
      <c r="J11" s="749">
        <f t="shared" si="1"/>
        <v>42.894229426787192</v>
      </c>
      <c r="K11" s="749">
        <f t="shared" si="2"/>
        <v>4541.8400932402856</v>
      </c>
      <c r="L11" s="456">
        <f t="shared" si="3"/>
        <v>4584.7343226670728</v>
      </c>
    </row>
    <row r="12" spans="1:14" x14ac:dyDescent="0.25">
      <c r="A12" s="13">
        <f t="shared" si="0"/>
        <v>44804</v>
      </c>
      <c r="B12" s="454">
        <v>52.004251875142081</v>
      </c>
      <c r="C12" s="455">
        <v>5423.4733660361417</v>
      </c>
      <c r="D12" s="455"/>
      <c r="E12" s="455"/>
      <c r="F12" s="455"/>
      <c r="G12" s="455"/>
      <c r="H12" s="455"/>
      <c r="I12" s="455"/>
      <c r="J12" s="749">
        <f t="shared" si="1"/>
        <v>52.004251875142081</v>
      </c>
      <c r="K12" s="749">
        <f t="shared" si="2"/>
        <v>5423.4733660361417</v>
      </c>
      <c r="L12" s="456">
        <f t="shared" si="3"/>
        <v>5475.4776179112841</v>
      </c>
    </row>
    <row r="13" spans="1:14" x14ac:dyDescent="0.25">
      <c r="A13" s="13">
        <f t="shared" si="0"/>
        <v>44834</v>
      </c>
      <c r="B13" s="454">
        <v>54.532506240445088</v>
      </c>
      <c r="C13" s="455">
        <v>2965.9858558876203</v>
      </c>
      <c r="D13" s="455"/>
      <c r="E13" s="455"/>
      <c r="F13" s="455"/>
      <c r="G13" s="455"/>
      <c r="H13" s="455"/>
      <c r="I13" s="455"/>
      <c r="J13" s="749">
        <f t="shared" si="1"/>
        <v>54.532506240445088</v>
      </c>
      <c r="K13" s="749">
        <f t="shared" si="2"/>
        <v>2965.9858558876203</v>
      </c>
      <c r="L13" s="456">
        <f t="shared" si="3"/>
        <v>3020.5183621280653</v>
      </c>
    </row>
    <row r="14" spans="1:14" x14ac:dyDescent="0.25">
      <c r="A14" s="13">
        <f t="shared" si="0"/>
        <v>44865</v>
      </c>
      <c r="B14" s="454">
        <v>61.435982726280415</v>
      </c>
      <c r="C14" s="455">
        <v>1615.2490423513145</v>
      </c>
      <c r="D14" s="455"/>
      <c r="E14" s="455"/>
      <c r="F14" s="455"/>
      <c r="G14" s="455"/>
      <c r="H14" s="455"/>
      <c r="I14" s="455"/>
      <c r="J14" s="749">
        <f t="shared" si="1"/>
        <v>61.435982726280415</v>
      </c>
      <c r="K14" s="749">
        <f t="shared" si="2"/>
        <v>1615.2490423513145</v>
      </c>
      <c r="L14" s="456">
        <f t="shared" si="3"/>
        <v>1676.6850250775949</v>
      </c>
    </row>
    <row r="15" spans="1:14" x14ac:dyDescent="0.25">
      <c r="A15" s="13">
        <f t="shared" si="0"/>
        <v>44895</v>
      </c>
      <c r="B15" s="454">
        <v>663.7191509976376</v>
      </c>
      <c r="C15" s="455">
        <v>2661.12297818975</v>
      </c>
      <c r="D15" s="455"/>
      <c r="E15" s="455"/>
      <c r="F15" s="455"/>
      <c r="G15" s="455"/>
      <c r="H15" s="455"/>
      <c r="I15" s="455"/>
      <c r="J15" s="749">
        <f t="shared" si="1"/>
        <v>663.7191509976376</v>
      </c>
      <c r="K15" s="749">
        <f t="shared" si="2"/>
        <v>2661.12297818975</v>
      </c>
      <c r="L15" s="456">
        <f t="shared" si="3"/>
        <v>3324.8421291873874</v>
      </c>
    </row>
    <row r="16" spans="1:14" x14ac:dyDescent="0.25">
      <c r="A16" s="13">
        <f t="shared" si="0"/>
        <v>44926</v>
      </c>
      <c r="B16" s="454">
        <v>2249.07102022762</v>
      </c>
      <c r="C16" s="455">
        <v>6818.1363679499309</v>
      </c>
      <c r="D16" s="455"/>
      <c r="E16" s="455"/>
      <c r="F16" s="455"/>
      <c r="G16" s="455"/>
      <c r="H16" s="455"/>
      <c r="I16" s="455"/>
      <c r="J16" s="749">
        <f t="shared" si="1"/>
        <v>2249.07102022762</v>
      </c>
      <c r="K16" s="749">
        <f t="shared" si="2"/>
        <v>6818.1363679499309</v>
      </c>
      <c r="L16" s="456">
        <f t="shared" si="3"/>
        <v>9067.2073881775505</v>
      </c>
    </row>
    <row r="17" spans="1:12" x14ac:dyDescent="0.25">
      <c r="A17" s="13">
        <v>44927</v>
      </c>
      <c r="B17" s="304">
        <v>3207.0873950002851</v>
      </c>
      <c r="C17" s="305">
        <v>8806.4523154323961</v>
      </c>
      <c r="D17" s="459">
        <f t="array" ref="D17:D52">TRANSPOSE('2. TD Res Lighting install 2023'!C22:AL22)</f>
        <v>5.7598389188023811</v>
      </c>
      <c r="E17" s="459">
        <f t="array" ref="E17:E52">TRANSPOSE('2. TD Res HVAC install 2023'!C22:AL22)</f>
        <v>1309.7129152758068</v>
      </c>
      <c r="F17" s="305"/>
      <c r="G17" s="305"/>
      <c r="H17" s="305"/>
      <c r="I17" s="305"/>
      <c r="J17" s="459">
        <f t="shared" si="1"/>
        <v>3212.8472339190876</v>
      </c>
      <c r="K17" s="459">
        <f t="shared" si="2"/>
        <v>10116.165230708202</v>
      </c>
      <c r="L17" s="460">
        <f t="shared" si="3"/>
        <v>13329.012464627289</v>
      </c>
    </row>
    <row r="18" spans="1:12" x14ac:dyDescent="0.25">
      <c r="A18" s="13">
        <f t="shared" ref="A18:A52" si="4">EOMONTH(A17,1)</f>
        <v>44985</v>
      </c>
      <c r="B18" s="306">
        <v>2803.2457976835826</v>
      </c>
      <c r="C18" s="297">
        <v>7364.7015144188417</v>
      </c>
      <c r="D18" s="297">
        <v>10.069101496665443</v>
      </c>
      <c r="E18" s="297">
        <v>2403.0948991425007</v>
      </c>
      <c r="F18" s="297"/>
      <c r="G18" s="297"/>
      <c r="H18" s="297"/>
      <c r="I18" s="297"/>
      <c r="J18" s="748">
        <f t="shared" si="1"/>
        <v>2813.3148991802482</v>
      </c>
      <c r="K18" s="748">
        <f t="shared" si="2"/>
        <v>9767.796413561342</v>
      </c>
      <c r="L18" s="307">
        <f t="shared" si="3"/>
        <v>12581.11131274159</v>
      </c>
    </row>
    <row r="19" spans="1:12" x14ac:dyDescent="0.25">
      <c r="A19" s="13">
        <f t="shared" si="4"/>
        <v>45016</v>
      </c>
      <c r="B19" s="306">
        <v>2943.9136423497412</v>
      </c>
      <c r="C19" s="297">
        <v>5545.0995444853152</v>
      </c>
      <c r="D19" s="297">
        <v>13.920470147412018</v>
      </c>
      <c r="E19" s="297">
        <v>2181.2822322656216</v>
      </c>
      <c r="F19" s="297"/>
      <c r="G19" s="297"/>
      <c r="H19" s="297"/>
      <c r="I19" s="297"/>
      <c r="J19" s="748">
        <f t="shared" si="1"/>
        <v>2957.834112497153</v>
      </c>
      <c r="K19" s="748">
        <f t="shared" si="2"/>
        <v>7726.3817767509372</v>
      </c>
      <c r="L19" s="307">
        <f t="shared" si="3"/>
        <v>10684.215889248091</v>
      </c>
    </row>
    <row r="20" spans="1:12" x14ac:dyDescent="0.25">
      <c r="A20" s="13">
        <f t="shared" si="4"/>
        <v>45046</v>
      </c>
      <c r="B20" s="306">
        <v>2682.9269291949076</v>
      </c>
      <c r="C20" s="297">
        <v>2955.4866508023065</v>
      </c>
      <c r="D20" s="297">
        <v>22.963527291172181</v>
      </c>
      <c r="E20" s="297">
        <v>1707.6660583667021</v>
      </c>
      <c r="F20" s="297"/>
      <c r="G20" s="297"/>
      <c r="H20" s="297"/>
      <c r="I20" s="297"/>
      <c r="J20" s="748">
        <f t="shared" si="1"/>
        <v>2705.89045648608</v>
      </c>
      <c r="K20" s="748">
        <f t="shared" si="2"/>
        <v>4663.1527091690086</v>
      </c>
      <c r="L20" s="307">
        <f t="shared" si="3"/>
        <v>7369.0431656550882</v>
      </c>
    </row>
    <row r="21" spans="1:12" x14ac:dyDescent="0.25">
      <c r="A21" s="13">
        <f t="shared" si="4"/>
        <v>45077</v>
      </c>
      <c r="B21" s="306">
        <v>2516.4583577242756</v>
      </c>
      <c r="C21" s="297">
        <v>3318.0646100435674</v>
      </c>
      <c r="D21" s="297">
        <v>30.577677833541109</v>
      </c>
      <c r="E21" s="297">
        <v>2481.9415282082136</v>
      </c>
      <c r="F21" s="297"/>
      <c r="G21" s="297"/>
      <c r="H21" s="297"/>
      <c r="I21" s="297"/>
      <c r="J21" s="748">
        <f t="shared" si="1"/>
        <v>2547.0360355578168</v>
      </c>
      <c r="K21" s="748">
        <f t="shared" si="2"/>
        <v>5800.0061382517815</v>
      </c>
      <c r="L21" s="307">
        <f t="shared" si="3"/>
        <v>8347.0421738095974</v>
      </c>
    </row>
    <row r="22" spans="1:12" x14ac:dyDescent="0.25">
      <c r="A22" s="13">
        <f t="shared" si="4"/>
        <v>45107</v>
      </c>
      <c r="B22" s="306">
        <v>2423.7571303922086</v>
      </c>
      <c r="C22" s="297">
        <v>9481.0035883434502</v>
      </c>
      <c r="D22" s="297">
        <v>38.446447577700418</v>
      </c>
      <c r="E22" s="297">
        <v>8670.5808839416059</v>
      </c>
      <c r="F22" s="297"/>
      <c r="G22" s="297"/>
      <c r="H22" s="297"/>
      <c r="I22" s="297"/>
      <c r="J22" s="748">
        <f t="shared" si="1"/>
        <v>2462.203577969909</v>
      </c>
      <c r="K22" s="748">
        <f t="shared" si="2"/>
        <v>18151.584472285056</v>
      </c>
      <c r="L22" s="307">
        <f t="shared" si="3"/>
        <v>20613.788050254967</v>
      </c>
    </row>
    <row r="23" spans="1:12" x14ac:dyDescent="0.25">
      <c r="A23" s="13">
        <f t="shared" si="4"/>
        <v>45138</v>
      </c>
      <c r="B23" s="306">
        <v>2650.9132873324188</v>
      </c>
      <c r="C23" s="297">
        <v>14106.374543796372</v>
      </c>
      <c r="D23" s="297">
        <v>211.04739108173638</v>
      </c>
      <c r="E23" s="297">
        <v>15176.109078807285</v>
      </c>
      <c r="F23" s="297"/>
      <c r="G23" s="297"/>
      <c r="H23" s="297"/>
      <c r="I23" s="297"/>
      <c r="J23" s="748">
        <f t="shared" si="1"/>
        <v>2861.9606784141552</v>
      </c>
      <c r="K23" s="748">
        <f t="shared" si="2"/>
        <v>29282.483622603657</v>
      </c>
      <c r="L23" s="307">
        <f t="shared" si="3"/>
        <v>32144.444301017811</v>
      </c>
    </row>
    <row r="24" spans="1:12" x14ac:dyDescent="0.25">
      <c r="A24" s="13">
        <f t="shared" si="4"/>
        <v>45169</v>
      </c>
      <c r="B24" s="306">
        <v>2756.4201361636829</v>
      </c>
      <c r="C24" s="297">
        <v>13412.317160180985</v>
      </c>
      <c r="D24" s="297">
        <v>397.31731954718862</v>
      </c>
      <c r="E24" s="297">
        <v>14980.099796848575</v>
      </c>
      <c r="F24" s="297"/>
      <c r="G24" s="297"/>
      <c r="H24" s="297"/>
      <c r="I24" s="297"/>
      <c r="J24" s="748">
        <f t="shared" si="1"/>
        <v>3153.7374557108715</v>
      </c>
      <c r="K24" s="748">
        <f t="shared" si="2"/>
        <v>28392.41695702956</v>
      </c>
      <c r="L24" s="307">
        <f t="shared" si="3"/>
        <v>31546.15441274043</v>
      </c>
    </row>
    <row r="25" spans="1:12" x14ac:dyDescent="0.25">
      <c r="A25" s="13">
        <f t="shared" si="4"/>
        <v>45199</v>
      </c>
      <c r="B25" s="306">
        <v>2882.4736723275059</v>
      </c>
      <c r="C25" s="297">
        <v>6707.4712064583073</v>
      </c>
      <c r="D25" s="297">
        <v>428.77301879606364</v>
      </c>
      <c r="E25" s="297">
        <v>8728.1058217006303</v>
      </c>
      <c r="F25" s="297"/>
      <c r="G25" s="297"/>
      <c r="H25" s="297"/>
      <c r="I25" s="297"/>
      <c r="J25" s="748">
        <f t="shared" si="1"/>
        <v>3311.2466911235697</v>
      </c>
      <c r="K25" s="748">
        <f t="shared" si="2"/>
        <v>15435.577028158938</v>
      </c>
      <c r="L25" s="307">
        <f t="shared" si="3"/>
        <v>18746.823719282507</v>
      </c>
    </row>
    <row r="26" spans="1:12" x14ac:dyDescent="0.25">
      <c r="A26" s="13">
        <f t="shared" si="4"/>
        <v>45230</v>
      </c>
      <c r="B26" s="306">
        <v>2990.9208274395241</v>
      </c>
      <c r="C26" s="297">
        <v>3294.4595378214135</v>
      </c>
      <c r="D26" s="297">
        <v>450.63319423849146</v>
      </c>
      <c r="E26" s="297">
        <v>5114.212267527656</v>
      </c>
      <c r="F26" s="297"/>
      <c r="G26" s="297"/>
      <c r="H26" s="297"/>
      <c r="I26" s="297"/>
      <c r="J26" s="748">
        <f t="shared" si="1"/>
        <v>3441.5540216780155</v>
      </c>
      <c r="K26" s="748">
        <f t="shared" si="2"/>
        <v>8408.6718053490695</v>
      </c>
      <c r="L26" s="307">
        <f t="shared" si="3"/>
        <v>11850.225827027085</v>
      </c>
    </row>
    <row r="27" spans="1:12" x14ac:dyDescent="0.25">
      <c r="A27" s="13">
        <f t="shared" si="4"/>
        <v>45260</v>
      </c>
      <c r="B27" s="306">
        <v>2848.8566648477563</v>
      </c>
      <c r="C27" s="297">
        <v>4716.3269561298348</v>
      </c>
      <c r="D27" s="297">
        <v>434.34527365694652</v>
      </c>
      <c r="E27" s="297">
        <v>8408.3319900892293</v>
      </c>
      <c r="F27" s="297"/>
      <c r="G27" s="297"/>
      <c r="H27" s="297"/>
      <c r="I27" s="297"/>
      <c r="J27" s="748">
        <f t="shared" si="1"/>
        <v>3283.2019385047029</v>
      </c>
      <c r="K27" s="748">
        <f t="shared" si="2"/>
        <v>13124.658946219064</v>
      </c>
      <c r="L27" s="307">
        <f t="shared" si="3"/>
        <v>16407.860884723767</v>
      </c>
    </row>
    <row r="28" spans="1:12" x14ac:dyDescent="0.25">
      <c r="A28" s="13">
        <f t="shared" si="4"/>
        <v>45291</v>
      </c>
      <c r="B28" s="308">
        <v>3116.1192304685424</v>
      </c>
      <c r="C28" s="309">
        <v>8461.4787399787056</v>
      </c>
      <c r="D28" s="309">
        <v>477.89116127306369</v>
      </c>
      <c r="E28" s="309">
        <v>16775.894491694264</v>
      </c>
      <c r="F28" s="309"/>
      <c r="G28" s="309"/>
      <c r="H28" s="309"/>
      <c r="I28" s="309"/>
      <c r="J28" s="751">
        <f t="shared" si="1"/>
        <v>3594.0103917416059</v>
      </c>
      <c r="K28" s="751">
        <f t="shared" si="2"/>
        <v>25237.373231672969</v>
      </c>
      <c r="L28" s="310">
        <f t="shared" si="3"/>
        <v>28831.383623414575</v>
      </c>
    </row>
    <row r="29" spans="1:12" x14ac:dyDescent="0.25">
      <c r="A29" s="13">
        <v>45292</v>
      </c>
      <c r="B29" s="454">
        <v>3207.0873950002851</v>
      </c>
      <c r="C29" s="455">
        <v>8806.4523154323961</v>
      </c>
      <c r="D29" s="455">
        <v>491.84212995291654</v>
      </c>
      <c r="E29" s="455">
        <v>17973.862330919579</v>
      </c>
      <c r="F29" s="455">
        <f t="array" ref="F29:F52">TRANSPOSE('2. TD Res Lighting install 2024'!C22:Z22)</f>
        <v>0</v>
      </c>
      <c r="G29" s="749">
        <f t="array" ref="G29:G52">TRANSPOSE('2. TD Res HVAC install 2024'!C22:Z22)</f>
        <v>3.145649230378047</v>
      </c>
      <c r="H29" s="455"/>
      <c r="I29" s="749"/>
      <c r="J29" s="749">
        <f t="shared" si="1"/>
        <v>3698.9295249532015</v>
      </c>
      <c r="K29" s="749">
        <f t="shared" si="2"/>
        <v>26783.46029558235</v>
      </c>
      <c r="L29" s="750">
        <f t="shared" si="3"/>
        <v>30482.389820535551</v>
      </c>
    </row>
    <row r="30" spans="1:12" x14ac:dyDescent="0.25">
      <c r="A30" s="13">
        <f t="shared" si="4"/>
        <v>45351</v>
      </c>
      <c r="B30" s="454">
        <v>2803.2457976835826</v>
      </c>
      <c r="C30" s="455">
        <v>7364.7015144188417</v>
      </c>
      <c r="D30" s="455">
        <v>429.90857875082423</v>
      </c>
      <c r="E30" s="455">
        <v>15031.266438189954</v>
      </c>
      <c r="F30" s="455">
        <v>0</v>
      </c>
      <c r="G30" s="455">
        <v>5.2613167757005419</v>
      </c>
      <c r="H30" s="455"/>
      <c r="I30" s="455"/>
      <c r="J30" s="749">
        <f t="shared" si="1"/>
        <v>3233.1543764344069</v>
      </c>
      <c r="K30" s="749">
        <f t="shared" si="2"/>
        <v>22401.229269384497</v>
      </c>
      <c r="L30" s="456">
        <f t="shared" si="3"/>
        <v>25634.383645818903</v>
      </c>
    </row>
    <row r="31" spans="1:12" x14ac:dyDescent="0.25">
      <c r="A31" s="13">
        <f t="shared" si="4"/>
        <v>45382</v>
      </c>
      <c r="B31" s="454">
        <v>2943.9136423497412</v>
      </c>
      <c r="C31" s="455">
        <v>5545.0995444853152</v>
      </c>
      <c r="D31" s="455">
        <v>451.48154007527961</v>
      </c>
      <c r="E31" s="455">
        <v>11317.480893999515</v>
      </c>
      <c r="F31" s="455">
        <v>0</v>
      </c>
      <c r="G31" s="455">
        <v>660.3491713852751</v>
      </c>
      <c r="H31" s="455"/>
      <c r="I31" s="455"/>
      <c r="J31" s="749">
        <f t="shared" si="1"/>
        <v>3395.3951824250207</v>
      </c>
      <c r="K31" s="749">
        <f t="shared" si="2"/>
        <v>17522.929609870105</v>
      </c>
      <c r="L31" s="456">
        <f t="shared" si="3"/>
        <v>20918.324792295127</v>
      </c>
    </row>
    <row r="32" spans="1:12" x14ac:dyDescent="0.25">
      <c r="A32" s="13">
        <f t="shared" si="4"/>
        <v>45412</v>
      </c>
      <c r="B32" s="454">
        <v>2682.9269291949076</v>
      </c>
      <c r="C32" s="455">
        <v>2955.4866508023065</v>
      </c>
      <c r="D32" s="455">
        <v>411.4563567617227</v>
      </c>
      <c r="E32" s="455">
        <v>6032.1123966459591</v>
      </c>
      <c r="F32" s="455">
        <v>26.17543561040744</v>
      </c>
      <c r="G32" s="455">
        <v>790.82657959782944</v>
      </c>
      <c r="H32" s="455"/>
      <c r="I32" s="455"/>
      <c r="J32" s="749">
        <f t="shared" si="1"/>
        <v>3120.558721567038</v>
      </c>
      <c r="K32" s="749">
        <f t="shared" si="2"/>
        <v>9778.4256270460955</v>
      </c>
      <c r="L32" s="456">
        <f t="shared" si="3"/>
        <v>12898.984348613134</v>
      </c>
    </row>
    <row r="33" spans="1:12" x14ac:dyDescent="0.25">
      <c r="A33" s="13">
        <f t="shared" si="4"/>
        <v>45443</v>
      </c>
      <c r="B33" s="454">
        <v>2516.4583577242756</v>
      </c>
      <c r="C33" s="455">
        <v>3318.0646100435674</v>
      </c>
      <c r="D33" s="455">
        <v>385.92657017406168</v>
      </c>
      <c r="E33" s="455">
        <v>6772.1296124557721</v>
      </c>
      <c r="F33" s="455">
        <v>49.102637117776077</v>
      </c>
      <c r="G33" s="455">
        <v>1470.0685171339185</v>
      </c>
      <c r="H33" s="455"/>
      <c r="I33" s="455"/>
      <c r="J33" s="749">
        <f t="shared" si="1"/>
        <v>2951.487565016113</v>
      </c>
      <c r="K33" s="749">
        <f t="shared" si="2"/>
        <v>11560.262739633259</v>
      </c>
      <c r="L33" s="456">
        <f t="shared" si="3"/>
        <v>14511.750304649373</v>
      </c>
    </row>
    <row r="34" spans="1:12" x14ac:dyDescent="0.25">
      <c r="A34" s="13">
        <f t="shared" si="4"/>
        <v>45473</v>
      </c>
      <c r="B34" s="454">
        <v>2423.7571303922086</v>
      </c>
      <c r="C34" s="455">
        <v>9481.0035883434502</v>
      </c>
      <c r="D34" s="455">
        <v>371.70981725010546</v>
      </c>
      <c r="E34" s="455">
        <v>19350.613294892129</v>
      </c>
      <c r="F34" s="455">
        <v>47.293795452629126</v>
      </c>
      <c r="G34" s="455">
        <v>7289.9650729064842</v>
      </c>
      <c r="H34" s="455"/>
      <c r="I34" s="455"/>
      <c r="J34" s="749">
        <f t="shared" si="1"/>
        <v>2842.7607430949433</v>
      </c>
      <c r="K34" s="749">
        <f t="shared" si="2"/>
        <v>36121.581956142065</v>
      </c>
      <c r="L34" s="456">
        <f t="shared" si="3"/>
        <v>38964.342699237008</v>
      </c>
    </row>
    <row r="35" spans="1:12" x14ac:dyDescent="0.25">
      <c r="A35" s="13">
        <f t="shared" si="4"/>
        <v>45504</v>
      </c>
      <c r="B35" s="454">
        <v>2650.9132873324188</v>
      </c>
      <c r="C35" s="455">
        <v>14106.374543796372</v>
      </c>
      <c r="D35" s="455">
        <v>406.54671263236628</v>
      </c>
      <c r="E35" s="455">
        <v>28790.939297345805</v>
      </c>
      <c r="F35" s="455">
        <v>51.726201937348655</v>
      </c>
      <c r="G35" s="455">
        <v>14612.397111768243</v>
      </c>
      <c r="H35" s="455"/>
      <c r="I35" s="455"/>
      <c r="J35" s="749">
        <f t="shared" si="1"/>
        <v>3109.1862019021341</v>
      </c>
      <c r="K35" s="749">
        <f t="shared" si="2"/>
        <v>57509.71095291042</v>
      </c>
      <c r="L35" s="456">
        <f t="shared" si="3"/>
        <v>60618.897154812556</v>
      </c>
    </row>
    <row r="36" spans="1:12" x14ac:dyDescent="0.25">
      <c r="A36" s="13">
        <f t="shared" si="4"/>
        <v>45535</v>
      </c>
      <c r="B36" s="454">
        <v>2756.4201361636829</v>
      </c>
      <c r="C36" s="455">
        <v>13412.317160180985</v>
      </c>
      <c r="D36" s="455">
        <v>422.72734847493416</v>
      </c>
      <c r="E36" s="455">
        <v>27374.376598084913</v>
      </c>
      <c r="F36" s="455">
        <v>550.03231016774976</v>
      </c>
      <c r="G36" s="455">
        <v>16942.547201814377</v>
      </c>
      <c r="H36" s="455"/>
      <c r="I36" s="455"/>
      <c r="J36" s="749">
        <f t="shared" si="1"/>
        <v>3729.1797948063668</v>
      </c>
      <c r="K36" s="749">
        <f t="shared" si="2"/>
        <v>57729.240960080278</v>
      </c>
      <c r="L36" s="456">
        <f t="shared" si="3"/>
        <v>61458.420754886647</v>
      </c>
    </row>
    <row r="37" spans="1:12" x14ac:dyDescent="0.25">
      <c r="A37" s="13">
        <f t="shared" si="4"/>
        <v>45565</v>
      </c>
      <c r="B37" s="454">
        <v>2882.4736723275059</v>
      </c>
      <c r="C37" s="455">
        <v>6707.4712064583073</v>
      </c>
      <c r="D37" s="455">
        <v>442.05904483330733</v>
      </c>
      <c r="E37" s="455">
        <v>13689.867353533637</v>
      </c>
      <c r="F37" s="455">
        <v>1094.1270041911769</v>
      </c>
      <c r="G37" s="455">
        <v>10202.439086509108</v>
      </c>
      <c r="H37" s="455"/>
      <c r="I37" s="455"/>
      <c r="J37" s="749">
        <f t="shared" si="1"/>
        <v>4418.6597213519899</v>
      </c>
      <c r="K37" s="749">
        <f t="shared" si="2"/>
        <v>30599.77764650105</v>
      </c>
      <c r="L37" s="456">
        <f t="shared" si="3"/>
        <v>35018.437367853039</v>
      </c>
    </row>
    <row r="38" spans="1:12" x14ac:dyDescent="0.25">
      <c r="A38" s="13">
        <f t="shared" si="4"/>
        <v>45596</v>
      </c>
      <c r="B38" s="454">
        <v>2990.9208274395241</v>
      </c>
      <c r="C38" s="455">
        <v>3294.4595378214135</v>
      </c>
      <c r="D38" s="455">
        <v>458.69060898736893</v>
      </c>
      <c r="E38" s="455">
        <v>6723.951946440493</v>
      </c>
      <c r="F38" s="455">
        <v>1135.2912868262226</v>
      </c>
      <c r="G38" s="455">
        <v>6111.3204272104758</v>
      </c>
      <c r="H38" s="455"/>
      <c r="I38" s="455"/>
      <c r="J38" s="749">
        <f t="shared" si="1"/>
        <v>4584.9027232531162</v>
      </c>
      <c r="K38" s="749">
        <f t="shared" si="2"/>
        <v>16129.731911472381</v>
      </c>
      <c r="L38" s="456">
        <f t="shared" si="3"/>
        <v>20714.634634725498</v>
      </c>
    </row>
    <row r="39" spans="1:12" x14ac:dyDescent="0.25">
      <c r="A39" s="13">
        <f t="shared" si="4"/>
        <v>45626</v>
      </c>
      <c r="B39" s="454">
        <v>2848.8566648477563</v>
      </c>
      <c r="C39" s="455">
        <v>4716.3269561298348</v>
      </c>
      <c r="D39" s="455">
        <v>436.90350694953781</v>
      </c>
      <c r="E39" s="455">
        <v>9625.966096305423</v>
      </c>
      <c r="F39" s="455">
        <v>1081.3666879264347</v>
      </c>
      <c r="G39" s="455">
        <v>9992.3803186274727</v>
      </c>
      <c r="H39" s="455"/>
      <c r="I39" s="455"/>
      <c r="J39" s="749">
        <f t="shared" si="1"/>
        <v>4367.1268597237286</v>
      </c>
      <c r="K39" s="749">
        <f t="shared" si="2"/>
        <v>24334.67337106273</v>
      </c>
      <c r="L39" s="456">
        <f t="shared" si="3"/>
        <v>28701.800230786459</v>
      </c>
    </row>
    <row r="40" spans="1:12" x14ac:dyDescent="0.25">
      <c r="A40" s="13">
        <f t="shared" si="4"/>
        <v>45657</v>
      </c>
      <c r="B40" s="454">
        <v>3116.1192304685424</v>
      </c>
      <c r="C40" s="455">
        <v>8461.4787399787056</v>
      </c>
      <c r="D40" s="455">
        <v>477.89116127306369</v>
      </c>
      <c r="E40" s="455">
        <v>17269.775448833814</v>
      </c>
      <c r="F40" s="455">
        <v>1182.8139944751185</v>
      </c>
      <c r="G40" s="455">
        <v>18598.626414123137</v>
      </c>
      <c r="H40" s="455"/>
      <c r="I40" s="455"/>
      <c r="J40" s="749">
        <f t="shared" si="1"/>
        <v>4776.8243862167246</v>
      </c>
      <c r="K40" s="749">
        <f t="shared" si="2"/>
        <v>44329.880602935656</v>
      </c>
      <c r="L40" s="456">
        <f t="shared" si="3"/>
        <v>49106.704989152378</v>
      </c>
    </row>
    <row r="41" spans="1:12" x14ac:dyDescent="0.25">
      <c r="A41" s="13">
        <v>45658</v>
      </c>
      <c r="B41" s="304">
        <v>3207.0873950002851</v>
      </c>
      <c r="C41" s="305">
        <v>8806.4523154323961</v>
      </c>
      <c r="D41" s="305">
        <v>491.84212995291654</v>
      </c>
      <c r="E41" s="305">
        <v>17973.862330919579</v>
      </c>
      <c r="F41" s="305">
        <v>1217.3436161300901</v>
      </c>
      <c r="G41" s="459">
        <v>19644.871874496752</v>
      </c>
      <c r="H41" s="305">
        <f t="array" ref="H41:H52">TRANSPOSE('2. (Open) 2025'!C22:N22)</f>
        <v>0</v>
      </c>
      <c r="I41" s="459">
        <f t="array" ref="I41:I52">TRANSPOSE('2. TD Res THM install 2025'!C22:N22)</f>
        <v>1148.6922092171885</v>
      </c>
      <c r="J41" s="459">
        <f t="shared" si="1"/>
        <v>4916.2731410832912</v>
      </c>
      <c r="K41" s="459">
        <f t="shared" si="2"/>
        <v>47573.878730065917</v>
      </c>
      <c r="L41" s="460">
        <f t="shared" ref="L41:L52" si="5">SUM(J41:K41)</f>
        <v>52490.15187114921</v>
      </c>
    </row>
    <row r="42" spans="1:12" x14ac:dyDescent="0.25">
      <c r="A42" s="13">
        <f t="shared" si="4"/>
        <v>45716</v>
      </c>
      <c r="B42" s="306">
        <v>2803.2457976835826</v>
      </c>
      <c r="C42" s="297">
        <v>7364.7015144188417</v>
      </c>
      <c r="D42" s="297">
        <v>429.90857875082423</v>
      </c>
      <c r="E42" s="297">
        <v>15031.266438189954</v>
      </c>
      <c r="F42" s="297">
        <v>1064.0537521907188</v>
      </c>
      <c r="G42" s="297">
        <v>16428.706187522988</v>
      </c>
      <c r="H42" s="297">
        <v>0</v>
      </c>
      <c r="I42" s="297">
        <v>2881.9012298510056</v>
      </c>
      <c r="J42" s="748">
        <f t="shared" si="1"/>
        <v>4297.2081286251259</v>
      </c>
      <c r="K42" s="748">
        <f t="shared" si="2"/>
        <v>41706.575369982791</v>
      </c>
      <c r="L42" s="307">
        <f t="shared" si="5"/>
        <v>46003.783498607918</v>
      </c>
    </row>
    <row r="43" spans="1:12" x14ac:dyDescent="0.25">
      <c r="A43" s="13">
        <f t="shared" si="4"/>
        <v>45747</v>
      </c>
      <c r="B43" s="306">
        <v>2943.9136423497412</v>
      </c>
      <c r="C43" s="297">
        <v>5545.0995444853152</v>
      </c>
      <c r="D43" s="297">
        <v>451.48154007527961</v>
      </c>
      <c r="E43" s="297">
        <v>11317.480893999515</v>
      </c>
      <c r="F43" s="297">
        <v>1117.4483378718216</v>
      </c>
      <c r="G43" s="297">
        <v>12369.654224079653</v>
      </c>
      <c r="H43" s="297">
        <v>0</v>
      </c>
      <c r="I43" s="297">
        <v>3616.4464519509047</v>
      </c>
      <c r="J43" s="748">
        <f t="shared" si="1"/>
        <v>4512.8435202968421</v>
      </c>
      <c r="K43" s="748">
        <f t="shared" si="2"/>
        <v>32848.681114515392</v>
      </c>
      <c r="L43" s="307">
        <f t="shared" si="5"/>
        <v>37361.524634812231</v>
      </c>
    </row>
    <row r="44" spans="1:12" x14ac:dyDescent="0.25">
      <c r="A44" s="13">
        <f t="shared" si="4"/>
        <v>45777</v>
      </c>
      <c r="B44" s="306">
        <v>2682.9269291949076</v>
      </c>
      <c r="C44" s="297">
        <v>2955.4866508023065</v>
      </c>
      <c r="D44" s="297">
        <v>411.4563567617227</v>
      </c>
      <c r="E44" s="297">
        <v>6032.1123966459591</v>
      </c>
      <c r="F44" s="297">
        <v>1018.3832142805192</v>
      </c>
      <c r="G44" s="297">
        <v>6592.9110272989801</v>
      </c>
      <c r="H44" s="297">
        <v>0</v>
      </c>
      <c r="I44" s="297">
        <v>2698.5454051581091</v>
      </c>
      <c r="J44" s="748">
        <f t="shared" si="1"/>
        <v>4112.7665002371496</v>
      </c>
      <c r="K44" s="748">
        <f t="shared" si="2"/>
        <v>18279.055479905357</v>
      </c>
      <c r="L44" s="307">
        <f t="shared" si="5"/>
        <v>22391.821980142508</v>
      </c>
    </row>
    <row r="45" spans="1:12" x14ac:dyDescent="0.25">
      <c r="A45" s="13">
        <f t="shared" si="4"/>
        <v>45808</v>
      </c>
      <c r="B45" s="306">
        <v>2516.4583577242756</v>
      </c>
      <c r="C45" s="297">
        <v>3318.0646100435674</v>
      </c>
      <c r="D45" s="297">
        <v>385.92657017406168</v>
      </c>
      <c r="E45" s="297">
        <v>6772.1296124557721</v>
      </c>
      <c r="F45" s="297">
        <v>955.19520977462662</v>
      </c>
      <c r="G45" s="297">
        <v>7401.7268022199514</v>
      </c>
      <c r="H45" s="297">
        <v>0</v>
      </c>
      <c r="I45" s="297">
        <v>3895.2024579766958</v>
      </c>
      <c r="J45" s="748">
        <f t="shared" si="1"/>
        <v>3857.5801376729637</v>
      </c>
      <c r="K45" s="748">
        <f t="shared" si="2"/>
        <v>21387.123482695984</v>
      </c>
      <c r="L45" s="307">
        <f t="shared" si="5"/>
        <v>25244.703620368949</v>
      </c>
    </row>
    <row r="46" spans="1:12" x14ac:dyDescent="0.25">
      <c r="A46" s="13">
        <f t="shared" si="4"/>
        <v>45838</v>
      </c>
      <c r="B46" s="306">
        <v>2423.7571303922086</v>
      </c>
      <c r="C46" s="297">
        <v>9481.0035883434502</v>
      </c>
      <c r="D46" s="297">
        <v>371.70981725010546</v>
      </c>
      <c r="E46" s="297">
        <v>19350.613294892129</v>
      </c>
      <c r="F46" s="297">
        <v>920.00775355623875</v>
      </c>
      <c r="G46" s="297">
        <v>21149.617810143794</v>
      </c>
      <c r="H46" s="297">
        <v>0</v>
      </c>
      <c r="I46" s="297">
        <v>13603.469392829109</v>
      </c>
      <c r="J46" s="748">
        <f t="shared" si="1"/>
        <v>3715.4747011985528</v>
      </c>
      <c r="K46" s="748">
        <f t="shared" si="2"/>
        <v>63584.704086208483</v>
      </c>
      <c r="L46" s="307">
        <f t="shared" si="5"/>
        <v>67300.178787407029</v>
      </c>
    </row>
    <row r="47" spans="1:12" x14ac:dyDescent="0.25">
      <c r="A47" s="13">
        <f t="shared" si="4"/>
        <v>45869</v>
      </c>
      <c r="B47" s="306">
        <v>2650.9132873324188</v>
      </c>
      <c r="C47" s="297">
        <v>14106.374543796372</v>
      </c>
      <c r="D47" s="297">
        <v>406.54671263236628</v>
      </c>
      <c r="E47" s="297">
        <v>28790.939297345805</v>
      </c>
      <c r="F47" s="297">
        <v>1006.2315022282907</v>
      </c>
      <c r="G47" s="297">
        <v>31467.600186845037</v>
      </c>
      <c r="H47" s="297">
        <v>0</v>
      </c>
      <c r="I47" s="297">
        <v>23920.015172820298</v>
      </c>
      <c r="J47" s="748">
        <f t="shared" si="1"/>
        <v>4063.6915021930758</v>
      </c>
      <c r="K47" s="748">
        <f t="shared" si="2"/>
        <v>98284.929200807499</v>
      </c>
      <c r="L47" s="307">
        <f t="shared" si="5"/>
        <v>102348.62070300058</v>
      </c>
    </row>
    <row r="48" spans="1:12" x14ac:dyDescent="0.25">
      <c r="A48" s="13">
        <f t="shared" si="4"/>
        <v>45900</v>
      </c>
      <c r="B48" s="306">
        <v>2756.4201361636829</v>
      </c>
      <c r="C48" s="297">
        <v>13412.317160180985</v>
      </c>
      <c r="D48" s="297">
        <v>422.72734847493416</v>
      </c>
      <c r="E48" s="297">
        <v>27374.376598084913</v>
      </c>
      <c r="F48" s="297">
        <v>1046.2797058048352</v>
      </c>
      <c r="G48" s="297">
        <v>29919.341264148166</v>
      </c>
      <c r="H48" s="297">
        <v>0</v>
      </c>
      <c r="I48" s="297">
        <v>26242.050165509991</v>
      </c>
      <c r="J48" s="748">
        <f t="shared" si="1"/>
        <v>4225.4271904434527</v>
      </c>
      <c r="K48" s="748">
        <f t="shared" si="2"/>
        <v>96948.085187924065</v>
      </c>
      <c r="L48" s="307">
        <f t="shared" si="5"/>
        <v>101173.51237836752</v>
      </c>
    </row>
    <row r="49" spans="1:14" x14ac:dyDescent="0.25">
      <c r="A49" s="13">
        <f t="shared" si="4"/>
        <v>45930</v>
      </c>
      <c r="B49" s="306">
        <v>2882.4736723275059</v>
      </c>
      <c r="C49" s="297">
        <v>6707.4712064583073</v>
      </c>
      <c r="D49" s="297">
        <v>442.05904483330733</v>
      </c>
      <c r="E49" s="297">
        <v>13689.867353533637</v>
      </c>
      <c r="F49" s="297">
        <v>1094.1270041911769</v>
      </c>
      <c r="G49" s="297">
        <v>14962.598755215071</v>
      </c>
      <c r="H49" s="297">
        <v>0</v>
      </c>
      <c r="I49" s="297">
        <v>14873.405762203623</v>
      </c>
      <c r="J49" s="748">
        <f t="shared" si="1"/>
        <v>4418.6597213519899</v>
      </c>
      <c r="K49" s="748">
        <f t="shared" si="2"/>
        <v>50233.343077410638</v>
      </c>
      <c r="L49" s="307">
        <f t="shared" si="5"/>
        <v>54652.002798762631</v>
      </c>
    </row>
    <row r="50" spans="1:14" x14ac:dyDescent="0.25">
      <c r="A50" s="13">
        <f t="shared" si="4"/>
        <v>45961</v>
      </c>
      <c r="B50" s="306">
        <v>2990.9208274395241</v>
      </c>
      <c r="C50" s="297">
        <v>3294.4595378214135</v>
      </c>
      <c r="D50" s="297">
        <v>458.69060898736893</v>
      </c>
      <c r="E50" s="297">
        <v>6723.951946440493</v>
      </c>
      <c r="F50" s="297">
        <v>1135.2912868262226</v>
      </c>
      <c r="G50" s="297">
        <v>7349.0701133760431</v>
      </c>
      <c r="H50" s="297">
        <v>0</v>
      </c>
      <c r="I50" s="297">
        <v>8164.7044137009289</v>
      </c>
      <c r="J50" s="748">
        <f t="shared" si="1"/>
        <v>4584.9027232531162</v>
      </c>
      <c r="K50" s="748">
        <f t="shared" si="2"/>
        <v>25532.186011338876</v>
      </c>
      <c r="L50" s="307">
        <f t="shared" si="5"/>
        <v>30117.088734591991</v>
      </c>
    </row>
    <row r="51" spans="1:14" x14ac:dyDescent="0.25">
      <c r="A51" s="13">
        <f t="shared" si="4"/>
        <v>45991</v>
      </c>
      <c r="B51" s="306">
        <v>2848.8566648477563</v>
      </c>
      <c r="C51" s="297">
        <v>4716.3269561298348</v>
      </c>
      <c r="D51" s="297">
        <v>436.90350694953781</v>
      </c>
      <c r="E51" s="297">
        <v>9625.966096305423</v>
      </c>
      <c r="F51" s="297">
        <v>1081.3666879264347</v>
      </c>
      <c r="G51" s="297">
        <v>10520.881218994793</v>
      </c>
      <c r="H51" s="297">
        <v>0</v>
      </c>
      <c r="I51" s="297">
        <v>12918.910427051853</v>
      </c>
      <c r="J51" s="748">
        <f t="shared" si="1"/>
        <v>4367.1268597237286</v>
      </c>
      <c r="K51" s="748">
        <f t="shared" si="2"/>
        <v>37782.0846984819</v>
      </c>
      <c r="L51" s="307">
        <f t="shared" si="5"/>
        <v>42149.211558205629</v>
      </c>
    </row>
    <row r="52" spans="1:14" x14ac:dyDescent="0.25">
      <c r="A52" s="13">
        <f t="shared" si="4"/>
        <v>46022</v>
      </c>
      <c r="B52" s="308">
        <v>3116.1192304685424</v>
      </c>
      <c r="C52" s="309">
        <v>8461.4787399787056</v>
      </c>
      <c r="D52" s="309">
        <v>477.89116127306369</v>
      </c>
      <c r="E52" s="309">
        <v>17269.775448833814</v>
      </c>
      <c r="F52" s="309">
        <v>1182.8139944751185</v>
      </c>
      <c r="G52" s="309">
        <v>18875.326835571279</v>
      </c>
      <c r="H52" s="309">
        <v>0</v>
      </c>
      <c r="I52" s="309">
        <v>25384.977997424503</v>
      </c>
      <c r="J52" s="751">
        <f t="shared" si="1"/>
        <v>4776.8243862167246</v>
      </c>
      <c r="K52" s="751">
        <f t="shared" si="2"/>
        <v>69991.559021808294</v>
      </c>
      <c r="L52" s="310">
        <f t="shared" si="5"/>
        <v>74768.383408025024</v>
      </c>
    </row>
    <row r="53" spans="1:14" x14ac:dyDescent="0.25">
      <c r="A53" s="8"/>
    </row>
    <row r="54" spans="1:14" x14ac:dyDescent="0.25">
      <c r="A54" s="8" t="s">
        <v>223</v>
      </c>
      <c r="B54" s="198">
        <f>SUM(B5:B16)</f>
        <v>3198.2483269921677</v>
      </c>
      <c r="C54" s="198">
        <f t="shared" ref="C54:L54" si="6">SUM(C5:C16)</f>
        <v>27650.771067296464</v>
      </c>
      <c r="D54" s="198">
        <f t="shared" si="6"/>
        <v>0</v>
      </c>
      <c r="E54" s="198">
        <f t="shared" si="6"/>
        <v>0</v>
      </c>
      <c r="F54" s="198">
        <f t="shared" si="6"/>
        <v>0</v>
      </c>
      <c r="G54" s="198">
        <f t="shared" si="6"/>
        <v>0</v>
      </c>
      <c r="H54" s="198">
        <f t="shared" si="6"/>
        <v>0</v>
      </c>
      <c r="I54" s="198">
        <f t="shared" si="6"/>
        <v>0</v>
      </c>
      <c r="J54" s="198">
        <f t="shared" si="6"/>
        <v>3198.2483269921677</v>
      </c>
      <c r="K54" s="198">
        <f t="shared" si="6"/>
        <v>27650.771067296464</v>
      </c>
      <c r="L54" s="198">
        <f t="shared" si="6"/>
        <v>30849.019394288633</v>
      </c>
      <c r="N54" s="198">
        <f>L54-'2. Summary of TD (kWh)'!F55</f>
        <v>0</v>
      </c>
    </row>
    <row r="55" spans="1:14" x14ac:dyDescent="0.25">
      <c r="A55" s="8" t="s">
        <v>224</v>
      </c>
      <c r="B55" s="311">
        <f>SUM(B17:B28)</f>
        <v>33823.093070924435</v>
      </c>
      <c r="C55" s="311">
        <f t="shared" ref="C55:L55" si="7">SUM(C17:C28)</f>
        <v>88169.236367891499</v>
      </c>
      <c r="D55" s="311">
        <f t="shared" si="7"/>
        <v>2521.7444218587839</v>
      </c>
      <c r="E55" s="311">
        <f t="shared" si="7"/>
        <v>87937.031963868096</v>
      </c>
      <c r="F55" s="311">
        <f t="shared" si="7"/>
        <v>0</v>
      </c>
      <c r="G55" s="311">
        <f t="shared" si="7"/>
        <v>0</v>
      </c>
      <c r="H55" s="311">
        <f t="shared" si="7"/>
        <v>0</v>
      </c>
      <c r="I55" s="311">
        <f t="shared" si="7"/>
        <v>0</v>
      </c>
      <c r="J55" s="311">
        <f t="shared" si="7"/>
        <v>36344.837492783212</v>
      </c>
      <c r="K55" s="311">
        <f t="shared" si="7"/>
        <v>176106.26833175961</v>
      </c>
      <c r="L55" s="311">
        <f t="shared" si="7"/>
        <v>212451.10582454281</v>
      </c>
      <c r="N55" s="311">
        <f>L55-'2. Summary of TD (kWh)'!F64</f>
        <v>0</v>
      </c>
    </row>
    <row r="56" spans="1:14" x14ac:dyDescent="0.25">
      <c r="A56" s="8" t="s">
        <v>225</v>
      </c>
      <c r="B56" s="311">
        <f>SUM(B29:B40)</f>
        <v>33823.093070924435</v>
      </c>
      <c r="C56" s="311">
        <f t="shared" ref="C56:L56" si="8">SUM(C29:C40)</f>
        <v>88169.236367891499</v>
      </c>
      <c r="D56" s="311">
        <f t="shared" si="8"/>
        <v>5187.1433761154876</v>
      </c>
      <c r="E56" s="311">
        <f t="shared" si="8"/>
        <v>179952.34170764699</v>
      </c>
      <c r="F56" s="311">
        <f t="shared" si="8"/>
        <v>5217.9293537048634</v>
      </c>
      <c r="G56" s="311">
        <f t="shared" si="8"/>
        <v>86679.326867082404</v>
      </c>
      <c r="H56" s="311">
        <f t="shared" si="8"/>
        <v>0</v>
      </c>
      <c r="I56" s="311">
        <f t="shared" si="8"/>
        <v>0</v>
      </c>
      <c r="J56" s="311">
        <f t="shared" si="8"/>
        <v>44228.165800744784</v>
      </c>
      <c r="K56" s="311">
        <f t="shared" si="8"/>
        <v>354800.90494262089</v>
      </c>
      <c r="L56" s="311">
        <f t="shared" si="8"/>
        <v>399029.07074336568</v>
      </c>
      <c r="N56" s="311">
        <f>L56-'2. Summary of TD (kWh)'!F73</f>
        <v>0</v>
      </c>
    </row>
    <row r="57" spans="1:14" x14ac:dyDescent="0.25">
      <c r="A57" s="8" t="s">
        <v>241</v>
      </c>
      <c r="B57" s="311">
        <f>SUM(B41:B52)</f>
        <v>33823.093070924435</v>
      </c>
      <c r="C57" s="311">
        <f t="shared" ref="C57:L57" si="9">SUM(C41:C52)</f>
        <v>88169.236367891499</v>
      </c>
      <c r="D57" s="311">
        <f t="shared" si="9"/>
        <v>5187.1433761154876</v>
      </c>
      <c r="E57" s="311">
        <f t="shared" si="9"/>
        <v>179952.34170764699</v>
      </c>
      <c r="F57" s="311">
        <f t="shared" si="9"/>
        <v>12838.542065256095</v>
      </c>
      <c r="G57" s="311">
        <f t="shared" si="9"/>
        <v>196682.30629991251</v>
      </c>
      <c r="H57" s="311">
        <f t="shared" si="9"/>
        <v>0</v>
      </c>
      <c r="I57" s="311">
        <f t="shared" si="9"/>
        <v>139348.32108569419</v>
      </c>
      <c r="J57" s="311">
        <f>SUM(J41:J52)</f>
        <v>51848.778512296012</v>
      </c>
      <c r="K57" s="311">
        <f t="shared" si="9"/>
        <v>604152.20546114538</v>
      </c>
      <c r="L57" s="311">
        <f t="shared" si="9"/>
        <v>656000.9839734413</v>
      </c>
      <c r="N57" s="311">
        <f>L57-'2. Summary of TD (kWh)'!F82</f>
        <v>0</v>
      </c>
    </row>
    <row r="58" spans="1:14" ht="13.75" thickBot="1" x14ac:dyDescent="0.3">
      <c r="A58" s="34" t="s">
        <v>85</v>
      </c>
      <c r="B58" s="7">
        <f>SUM(B54:B57)</f>
        <v>104667.52753976546</v>
      </c>
      <c r="C58" s="7">
        <f t="shared" ref="C58:L58" si="10">SUM(C54:C57)</f>
        <v>292158.48017097096</v>
      </c>
      <c r="D58" s="7">
        <f t="shared" si="10"/>
        <v>12896.03117408976</v>
      </c>
      <c r="E58" s="7">
        <f t="shared" si="10"/>
        <v>447841.71537916211</v>
      </c>
      <c r="F58" s="7">
        <f t="shared" si="10"/>
        <v>18056.471418960959</v>
      </c>
      <c r="G58" s="7">
        <f t="shared" si="10"/>
        <v>283361.6331669949</v>
      </c>
      <c r="H58" s="7">
        <f t="shared" si="10"/>
        <v>0</v>
      </c>
      <c r="I58" s="7">
        <f t="shared" si="10"/>
        <v>139348.32108569419</v>
      </c>
      <c r="J58" s="7">
        <f t="shared" si="10"/>
        <v>135620.03013281617</v>
      </c>
      <c r="K58" s="7">
        <f t="shared" si="10"/>
        <v>1162710.1498028224</v>
      </c>
      <c r="L58" s="7">
        <f t="shared" si="10"/>
        <v>1298330.1799356383</v>
      </c>
    </row>
    <row r="59" spans="1:14" ht="13.75" thickTop="1" x14ac:dyDescent="0.25">
      <c r="B59" s="198">
        <f>+B58-SUM('2. TD Res Lighting install 2022'!$AY$22:$BB$22)</f>
        <v>0</v>
      </c>
      <c r="C59" s="198">
        <f>C58-SUM('2. TD Res HVAC install 2022'!AY22:BB22)</f>
        <v>0</v>
      </c>
      <c r="D59" s="198">
        <f>+D58-SUM('2. TD Res Lighting install 2023'!AM22:AO22)</f>
        <v>0</v>
      </c>
      <c r="E59" s="198">
        <f>E58-SUM('2. TD Res HVAC install 2023'!AM22:AO22)</f>
        <v>0</v>
      </c>
      <c r="F59" s="198">
        <f>F58-SUM('2. TD Res Lighting install 2024'!AA22:AB22)</f>
        <v>0</v>
      </c>
      <c r="G59" s="198">
        <f>G58-SUM('2. TD Res HVAC install 2024'!AA22:AB22)</f>
        <v>0</v>
      </c>
      <c r="H59" s="198">
        <f>H58-'2. (Open) 2025'!O22</f>
        <v>0</v>
      </c>
      <c r="I59" s="198">
        <f>I58-'2. TD Res THM install 2025'!O22</f>
        <v>0</v>
      </c>
      <c r="J59" s="198"/>
      <c r="K59" s="198"/>
    </row>
    <row r="61" spans="1:14" x14ac:dyDescent="0.25">
      <c r="A61" s="525" t="str">
        <f>A1</f>
        <v>2025 MEEIA Filing</v>
      </c>
      <c r="B61" s="189" t="s">
        <v>146</v>
      </c>
      <c r="C61" s="189" t="s">
        <v>92</v>
      </c>
      <c r="D61" s="189" t="s">
        <v>146</v>
      </c>
      <c r="E61" s="189" t="s">
        <v>92</v>
      </c>
      <c r="F61" s="189" t="s">
        <v>146</v>
      </c>
      <c r="G61" s="189" t="s">
        <v>92</v>
      </c>
      <c r="H61" s="189" t="s">
        <v>146</v>
      </c>
      <c r="I61" s="189" t="s">
        <v>92</v>
      </c>
      <c r="J61" s="189" t="s">
        <v>146</v>
      </c>
      <c r="K61" s="189" t="s">
        <v>92</v>
      </c>
      <c r="L61" s="190" t="s">
        <v>96</v>
      </c>
    </row>
    <row r="62" spans="1:14" x14ac:dyDescent="0.25">
      <c r="A62" s="12" t="s">
        <v>3</v>
      </c>
      <c r="B62" s="163" t="s">
        <v>177</v>
      </c>
      <c r="C62" s="163" t="s">
        <v>177</v>
      </c>
      <c r="D62" s="163" t="s">
        <v>177</v>
      </c>
      <c r="E62" s="163" t="s">
        <v>177</v>
      </c>
      <c r="F62" s="163" t="s">
        <v>177</v>
      </c>
      <c r="G62" s="163" t="s">
        <v>177</v>
      </c>
      <c r="H62" s="163" t="s">
        <v>177</v>
      </c>
      <c r="I62" s="163" t="s">
        <v>177</v>
      </c>
      <c r="J62" s="163" t="s">
        <v>1</v>
      </c>
      <c r="K62" s="163" t="s">
        <v>1</v>
      </c>
      <c r="L62" s="188" t="s">
        <v>144</v>
      </c>
    </row>
    <row r="63" spans="1:14" x14ac:dyDescent="0.25">
      <c r="A63" s="3" t="s">
        <v>178</v>
      </c>
      <c r="B63" s="9">
        <v>2022</v>
      </c>
      <c r="C63" s="9">
        <v>2022</v>
      </c>
      <c r="D63" s="9">
        <v>2023</v>
      </c>
      <c r="E63" s="9">
        <v>2023</v>
      </c>
      <c r="F63" s="9">
        <v>2024</v>
      </c>
      <c r="G63" s="9">
        <v>2024</v>
      </c>
      <c r="H63" s="9">
        <v>2024</v>
      </c>
      <c r="I63" s="9">
        <v>2024</v>
      </c>
      <c r="J63" s="9"/>
      <c r="K63" s="9"/>
      <c r="L63" s="10" t="s">
        <v>145</v>
      </c>
    </row>
    <row r="64" spans="1:14" x14ac:dyDescent="0.25">
      <c r="A64" s="312"/>
    </row>
    <row r="65" spans="1:13" x14ac:dyDescent="0.25">
      <c r="A65" s="13">
        <v>44562</v>
      </c>
      <c r="B65" s="451">
        <f t="array" ref="B65:B112">TRANSPOSE('2. TD Sm C&amp;I HVAC install 2022'!C22:AX22)</f>
        <v>0</v>
      </c>
      <c r="C65" s="452">
        <f t="array" ref="C65:C112">TRANSPOSE('2. TD Lg C&amp;I Light install 2022'!C22:AX22)</f>
        <v>1393.9135216917464</v>
      </c>
      <c r="D65" s="452"/>
      <c r="E65" s="452"/>
      <c r="F65" s="452"/>
      <c r="G65" s="452"/>
      <c r="H65" s="452"/>
      <c r="I65" s="452"/>
      <c r="J65" s="452">
        <f>SUM(B65,D65,F65,H65)</f>
        <v>0</v>
      </c>
      <c r="K65" s="452">
        <f>SUM(C65,E65,G65,I65)</f>
        <v>1393.9135216917464</v>
      </c>
      <c r="L65" s="453">
        <f>SUM(J65:K65)</f>
        <v>1393.9135216917464</v>
      </c>
      <c r="M65" s="311"/>
    </row>
    <row r="66" spans="1:13" x14ac:dyDescent="0.25">
      <c r="A66" s="13">
        <f t="shared" ref="A66:A76" si="11">EOMONTH(A65,1)</f>
        <v>44620</v>
      </c>
      <c r="B66" s="454">
        <v>0</v>
      </c>
      <c r="C66" s="455">
        <v>3363.0773149843208</v>
      </c>
      <c r="D66" s="455"/>
      <c r="E66" s="455"/>
      <c r="F66" s="455"/>
      <c r="G66" s="455"/>
      <c r="H66" s="455"/>
      <c r="I66" s="455"/>
      <c r="J66" s="749">
        <f t="shared" ref="J66:J112" si="12">SUM(B66,D66,F66,H66)</f>
        <v>0</v>
      </c>
      <c r="K66" s="749">
        <f t="shared" ref="K66:K112" si="13">SUM(C66,E66,G66,I66)</f>
        <v>3363.0773149843208</v>
      </c>
      <c r="L66" s="456">
        <f t="shared" ref="L66:L112" si="14">SUM(J66:K66)</f>
        <v>3363.0773149843208</v>
      </c>
    </row>
    <row r="67" spans="1:13" x14ac:dyDescent="0.25">
      <c r="A67" s="13">
        <f t="shared" si="11"/>
        <v>44651</v>
      </c>
      <c r="B67" s="454">
        <v>0</v>
      </c>
      <c r="C67" s="455">
        <v>6007.962925681145</v>
      </c>
      <c r="D67" s="455"/>
      <c r="E67" s="455"/>
      <c r="F67" s="455"/>
      <c r="G67" s="455"/>
      <c r="H67" s="455"/>
      <c r="I67" s="455"/>
      <c r="J67" s="749">
        <f t="shared" si="12"/>
        <v>0</v>
      </c>
      <c r="K67" s="749">
        <f t="shared" si="13"/>
        <v>6007.962925681145</v>
      </c>
      <c r="L67" s="456">
        <f t="shared" si="14"/>
        <v>6007.962925681145</v>
      </c>
    </row>
    <row r="68" spans="1:13" x14ac:dyDescent="0.25">
      <c r="A68" s="13">
        <f t="shared" si="11"/>
        <v>44681</v>
      </c>
      <c r="B68" s="454">
        <v>0</v>
      </c>
      <c r="C68" s="455">
        <v>7353.2598282958106</v>
      </c>
      <c r="D68" s="455"/>
      <c r="E68" s="455"/>
      <c r="F68" s="455"/>
      <c r="G68" s="455"/>
      <c r="H68" s="455"/>
      <c r="I68" s="455"/>
      <c r="J68" s="749">
        <f t="shared" si="12"/>
        <v>0</v>
      </c>
      <c r="K68" s="749">
        <f t="shared" si="13"/>
        <v>7353.2598282958106</v>
      </c>
      <c r="L68" s="456">
        <f t="shared" si="14"/>
        <v>7353.2598282958106</v>
      </c>
    </row>
    <row r="69" spans="1:13" x14ac:dyDescent="0.25">
      <c r="A69" s="13">
        <f t="shared" si="11"/>
        <v>44712</v>
      </c>
      <c r="B69" s="454">
        <v>0</v>
      </c>
      <c r="C69" s="455">
        <v>7835.5002701336125</v>
      </c>
      <c r="D69" s="455"/>
      <c r="E69" s="455"/>
      <c r="F69" s="455"/>
      <c r="G69" s="455"/>
      <c r="H69" s="455"/>
      <c r="I69" s="455"/>
      <c r="J69" s="749">
        <f t="shared" si="12"/>
        <v>0</v>
      </c>
      <c r="K69" s="749">
        <f t="shared" si="13"/>
        <v>7835.5002701336125</v>
      </c>
      <c r="L69" s="456">
        <f t="shared" si="14"/>
        <v>7835.5002701336125</v>
      </c>
    </row>
    <row r="70" spans="1:13" x14ac:dyDescent="0.25">
      <c r="A70" s="13">
        <f t="shared" si="11"/>
        <v>44742</v>
      </c>
      <c r="B70" s="454">
        <v>0</v>
      </c>
      <c r="C70" s="455">
        <v>8934.1168835914359</v>
      </c>
      <c r="D70" s="455"/>
      <c r="E70" s="455"/>
      <c r="F70" s="455"/>
      <c r="G70" s="455"/>
      <c r="H70" s="455"/>
      <c r="I70" s="455"/>
      <c r="J70" s="749">
        <f t="shared" si="12"/>
        <v>0</v>
      </c>
      <c r="K70" s="749">
        <f t="shared" si="13"/>
        <v>8934.1168835914359</v>
      </c>
      <c r="L70" s="456">
        <f t="shared" si="14"/>
        <v>8934.1168835914359</v>
      </c>
    </row>
    <row r="71" spans="1:13" x14ac:dyDescent="0.25">
      <c r="A71" s="13">
        <f t="shared" si="11"/>
        <v>44773</v>
      </c>
      <c r="B71" s="454">
        <v>0</v>
      </c>
      <c r="C71" s="455">
        <v>10663.00480805519</v>
      </c>
      <c r="D71" s="455"/>
      <c r="E71" s="455"/>
      <c r="F71" s="455"/>
      <c r="G71" s="455"/>
      <c r="H71" s="455"/>
      <c r="I71" s="455"/>
      <c r="J71" s="749">
        <f t="shared" si="12"/>
        <v>0</v>
      </c>
      <c r="K71" s="749">
        <f t="shared" si="13"/>
        <v>10663.00480805519</v>
      </c>
      <c r="L71" s="456">
        <f t="shared" si="14"/>
        <v>10663.00480805519</v>
      </c>
    </row>
    <row r="72" spans="1:13" x14ac:dyDescent="0.25">
      <c r="A72" s="13">
        <f t="shared" si="11"/>
        <v>44804</v>
      </c>
      <c r="B72" s="454">
        <v>0</v>
      </c>
      <c r="C72" s="455">
        <v>11087.394410591982</v>
      </c>
      <c r="D72" s="455"/>
      <c r="E72" s="455"/>
      <c r="F72" s="455"/>
      <c r="G72" s="455"/>
      <c r="H72" s="455"/>
      <c r="I72" s="455"/>
      <c r="J72" s="749">
        <f t="shared" si="12"/>
        <v>0</v>
      </c>
      <c r="K72" s="749">
        <f t="shared" si="13"/>
        <v>11087.394410591982</v>
      </c>
      <c r="L72" s="456">
        <f t="shared" si="14"/>
        <v>11087.394410591982</v>
      </c>
    </row>
    <row r="73" spans="1:13" x14ac:dyDescent="0.25">
      <c r="A73" s="13">
        <f t="shared" si="11"/>
        <v>44834</v>
      </c>
      <c r="B73" s="454">
        <v>0</v>
      </c>
      <c r="C73" s="455">
        <v>11890.562680200987</v>
      </c>
      <c r="D73" s="455"/>
      <c r="E73" s="455"/>
      <c r="F73" s="455"/>
      <c r="G73" s="455"/>
      <c r="H73" s="455"/>
      <c r="I73" s="455"/>
      <c r="J73" s="749">
        <f t="shared" si="12"/>
        <v>0</v>
      </c>
      <c r="K73" s="749">
        <f t="shared" si="13"/>
        <v>11890.562680200987</v>
      </c>
      <c r="L73" s="456">
        <f t="shared" si="14"/>
        <v>11890.562680200987</v>
      </c>
    </row>
    <row r="74" spans="1:13" x14ac:dyDescent="0.25">
      <c r="A74" s="13">
        <f t="shared" si="11"/>
        <v>44865</v>
      </c>
      <c r="B74" s="454">
        <v>0</v>
      </c>
      <c r="C74" s="455">
        <v>14059.185441894957</v>
      </c>
      <c r="D74" s="455"/>
      <c r="E74" s="455"/>
      <c r="F74" s="455"/>
      <c r="G74" s="455"/>
      <c r="H74" s="455"/>
      <c r="I74" s="455"/>
      <c r="J74" s="749">
        <f t="shared" si="12"/>
        <v>0</v>
      </c>
      <c r="K74" s="749">
        <f t="shared" si="13"/>
        <v>14059.185441894957</v>
      </c>
      <c r="L74" s="456">
        <f t="shared" si="14"/>
        <v>14059.185441894957</v>
      </c>
    </row>
    <row r="75" spans="1:13" x14ac:dyDescent="0.25">
      <c r="A75" s="13">
        <f t="shared" si="11"/>
        <v>44895</v>
      </c>
      <c r="B75" s="454">
        <v>0</v>
      </c>
      <c r="C75" s="455">
        <v>15193.915294837901</v>
      </c>
      <c r="D75" s="455"/>
      <c r="E75" s="455"/>
      <c r="F75" s="455"/>
      <c r="G75" s="455"/>
      <c r="H75" s="455"/>
      <c r="I75" s="455"/>
      <c r="J75" s="749">
        <f t="shared" si="12"/>
        <v>0</v>
      </c>
      <c r="K75" s="749">
        <f t="shared" si="13"/>
        <v>15193.915294837901</v>
      </c>
      <c r="L75" s="456">
        <f t="shared" si="14"/>
        <v>15193.915294837901</v>
      </c>
    </row>
    <row r="76" spans="1:13" x14ac:dyDescent="0.25">
      <c r="A76" s="13">
        <f t="shared" si="11"/>
        <v>44926</v>
      </c>
      <c r="B76" s="457">
        <v>459.67259473182071</v>
      </c>
      <c r="C76" s="458">
        <v>17670.250429040607</v>
      </c>
      <c r="D76" s="458"/>
      <c r="E76" s="458"/>
      <c r="F76" s="458"/>
      <c r="G76" s="458"/>
      <c r="H76" s="458"/>
      <c r="I76" s="458"/>
      <c r="J76" s="749">
        <f t="shared" si="12"/>
        <v>459.67259473182071</v>
      </c>
      <c r="K76" s="749">
        <f t="shared" si="13"/>
        <v>17670.250429040607</v>
      </c>
      <c r="L76" s="456">
        <f t="shared" si="14"/>
        <v>18129.923023772426</v>
      </c>
    </row>
    <row r="77" spans="1:13" x14ac:dyDescent="0.25">
      <c r="A77" s="13">
        <v>44927</v>
      </c>
      <c r="B77" s="304">
        <v>956.82679366444825</v>
      </c>
      <c r="C77" s="305">
        <v>19267.70727955463</v>
      </c>
      <c r="D77" s="459">
        <f t="array" ref="D77:D112">TRANSPOSE('2. TD Sm C&amp;I HVAC install 2023'!C22:AL22)</f>
        <v>0</v>
      </c>
      <c r="E77" s="459">
        <f t="array" ref="E77:E112">TRANSPOSE('2. TD Lg C&amp;I Light install 2023'!C22:AL22)</f>
        <v>0.67081004860363758</v>
      </c>
      <c r="F77" s="305"/>
      <c r="G77" s="305"/>
      <c r="H77" s="305"/>
      <c r="I77" s="305"/>
      <c r="J77" s="459">
        <f t="shared" si="12"/>
        <v>956.82679366444825</v>
      </c>
      <c r="K77" s="459">
        <f t="shared" si="13"/>
        <v>19268.378089603233</v>
      </c>
      <c r="L77" s="460">
        <f t="shared" si="14"/>
        <v>20225.204883267681</v>
      </c>
      <c r="M77" s="311"/>
    </row>
    <row r="78" spans="1:13" x14ac:dyDescent="0.25">
      <c r="A78" s="13">
        <f t="shared" ref="A78:A88" si="15">EOMONTH(A77,1)</f>
        <v>44985</v>
      </c>
      <c r="B78" s="306">
        <v>800.17962783814755</v>
      </c>
      <c r="C78" s="297">
        <v>16841.486623224406</v>
      </c>
      <c r="D78" s="297">
        <v>98.967220832497702</v>
      </c>
      <c r="E78" s="297">
        <v>10.399642168943469</v>
      </c>
      <c r="F78" s="297"/>
      <c r="G78" s="297"/>
      <c r="H78" s="297"/>
      <c r="I78" s="297"/>
      <c r="J78" s="748">
        <f t="shared" si="12"/>
        <v>899.14684867064523</v>
      </c>
      <c r="K78" s="748">
        <f t="shared" si="13"/>
        <v>16851.88626539335</v>
      </c>
      <c r="L78" s="307">
        <f t="shared" si="14"/>
        <v>17751.033114063994</v>
      </c>
    </row>
    <row r="79" spans="1:13" x14ac:dyDescent="0.25">
      <c r="A79" s="13">
        <f t="shared" si="15"/>
        <v>45016</v>
      </c>
      <c r="B79" s="306">
        <v>602.47868581567047</v>
      </c>
      <c r="C79" s="297">
        <v>17686.598252829113</v>
      </c>
      <c r="D79" s="297">
        <v>246.71337655570667</v>
      </c>
      <c r="E79" s="297">
        <v>783.97170394831119</v>
      </c>
      <c r="F79" s="297"/>
      <c r="G79" s="297"/>
      <c r="H79" s="297"/>
      <c r="I79" s="297"/>
      <c r="J79" s="748">
        <f t="shared" si="12"/>
        <v>849.19206237137712</v>
      </c>
      <c r="K79" s="748">
        <f t="shared" si="13"/>
        <v>18470.569956777425</v>
      </c>
      <c r="L79" s="307">
        <f t="shared" si="14"/>
        <v>19319.762019148802</v>
      </c>
    </row>
    <row r="80" spans="1:13" x14ac:dyDescent="0.25">
      <c r="A80" s="13">
        <f t="shared" si="15"/>
        <v>45046</v>
      </c>
      <c r="B80" s="306">
        <v>321.11555419992095</v>
      </c>
      <c r="C80" s="297">
        <v>16118.628636297977</v>
      </c>
      <c r="D80" s="297">
        <v>335.50188063925816</v>
      </c>
      <c r="E80" s="297">
        <v>1500.6445510597439</v>
      </c>
      <c r="F80" s="297"/>
      <c r="G80" s="297"/>
      <c r="H80" s="297"/>
      <c r="I80" s="297"/>
      <c r="J80" s="748">
        <f t="shared" si="12"/>
        <v>656.61743483917917</v>
      </c>
      <c r="K80" s="748">
        <f t="shared" si="13"/>
        <v>17619.273187357721</v>
      </c>
      <c r="L80" s="307">
        <f t="shared" si="14"/>
        <v>18275.890622196901</v>
      </c>
    </row>
    <row r="81" spans="1:13" x14ac:dyDescent="0.25">
      <c r="A81" s="13">
        <f t="shared" si="15"/>
        <v>45077</v>
      </c>
      <c r="B81" s="306">
        <v>360.50988619286943</v>
      </c>
      <c r="C81" s="297">
        <v>15118.510051646352</v>
      </c>
      <c r="D81" s="297">
        <v>751.95541184303238</v>
      </c>
      <c r="E81" s="297">
        <v>2200.6383921895731</v>
      </c>
      <c r="F81" s="297"/>
      <c r="G81" s="297"/>
      <c r="H81" s="297"/>
      <c r="I81" s="297"/>
      <c r="J81" s="748">
        <f t="shared" si="12"/>
        <v>1112.4652980359019</v>
      </c>
      <c r="K81" s="748">
        <f t="shared" si="13"/>
        <v>17319.148443835926</v>
      </c>
      <c r="L81" s="307">
        <f t="shared" si="14"/>
        <v>18431.613741871828</v>
      </c>
    </row>
    <row r="82" spans="1:13" x14ac:dyDescent="0.25">
      <c r="A82" s="13">
        <f t="shared" si="15"/>
        <v>45107</v>
      </c>
      <c r="B82" s="306">
        <v>974.91407408393331</v>
      </c>
      <c r="C82" s="297">
        <v>13084.526504982767</v>
      </c>
      <c r="D82" s="297">
        <v>2587.0821341636624</v>
      </c>
      <c r="E82" s="297">
        <v>2646.1845969958349</v>
      </c>
      <c r="F82" s="297"/>
      <c r="G82" s="297"/>
      <c r="H82" s="297"/>
      <c r="I82" s="297"/>
      <c r="J82" s="748">
        <f t="shared" si="12"/>
        <v>3561.9962082475959</v>
      </c>
      <c r="K82" s="748">
        <f t="shared" si="13"/>
        <v>15730.711101978603</v>
      </c>
      <c r="L82" s="307">
        <f t="shared" si="14"/>
        <v>19292.7073102262</v>
      </c>
    </row>
    <row r="83" spans="1:13" x14ac:dyDescent="0.25">
      <c r="A83" s="13">
        <f t="shared" si="15"/>
        <v>45138</v>
      </c>
      <c r="B83" s="306">
        <v>1383.8860539450861</v>
      </c>
      <c r="C83" s="297">
        <v>12999.968446660752</v>
      </c>
      <c r="D83" s="297">
        <v>3672.351216432794</v>
      </c>
      <c r="E83" s="297">
        <v>3427.9941569133694</v>
      </c>
      <c r="F83" s="297"/>
      <c r="G83" s="297"/>
      <c r="H83" s="297"/>
      <c r="I83" s="297"/>
      <c r="J83" s="748">
        <f t="shared" si="12"/>
        <v>5056.2372703778801</v>
      </c>
      <c r="K83" s="748">
        <f t="shared" si="13"/>
        <v>16427.96260357412</v>
      </c>
      <c r="L83" s="307">
        <f t="shared" si="14"/>
        <v>21484.199873951999</v>
      </c>
    </row>
    <row r="84" spans="1:13" x14ac:dyDescent="0.25">
      <c r="A84" s="13">
        <f t="shared" si="15"/>
        <v>45169</v>
      </c>
      <c r="B84" s="306">
        <v>1315.7965295360416</v>
      </c>
      <c r="C84" s="297">
        <v>13517.369642794647</v>
      </c>
      <c r="D84" s="297">
        <v>3491.6653521038165</v>
      </c>
      <c r="E84" s="297">
        <v>4644.819788987993</v>
      </c>
      <c r="F84" s="297"/>
      <c r="G84" s="297"/>
      <c r="H84" s="297"/>
      <c r="I84" s="297"/>
      <c r="J84" s="748">
        <f t="shared" si="12"/>
        <v>4807.4618816398579</v>
      </c>
      <c r="K84" s="748">
        <f t="shared" si="13"/>
        <v>18162.189431782641</v>
      </c>
      <c r="L84" s="307">
        <f t="shared" si="14"/>
        <v>22969.651313422499</v>
      </c>
    </row>
    <row r="85" spans="1:13" x14ac:dyDescent="0.25">
      <c r="A85" s="13">
        <f t="shared" si="15"/>
        <v>45199</v>
      </c>
      <c r="B85" s="306">
        <v>658.02703813348182</v>
      </c>
      <c r="C85" s="297">
        <v>14135.530938582904</v>
      </c>
      <c r="D85" s="297">
        <v>1912.4725593046123</v>
      </c>
      <c r="E85" s="297">
        <v>6380.5783349055691</v>
      </c>
      <c r="F85" s="297"/>
      <c r="G85" s="297"/>
      <c r="H85" s="297"/>
      <c r="I85" s="297"/>
      <c r="J85" s="748">
        <f t="shared" si="12"/>
        <v>2570.499597438094</v>
      </c>
      <c r="K85" s="748">
        <f t="shared" si="13"/>
        <v>20516.109273488473</v>
      </c>
      <c r="L85" s="307">
        <f t="shared" si="14"/>
        <v>23086.608870926568</v>
      </c>
    </row>
    <row r="86" spans="1:13" x14ac:dyDescent="0.25">
      <c r="A86" s="13">
        <f t="shared" si="15"/>
        <v>45230</v>
      </c>
      <c r="B86" s="306">
        <v>338.76318471927976</v>
      </c>
      <c r="C86" s="297">
        <v>16146.330154211746</v>
      </c>
      <c r="D86" s="297">
        <v>1294.4213526501301</v>
      </c>
      <c r="E86" s="297">
        <v>8571.2557790259852</v>
      </c>
      <c r="F86" s="297"/>
      <c r="G86" s="297"/>
      <c r="H86" s="297"/>
      <c r="I86" s="297"/>
      <c r="J86" s="748">
        <f t="shared" si="12"/>
        <v>1633.1845373694098</v>
      </c>
      <c r="K86" s="748">
        <f t="shared" si="13"/>
        <v>24717.585933237729</v>
      </c>
      <c r="L86" s="307">
        <f t="shared" si="14"/>
        <v>26350.770470607138</v>
      </c>
    </row>
    <row r="87" spans="1:13" x14ac:dyDescent="0.25">
      <c r="A87" s="13">
        <f t="shared" si="15"/>
        <v>45260</v>
      </c>
      <c r="B87" s="306">
        <v>512.43200299839975</v>
      </c>
      <c r="C87" s="297">
        <v>17115.509974959685</v>
      </c>
      <c r="D87" s="297">
        <v>2422.3012206432622</v>
      </c>
      <c r="E87" s="297">
        <v>15415.396702098666</v>
      </c>
      <c r="F87" s="297"/>
      <c r="G87" s="297"/>
      <c r="H87" s="297"/>
      <c r="I87" s="297"/>
      <c r="J87" s="748">
        <f t="shared" si="12"/>
        <v>2934.7332236416619</v>
      </c>
      <c r="K87" s="748">
        <f t="shared" si="13"/>
        <v>32530.906677058352</v>
      </c>
      <c r="L87" s="307">
        <f t="shared" si="14"/>
        <v>35465.639900700015</v>
      </c>
    </row>
    <row r="88" spans="1:13" x14ac:dyDescent="0.25">
      <c r="A88" s="13">
        <f t="shared" si="15"/>
        <v>45291</v>
      </c>
      <c r="B88" s="308">
        <v>919.34518946364142</v>
      </c>
      <c r="C88" s="309">
        <v>18721.183985961685</v>
      </c>
      <c r="D88" s="309">
        <v>6491.8298496380585</v>
      </c>
      <c r="E88" s="309">
        <v>38869.604131030399</v>
      </c>
      <c r="F88" s="309"/>
      <c r="G88" s="309"/>
      <c r="H88" s="309"/>
      <c r="I88" s="309"/>
      <c r="J88" s="751">
        <f t="shared" si="12"/>
        <v>7411.1750391016994</v>
      </c>
      <c r="K88" s="751">
        <f t="shared" si="13"/>
        <v>57590.788116992087</v>
      </c>
      <c r="L88" s="310">
        <f t="shared" si="14"/>
        <v>65001.963156093785</v>
      </c>
    </row>
    <row r="89" spans="1:13" x14ac:dyDescent="0.25">
      <c r="A89" s="13">
        <v>45292</v>
      </c>
      <c r="B89" s="544">
        <v>956.82679366444825</v>
      </c>
      <c r="C89" s="546">
        <v>19267.70727955463</v>
      </c>
      <c r="D89" s="546">
        <v>8756.4336251188379</v>
      </c>
      <c r="E89" s="546">
        <v>55529.240632845373</v>
      </c>
      <c r="F89" s="546">
        <f t="array" ref="F89:F112">TRANSPOSE('2. TD Sm C&amp;I HVAC install 2024'!C22:Z22)</f>
        <v>0</v>
      </c>
      <c r="G89" s="452">
        <f t="array" ref="G89:G112">TRANSPOSE('2. TD Lg C&amp;I Light install 2024'!C22:Z22)</f>
        <v>0</v>
      </c>
      <c r="H89" s="546"/>
      <c r="I89" s="452"/>
      <c r="J89" s="749">
        <f t="shared" si="12"/>
        <v>9713.2604187832858</v>
      </c>
      <c r="K89" s="749">
        <f t="shared" si="13"/>
        <v>74796.947912400006</v>
      </c>
      <c r="L89" s="750">
        <f t="shared" si="14"/>
        <v>84510.208331183298</v>
      </c>
      <c r="M89" s="311"/>
    </row>
    <row r="90" spans="1:13" x14ac:dyDescent="0.25">
      <c r="A90" s="13">
        <f t="shared" ref="A90:A112" si="16">EOMONTH(A89,1)</f>
        <v>45351</v>
      </c>
      <c r="B90" s="454">
        <v>800.17962783814755</v>
      </c>
      <c r="C90" s="455">
        <v>16841.486623224406</v>
      </c>
      <c r="D90" s="455">
        <v>7322.8716479633158</v>
      </c>
      <c r="E90" s="455">
        <v>48536.909438531351</v>
      </c>
      <c r="F90" s="455">
        <v>0</v>
      </c>
      <c r="G90" s="455">
        <v>0</v>
      </c>
      <c r="H90" s="455"/>
      <c r="I90" s="455"/>
      <c r="J90" s="749">
        <f t="shared" si="12"/>
        <v>8123.0512758014629</v>
      </c>
      <c r="K90" s="749">
        <f t="shared" si="13"/>
        <v>65378.39606175576</v>
      </c>
      <c r="L90" s="456">
        <f t="shared" si="14"/>
        <v>73501.447337557227</v>
      </c>
    </row>
    <row r="91" spans="1:13" x14ac:dyDescent="0.25">
      <c r="A91" s="13">
        <f t="shared" si="16"/>
        <v>45382</v>
      </c>
      <c r="B91" s="454">
        <v>602.47868581567047</v>
      </c>
      <c r="C91" s="455">
        <v>17686.598252829113</v>
      </c>
      <c r="D91" s="455">
        <v>5513.6046124810391</v>
      </c>
      <c r="E91" s="455">
        <v>50972.508358582025</v>
      </c>
      <c r="F91" s="455">
        <v>0</v>
      </c>
      <c r="G91" s="455">
        <v>882.16844255813862</v>
      </c>
      <c r="H91" s="455"/>
      <c r="I91" s="455"/>
      <c r="J91" s="749">
        <f t="shared" si="12"/>
        <v>6116.0832982967095</v>
      </c>
      <c r="K91" s="749">
        <f t="shared" si="13"/>
        <v>69541.275053969279</v>
      </c>
      <c r="L91" s="456">
        <f t="shared" si="14"/>
        <v>75657.35835226599</v>
      </c>
    </row>
    <row r="92" spans="1:13" x14ac:dyDescent="0.25">
      <c r="A92" s="13">
        <f t="shared" si="16"/>
        <v>45412</v>
      </c>
      <c r="B92" s="454">
        <v>321.11555419992095</v>
      </c>
      <c r="C92" s="455">
        <v>16118.628636297977</v>
      </c>
      <c r="D92" s="455">
        <v>2938.7001440209924</v>
      </c>
      <c r="E92" s="455">
        <v>46453.643665545227</v>
      </c>
      <c r="F92" s="455">
        <v>115.44620226215942</v>
      </c>
      <c r="G92" s="455">
        <v>2144.8754236174327</v>
      </c>
      <c r="H92" s="455"/>
      <c r="I92" s="455"/>
      <c r="J92" s="749">
        <f t="shared" si="12"/>
        <v>3375.2619004830726</v>
      </c>
      <c r="K92" s="749">
        <f t="shared" si="13"/>
        <v>64717.147725460636</v>
      </c>
      <c r="L92" s="456">
        <f t="shared" si="14"/>
        <v>68092.409625943706</v>
      </c>
    </row>
    <row r="93" spans="1:13" x14ac:dyDescent="0.25">
      <c r="A93" s="13">
        <f t="shared" si="16"/>
        <v>45443</v>
      </c>
      <c r="B93" s="454">
        <v>360.50988619286943</v>
      </c>
      <c r="C93" s="455">
        <v>15118.510051646352</v>
      </c>
      <c r="D93" s="455">
        <v>3299.2187411027562</v>
      </c>
      <c r="E93" s="455">
        <v>43571.317048126082</v>
      </c>
      <c r="F93" s="455">
        <v>259.21819541023228</v>
      </c>
      <c r="G93" s="455">
        <v>2515.4273161656552</v>
      </c>
      <c r="H93" s="455"/>
      <c r="I93" s="455"/>
      <c r="J93" s="749">
        <f t="shared" si="12"/>
        <v>3918.9468227058578</v>
      </c>
      <c r="K93" s="749">
        <f t="shared" si="13"/>
        <v>61205.254415938085</v>
      </c>
      <c r="L93" s="456">
        <f t="shared" si="14"/>
        <v>65124.201238643946</v>
      </c>
    </row>
    <row r="94" spans="1:13" x14ac:dyDescent="0.25">
      <c r="A94" s="13">
        <f t="shared" si="16"/>
        <v>45473</v>
      </c>
      <c r="B94" s="454">
        <v>974.91407408393331</v>
      </c>
      <c r="C94" s="455">
        <v>13084.526504982767</v>
      </c>
      <c r="D94" s="455">
        <v>8921.9599999035272</v>
      </c>
      <c r="E94" s="455">
        <v>37709.407264714566</v>
      </c>
      <c r="F94" s="455">
        <v>700.99455422111305</v>
      </c>
      <c r="G94" s="455">
        <v>4365.499448130322</v>
      </c>
      <c r="H94" s="455"/>
      <c r="I94" s="455"/>
      <c r="J94" s="749">
        <f t="shared" si="12"/>
        <v>10597.868628208575</v>
      </c>
      <c r="K94" s="749">
        <f t="shared" si="13"/>
        <v>55159.433217827653</v>
      </c>
      <c r="L94" s="456">
        <f t="shared" si="14"/>
        <v>65757.301846036222</v>
      </c>
    </row>
    <row r="95" spans="1:13" x14ac:dyDescent="0.25">
      <c r="A95" s="13">
        <f t="shared" si="16"/>
        <v>45504</v>
      </c>
      <c r="B95" s="454">
        <v>1383.8860539450861</v>
      </c>
      <c r="C95" s="455">
        <v>12999.968446660752</v>
      </c>
      <c r="D95" s="455">
        <v>12664.681273910302</v>
      </c>
      <c r="E95" s="455">
        <v>37465.712220987611</v>
      </c>
      <c r="F95" s="455">
        <v>995.05855261099885</v>
      </c>
      <c r="G95" s="455">
        <v>6511.6322623681235</v>
      </c>
      <c r="H95" s="455"/>
      <c r="I95" s="455"/>
      <c r="J95" s="749">
        <f t="shared" si="12"/>
        <v>15043.625880466387</v>
      </c>
      <c r="K95" s="749">
        <f t="shared" si="13"/>
        <v>56977.312930016487</v>
      </c>
      <c r="L95" s="456">
        <f t="shared" si="14"/>
        <v>72020.938810482869</v>
      </c>
    </row>
    <row r="96" spans="1:13" x14ac:dyDescent="0.25">
      <c r="A96" s="13">
        <f t="shared" si="16"/>
        <v>45535</v>
      </c>
      <c r="B96" s="454">
        <v>1315.7965295360416</v>
      </c>
      <c r="C96" s="455">
        <v>13517.369642794647</v>
      </c>
      <c r="D96" s="455">
        <v>12041.557627079401</v>
      </c>
      <c r="E96" s="455">
        <v>38956.854633885276</v>
      </c>
      <c r="F96" s="455">
        <v>2449.9742276369238</v>
      </c>
      <c r="G96" s="455">
        <v>6770.7964545857403</v>
      </c>
      <c r="H96" s="455"/>
      <c r="I96" s="455"/>
      <c r="J96" s="749">
        <f t="shared" si="12"/>
        <v>15807.328384252365</v>
      </c>
      <c r="K96" s="749">
        <f t="shared" si="13"/>
        <v>59245.020731265664</v>
      </c>
      <c r="L96" s="456">
        <f t="shared" si="14"/>
        <v>75052.349115518024</v>
      </c>
    </row>
    <row r="97" spans="1:13" x14ac:dyDescent="0.25">
      <c r="A97" s="13">
        <f t="shared" si="16"/>
        <v>45565</v>
      </c>
      <c r="B97" s="454">
        <v>658.02703813348182</v>
      </c>
      <c r="C97" s="455">
        <v>14135.530938582904</v>
      </c>
      <c r="D97" s="455">
        <v>6021.9572874649821</v>
      </c>
      <c r="E97" s="455">
        <v>40738.38612830246</v>
      </c>
      <c r="F97" s="455">
        <v>1977.3111818057871</v>
      </c>
      <c r="G97" s="455">
        <v>7080.430978201528</v>
      </c>
      <c r="H97" s="455"/>
      <c r="I97" s="455"/>
      <c r="J97" s="749">
        <f t="shared" si="12"/>
        <v>8657.2955074042511</v>
      </c>
      <c r="K97" s="749">
        <f t="shared" si="13"/>
        <v>61954.348045086888</v>
      </c>
      <c r="L97" s="456">
        <f t="shared" si="14"/>
        <v>70611.643552491136</v>
      </c>
    </row>
    <row r="98" spans="1:13" x14ac:dyDescent="0.25">
      <c r="A98" s="13">
        <f t="shared" si="16"/>
        <v>45596</v>
      </c>
      <c r="B98" s="454">
        <v>338.76318471927976</v>
      </c>
      <c r="C98" s="455">
        <v>16146.330154211746</v>
      </c>
      <c r="D98" s="455">
        <v>3100.20304747917</v>
      </c>
      <c r="E98" s="455">
        <v>46533.479020723207</v>
      </c>
      <c r="F98" s="455">
        <v>1202.7744689115491</v>
      </c>
      <c r="G98" s="455">
        <v>9231.257587433036</v>
      </c>
      <c r="H98" s="455"/>
      <c r="I98" s="455"/>
      <c r="J98" s="749">
        <f t="shared" si="12"/>
        <v>4641.7407011099986</v>
      </c>
      <c r="K98" s="749">
        <f t="shared" si="13"/>
        <v>71911.066762367991</v>
      </c>
      <c r="L98" s="456">
        <f t="shared" si="14"/>
        <v>76552.807463477991</v>
      </c>
    </row>
    <row r="99" spans="1:13" x14ac:dyDescent="0.25">
      <c r="A99" s="13">
        <f t="shared" si="16"/>
        <v>45626</v>
      </c>
      <c r="B99" s="454">
        <v>512.43200299839975</v>
      </c>
      <c r="C99" s="455">
        <v>17115.509974959685</v>
      </c>
      <c r="D99" s="455">
        <v>4689.5392680817495</v>
      </c>
      <c r="E99" s="455">
        <v>49326.64058903898</v>
      </c>
      <c r="F99" s="455">
        <v>2098.9554993953238</v>
      </c>
      <c r="G99" s="455">
        <v>20440.670376010534</v>
      </c>
      <c r="H99" s="455"/>
      <c r="I99" s="455"/>
      <c r="J99" s="749">
        <f t="shared" si="12"/>
        <v>7300.9267704754729</v>
      </c>
      <c r="K99" s="749">
        <f t="shared" si="13"/>
        <v>86882.820940009202</v>
      </c>
      <c r="L99" s="456">
        <f t="shared" si="14"/>
        <v>94183.747710484677</v>
      </c>
    </row>
    <row r="100" spans="1:13" x14ac:dyDescent="0.25">
      <c r="A100" s="13">
        <f t="shared" si="16"/>
        <v>45657</v>
      </c>
      <c r="B100" s="457">
        <v>919.34518946364142</v>
      </c>
      <c r="C100" s="458">
        <v>18721.183985961685</v>
      </c>
      <c r="D100" s="458">
        <v>8413.419422840514</v>
      </c>
      <c r="E100" s="458">
        <v>53954.168776030274</v>
      </c>
      <c r="F100" s="458">
        <v>5222.4789639359833</v>
      </c>
      <c r="G100" s="458">
        <v>41420.023440714416</v>
      </c>
      <c r="H100" s="458"/>
      <c r="I100" s="458"/>
      <c r="J100" s="749">
        <f t="shared" si="12"/>
        <v>14555.24357624014</v>
      </c>
      <c r="K100" s="749">
        <f t="shared" si="13"/>
        <v>114095.37620270638</v>
      </c>
      <c r="L100" s="456">
        <f t="shared" si="14"/>
        <v>128650.61977894652</v>
      </c>
    </row>
    <row r="101" spans="1:13" x14ac:dyDescent="0.25">
      <c r="A101" s="13">
        <v>45658</v>
      </c>
      <c r="B101" s="304">
        <v>956.82679366444825</v>
      </c>
      <c r="C101" s="305">
        <v>19267.70727955463</v>
      </c>
      <c r="D101" s="305">
        <v>8756.4336251188379</v>
      </c>
      <c r="E101" s="305">
        <v>55529.240632845373</v>
      </c>
      <c r="F101" s="305">
        <v>6951.5716750663914</v>
      </c>
      <c r="G101" s="459">
        <v>51616.929860526609</v>
      </c>
      <c r="H101" s="305">
        <f t="array" ref="H101:H112">TRANSPOSE('2. TD C&amp;I Rebate GS install2025'!C22:N22)</f>
        <v>746.57485285773976</v>
      </c>
      <c r="I101" s="459">
        <f t="array" ref="I101:I112">TRANSPOSE('2. TD C&amp;I RebateLGS install2025'!C22:N22)</f>
        <v>1149.8457073357126</v>
      </c>
      <c r="J101" s="459">
        <f t="shared" si="12"/>
        <v>17411.406946707415</v>
      </c>
      <c r="K101" s="459">
        <f t="shared" si="13"/>
        <v>127563.72348026233</v>
      </c>
      <c r="L101" s="460">
        <f t="shared" si="14"/>
        <v>144975.13042696973</v>
      </c>
      <c r="M101" s="311"/>
    </row>
    <row r="102" spans="1:13" x14ac:dyDescent="0.25">
      <c r="A102" s="13">
        <f t="shared" si="16"/>
        <v>45716</v>
      </c>
      <c r="B102" s="306">
        <v>800.17962783814755</v>
      </c>
      <c r="C102" s="297">
        <v>16841.486623224406</v>
      </c>
      <c r="D102" s="297">
        <v>7322.8716479633158</v>
      </c>
      <c r="E102" s="297">
        <v>48536.909438531351</v>
      </c>
      <c r="F102" s="297">
        <v>5813.4931762744518</v>
      </c>
      <c r="G102" s="297">
        <v>45117.243124220055</v>
      </c>
      <c r="H102" s="297">
        <v>1873.0474267713521</v>
      </c>
      <c r="I102" s="297">
        <v>2947.391177938749</v>
      </c>
      <c r="J102" s="748">
        <f t="shared" si="12"/>
        <v>15809.591878847268</v>
      </c>
      <c r="K102" s="748">
        <f t="shared" si="13"/>
        <v>113443.03036391456</v>
      </c>
      <c r="L102" s="307">
        <f t="shared" si="14"/>
        <v>129252.62224276182</v>
      </c>
    </row>
    <row r="103" spans="1:13" x14ac:dyDescent="0.25">
      <c r="A103" s="13">
        <f t="shared" si="16"/>
        <v>45747</v>
      </c>
      <c r="B103" s="306">
        <v>602.47868581567047</v>
      </c>
      <c r="C103" s="297">
        <v>17686.598252829113</v>
      </c>
      <c r="D103" s="297">
        <v>5513.6046124810391</v>
      </c>
      <c r="E103" s="297">
        <v>50972.508358582025</v>
      </c>
      <c r="F103" s="297">
        <v>4377.1493387090477</v>
      </c>
      <c r="G103" s="297">
        <v>47381.242004663385</v>
      </c>
      <c r="H103" s="297">
        <v>2350.4538083122407</v>
      </c>
      <c r="I103" s="297">
        <v>4415.8445704845453</v>
      </c>
      <c r="J103" s="748">
        <f t="shared" si="12"/>
        <v>12843.686445317997</v>
      </c>
      <c r="K103" s="748">
        <f t="shared" si="13"/>
        <v>120456.19318655909</v>
      </c>
      <c r="L103" s="307">
        <f t="shared" si="14"/>
        <v>133299.87963187709</v>
      </c>
    </row>
    <row r="104" spans="1:13" x14ac:dyDescent="0.25">
      <c r="A104" s="13">
        <f t="shared" si="16"/>
        <v>45777</v>
      </c>
      <c r="B104" s="306">
        <v>321.11555419992095</v>
      </c>
      <c r="C104" s="297">
        <v>16118.628636297977</v>
      </c>
      <c r="D104" s="297">
        <v>2938.7001440209924</v>
      </c>
      <c r="E104" s="297">
        <v>46453.643665545227</v>
      </c>
      <c r="F104" s="297">
        <v>2332.9800187245305</v>
      </c>
      <c r="G104" s="297">
        <v>43180.753770871052</v>
      </c>
      <c r="H104" s="297">
        <v>1753.8781255936271</v>
      </c>
      <c r="I104" s="297">
        <v>4637.252685473838</v>
      </c>
      <c r="J104" s="748">
        <f t="shared" si="12"/>
        <v>7346.6738425390713</v>
      </c>
      <c r="K104" s="748">
        <f t="shared" si="13"/>
        <v>110390.27875818808</v>
      </c>
      <c r="L104" s="307">
        <f t="shared" si="14"/>
        <v>117736.95260072715</v>
      </c>
    </row>
    <row r="105" spans="1:13" x14ac:dyDescent="0.25">
      <c r="A105" s="13">
        <f t="shared" si="16"/>
        <v>45808</v>
      </c>
      <c r="B105" s="306">
        <v>360.50988619286943</v>
      </c>
      <c r="C105" s="297">
        <v>15118.510051646352</v>
      </c>
      <c r="D105" s="297">
        <v>3299.2187411027562</v>
      </c>
      <c r="E105" s="297">
        <v>43571.317048126082</v>
      </c>
      <c r="F105" s="297">
        <v>2619.1891051063453</v>
      </c>
      <c r="G105" s="297">
        <v>40501.501377881337</v>
      </c>
      <c r="H105" s="297">
        <v>2531.6269916175761</v>
      </c>
      <c r="I105" s="297">
        <v>5925.7690157676898</v>
      </c>
      <c r="J105" s="748">
        <f t="shared" si="12"/>
        <v>8810.5447240195463</v>
      </c>
      <c r="K105" s="748">
        <f t="shared" si="13"/>
        <v>105117.09749342145</v>
      </c>
      <c r="L105" s="307">
        <f t="shared" si="14"/>
        <v>113927.642217441</v>
      </c>
    </row>
    <row r="106" spans="1:13" x14ac:dyDescent="0.25">
      <c r="A106" s="13">
        <f t="shared" si="16"/>
        <v>45838</v>
      </c>
      <c r="B106" s="306">
        <v>974.91407408393331</v>
      </c>
      <c r="C106" s="297">
        <v>13084.526504982767</v>
      </c>
      <c r="D106" s="297">
        <v>8921.9599999035272</v>
      </c>
      <c r="E106" s="297">
        <v>37709.407264714566</v>
      </c>
      <c r="F106" s="297">
        <v>7082.9800209400846</v>
      </c>
      <c r="G106" s="297">
        <v>35052.592250171852</v>
      </c>
      <c r="H106" s="297">
        <v>8367.5642221798225</v>
      </c>
      <c r="I106" s="297">
        <v>10485.040113936029</v>
      </c>
      <c r="J106" s="748">
        <f t="shared" si="12"/>
        <v>25347.418317107367</v>
      </c>
      <c r="K106" s="748">
        <f t="shared" si="13"/>
        <v>96331.566133805216</v>
      </c>
      <c r="L106" s="307">
        <f t="shared" si="14"/>
        <v>121678.98445091258</v>
      </c>
    </row>
    <row r="107" spans="1:13" x14ac:dyDescent="0.25">
      <c r="A107" s="13">
        <f t="shared" si="16"/>
        <v>45869</v>
      </c>
      <c r="B107" s="306">
        <v>1383.8860539450861</v>
      </c>
      <c r="C107" s="297">
        <v>12999.968446660752</v>
      </c>
      <c r="D107" s="297">
        <v>12664.681273910302</v>
      </c>
      <c r="E107" s="297">
        <v>37465.712220987611</v>
      </c>
      <c r="F107" s="297">
        <v>10054.257633485317</v>
      </c>
      <c r="G107" s="297">
        <v>34826.066732515632</v>
      </c>
      <c r="H107" s="297">
        <v>14037.304286607743</v>
      </c>
      <c r="I107" s="297">
        <v>15002.851453834463</v>
      </c>
      <c r="J107" s="748">
        <f t="shared" si="12"/>
        <v>38140.129247948447</v>
      </c>
      <c r="K107" s="748">
        <f t="shared" si="13"/>
        <v>100294.59885399845</v>
      </c>
      <c r="L107" s="307">
        <f t="shared" si="14"/>
        <v>138434.72810194691</v>
      </c>
    </row>
    <row r="108" spans="1:13" x14ac:dyDescent="0.25">
      <c r="A108" s="13">
        <f t="shared" si="16"/>
        <v>45900</v>
      </c>
      <c r="B108" s="306">
        <v>1315.7965295360416</v>
      </c>
      <c r="C108" s="297">
        <v>13517.369642794647</v>
      </c>
      <c r="D108" s="297">
        <v>12041.557627079401</v>
      </c>
      <c r="E108" s="297">
        <v>38956.854633885276</v>
      </c>
      <c r="F108" s="297">
        <v>9559.571225888074</v>
      </c>
      <c r="G108" s="297">
        <v>36212.150757101947</v>
      </c>
      <c r="H108" s="297">
        <v>15399.97531842102</v>
      </c>
      <c r="I108" s="297">
        <v>16956.54191817456</v>
      </c>
      <c r="J108" s="748">
        <f t="shared" si="12"/>
        <v>38316.90070092454</v>
      </c>
      <c r="K108" s="748">
        <f t="shared" si="13"/>
        <v>105642.91695195643</v>
      </c>
      <c r="L108" s="307">
        <f t="shared" si="14"/>
        <v>143959.81765288097</v>
      </c>
    </row>
    <row r="109" spans="1:13" x14ac:dyDescent="0.25">
      <c r="A109" s="13">
        <f t="shared" si="16"/>
        <v>45930</v>
      </c>
      <c r="B109" s="306">
        <v>658.02703813348182</v>
      </c>
      <c r="C109" s="297">
        <v>14135.530938582904</v>
      </c>
      <c r="D109" s="297">
        <v>6021.9572874649821</v>
      </c>
      <c r="E109" s="297">
        <v>40738.38612830246</v>
      </c>
      <c r="F109" s="297">
        <v>4780.7211817280313</v>
      </c>
      <c r="G109" s="297">
        <v>37868.164510282237</v>
      </c>
      <c r="H109" s="297">
        <v>8728.3607871399472</v>
      </c>
      <c r="I109" s="297">
        <v>13203.262345429581</v>
      </c>
      <c r="J109" s="748">
        <f t="shared" si="12"/>
        <v>20189.066294466444</v>
      </c>
      <c r="K109" s="748">
        <f t="shared" si="13"/>
        <v>105945.34392259718</v>
      </c>
      <c r="L109" s="307">
        <f t="shared" si="14"/>
        <v>126134.41021706362</v>
      </c>
    </row>
    <row r="110" spans="1:13" x14ac:dyDescent="0.25">
      <c r="A110" s="13">
        <f t="shared" si="16"/>
        <v>45961</v>
      </c>
      <c r="B110" s="306">
        <v>338.76318471927976</v>
      </c>
      <c r="C110" s="297">
        <v>16146.330154211746</v>
      </c>
      <c r="D110" s="297">
        <v>3100.20304747917</v>
      </c>
      <c r="E110" s="297">
        <v>46533.479020723207</v>
      </c>
      <c r="F110" s="297">
        <v>2461.1942046803583</v>
      </c>
      <c r="G110" s="297">
        <v>43254.964328797796</v>
      </c>
      <c r="H110" s="297">
        <v>5022.1518175922738</v>
      </c>
      <c r="I110" s="297">
        <v>12608.100944247979</v>
      </c>
      <c r="J110" s="748">
        <f t="shared" si="12"/>
        <v>10922.312254471082</v>
      </c>
      <c r="K110" s="748">
        <f t="shared" si="13"/>
        <v>118542.87444798074</v>
      </c>
      <c r="L110" s="307">
        <f t="shared" si="14"/>
        <v>129465.18670245181</v>
      </c>
    </row>
    <row r="111" spans="1:13" x14ac:dyDescent="0.25">
      <c r="A111" s="13">
        <f t="shared" si="16"/>
        <v>45991</v>
      </c>
      <c r="B111" s="306">
        <v>512.43200299839975</v>
      </c>
      <c r="C111" s="297">
        <v>17115.509974959685</v>
      </c>
      <c r="D111" s="297">
        <v>4689.5392680817495</v>
      </c>
      <c r="E111" s="297">
        <v>49326.64058903898</v>
      </c>
      <c r="F111" s="297">
        <v>3722.9390115620554</v>
      </c>
      <c r="G111" s="297">
        <v>45851.333793205631</v>
      </c>
      <c r="H111" s="297">
        <v>8396.4473457440727</v>
      </c>
      <c r="I111" s="297">
        <v>17021.555016769416</v>
      </c>
      <c r="J111" s="748">
        <f t="shared" si="12"/>
        <v>17321.357628386279</v>
      </c>
      <c r="K111" s="748">
        <f t="shared" si="13"/>
        <v>129315.03937397372</v>
      </c>
      <c r="L111" s="307">
        <f t="shared" si="14"/>
        <v>146636.39700236</v>
      </c>
    </row>
    <row r="112" spans="1:13" x14ac:dyDescent="0.25">
      <c r="A112" s="13">
        <f t="shared" si="16"/>
        <v>46022</v>
      </c>
      <c r="B112" s="308">
        <v>919.34518946364142</v>
      </c>
      <c r="C112" s="309">
        <v>18721.183985961685</v>
      </c>
      <c r="D112" s="309">
        <v>8413.419422840514</v>
      </c>
      <c r="E112" s="309">
        <v>53954.168776030274</v>
      </c>
      <c r="F112" s="309">
        <v>6679.2590059149534</v>
      </c>
      <c r="G112" s="309">
        <v>50152.829638157884</v>
      </c>
      <c r="H112" s="309">
        <v>16498.576434273404</v>
      </c>
      <c r="I112" s="309">
        <v>25547.70990748121</v>
      </c>
      <c r="J112" s="751">
        <f t="shared" si="12"/>
        <v>32510.600052492511</v>
      </c>
      <c r="K112" s="751">
        <f t="shared" si="13"/>
        <v>148375.89230763106</v>
      </c>
      <c r="L112" s="310">
        <f t="shared" si="14"/>
        <v>180886.49236012358</v>
      </c>
    </row>
    <row r="113" spans="1:14" x14ac:dyDescent="0.25">
      <c r="A113" s="8"/>
    </row>
    <row r="114" spans="1:14" x14ac:dyDescent="0.25">
      <c r="A114" s="8" t="s">
        <v>223</v>
      </c>
      <c r="B114" s="198">
        <f>SUM(B65:B76)</f>
        <v>459.67259473182071</v>
      </c>
      <c r="C114" s="198">
        <f t="shared" ref="C114:L114" si="17">SUM(C65:C76)</f>
        <v>115452.14380899968</v>
      </c>
      <c r="D114" s="198">
        <f t="shared" si="17"/>
        <v>0</v>
      </c>
      <c r="E114" s="198">
        <f t="shared" si="17"/>
        <v>0</v>
      </c>
      <c r="F114" s="198">
        <f t="shared" si="17"/>
        <v>0</v>
      </c>
      <c r="G114" s="198">
        <f t="shared" si="17"/>
        <v>0</v>
      </c>
      <c r="H114" s="198">
        <f t="shared" si="17"/>
        <v>0</v>
      </c>
      <c r="I114" s="198">
        <f t="shared" si="17"/>
        <v>0</v>
      </c>
      <c r="J114" s="198">
        <f t="shared" si="17"/>
        <v>459.67259473182071</v>
      </c>
      <c r="K114" s="198">
        <f t="shared" si="17"/>
        <v>115452.14380899968</v>
      </c>
      <c r="L114" s="198">
        <f t="shared" si="17"/>
        <v>115911.8164037315</v>
      </c>
      <c r="M114" s="198"/>
      <c r="N114" s="198">
        <f>L114-SUM('2. Summary of TD (kWh)'!$F$52:$F$53)</f>
        <v>0</v>
      </c>
    </row>
    <row r="115" spans="1:14" x14ac:dyDescent="0.25">
      <c r="A115" s="8" t="s">
        <v>224</v>
      </c>
      <c r="B115" s="311">
        <f>SUM(B77:B88)</f>
        <v>9144.2746205909225</v>
      </c>
      <c r="C115" s="311">
        <f t="shared" ref="C115:L115" si="18">SUM(C77:C88)</f>
        <v>190753.35049170669</v>
      </c>
      <c r="D115" s="311">
        <f t="shared" si="18"/>
        <v>23305.261574806831</v>
      </c>
      <c r="E115" s="311">
        <f t="shared" si="18"/>
        <v>84452.158589372993</v>
      </c>
      <c r="F115" s="311">
        <f t="shared" si="18"/>
        <v>0</v>
      </c>
      <c r="G115" s="311">
        <f t="shared" si="18"/>
        <v>0</v>
      </c>
      <c r="H115" s="311">
        <f t="shared" si="18"/>
        <v>0</v>
      </c>
      <c r="I115" s="311">
        <f t="shared" si="18"/>
        <v>0</v>
      </c>
      <c r="J115" s="311">
        <f t="shared" si="18"/>
        <v>32449.536195397748</v>
      </c>
      <c r="K115" s="311">
        <f t="shared" si="18"/>
        <v>275205.50908107968</v>
      </c>
      <c r="L115" s="311">
        <f t="shared" si="18"/>
        <v>307655.04527647741</v>
      </c>
      <c r="N115" s="311">
        <f>L115-SUM('2. Summary of TD (kWh)'!$F$61:$F$62)</f>
        <v>0</v>
      </c>
    </row>
    <row r="116" spans="1:14" x14ac:dyDescent="0.25">
      <c r="A116" s="8" t="s">
        <v>225</v>
      </c>
      <c r="B116" s="311">
        <f>SUM(B89:B100)</f>
        <v>9144.2746205909225</v>
      </c>
      <c r="C116" s="311">
        <f t="shared" ref="C116:L116" si="19">SUM(C89:C100)</f>
        <v>190753.35049170669</v>
      </c>
      <c r="D116" s="311">
        <f t="shared" si="19"/>
        <v>83684.146697446587</v>
      </c>
      <c r="E116" s="311">
        <f t="shared" si="19"/>
        <v>549748.26777731231</v>
      </c>
      <c r="F116" s="311">
        <f t="shared" si="19"/>
        <v>15022.211846190072</v>
      </c>
      <c r="G116" s="311">
        <f t="shared" si="19"/>
        <v>101362.78172978493</v>
      </c>
      <c r="H116" s="311">
        <f t="shared" si="19"/>
        <v>0</v>
      </c>
      <c r="I116" s="311">
        <f t="shared" si="19"/>
        <v>0</v>
      </c>
      <c r="J116" s="311">
        <f t="shared" si="19"/>
        <v>107850.63316422759</v>
      </c>
      <c r="K116" s="311">
        <f t="shared" si="19"/>
        <v>841864.39999880397</v>
      </c>
      <c r="L116" s="311">
        <f t="shared" si="19"/>
        <v>949715.03316303145</v>
      </c>
      <c r="N116" s="311">
        <f>L116-SUM('2. Summary of TD (kWh)'!$F$70:$F$71)</f>
        <v>0</v>
      </c>
    </row>
    <row r="117" spans="1:14" x14ac:dyDescent="0.25">
      <c r="A117" s="8" t="s">
        <v>241</v>
      </c>
      <c r="B117" s="311">
        <f>SUM(B101:B112)</f>
        <v>9144.2746205909225</v>
      </c>
      <c r="C117" s="311">
        <f t="shared" ref="C117:L117" si="20">SUM(C101:C112)</f>
        <v>190753.35049170669</v>
      </c>
      <c r="D117" s="311">
        <f t="shared" si="20"/>
        <v>83684.146697446587</v>
      </c>
      <c r="E117" s="311">
        <f t="shared" si="20"/>
        <v>549748.26777731231</v>
      </c>
      <c r="F117" s="311">
        <f t="shared" si="20"/>
        <v>66435.305598079649</v>
      </c>
      <c r="G117" s="311">
        <f t="shared" si="20"/>
        <v>511015.77214839542</v>
      </c>
      <c r="H117" s="311">
        <f t="shared" si="20"/>
        <v>85705.961417110811</v>
      </c>
      <c r="I117" s="311">
        <f t="shared" si="20"/>
        <v>129901.16485687379</v>
      </c>
      <c r="J117" s="311">
        <f t="shared" si="20"/>
        <v>244969.688333228</v>
      </c>
      <c r="K117" s="311">
        <f t="shared" si="20"/>
        <v>1381418.5552742879</v>
      </c>
      <c r="L117" s="311">
        <f t="shared" si="20"/>
        <v>1626388.2436075166</v>
      </c>
      <c r="N117" s="311">
        <f>L117-SUM('2. Summary of TD (kWh)'!$F$79:$F$80)</f>
        <v>0</v>
      </c>
    </row>
    <row r="118" spans="1:14" ht="13.75" thickBot="1" x14ac:dyDescent="0.3">
      <c r="A118" s="34" t="s">
        <v>90</v>
      </c>
      <c r="B118" s="7">
        <f>SUM(B114:B117)</f>
        <v>27892.496456504588</v>
      </c>
      <c r="C118" s="7">
        <f t="shared" ref="C118:L118" si="21">SUM(C114:C117)</f>
        <v>687712.19528411981</v>
      </c>
      <c r="D118" s="7">
        <f t="shared" si="21"/>
        <v>190673.5549697</v>
      </c>
      <c r="E118" s="7">
        <f t="shared" si="21"/>
        <v>1183948.6941439975</v>
      </c>
      <c r="F118" s="7">
        <f t="shared" si="21"/>
        <v>81457.517444269717</v>
      </c>
      <c r="G118" s="7">
        <f t="shared" si="21"/>
        <v>612378.55387818033</v>
      </c>
      <c r="H118" s="7">
        <f t="shared" si="21"/>
        <v>85705.961417110811</v>
      </c>
      <c r="I118" s="7">
        <f t="shared" si="21"/>
        <v>129901.16485687379</v>
      </c>
      <c r="J118" s="7">
        <f t="shared" si="21"/>
        <v>385729.53028758516</v>
      </c>
      <c r="K118" s="7">
        <f t="shared" si="21"/>
        <v>2613940.6081631714</v>
      </c>
      <c r="L118" s="7">
        <f t="shared" si="21"/>
        <v>2999670.1384507567</v>
      </c>
    </row>
    <row r="119" spans="1:14" ht="13.75" thickTop="1" x14ac:dyDescent="0.25">
      <c r="B119" s="198">
        <f>+B118-SUM('2. TD Sm C&amp;I HVAC install 2022'!AY22:BB22)</f>
        <v>0</v>
      </c>
      <c r="C119" s="198">
        <f>C118-SUM('2. TD Lg C&amp;I Light install 2022'!AY22:BB22)</f>
        <v>0</v>
      </c>
      <c r="D119" s="198">
        <f>+D118-SUM('2. TD Sm C&amp;I HVAC install 2023'!AM22:AO22)</f>
        <v>0</v>
      </c>
      <c r="E119" s="198">
        <f>E118-SUM('2. TD Lg C&amp;I Light install 2023'!AM22:AO22)</f>
        <v>0</v>
      </c>
      <c r="F119" s="198">
        <f>F118-SUM('2. TD Sm C&amp;I HVAC install 2024'!AA22:AB22)</f>
        <v>0</v>
      </c>
      <c r="G119" s="198">
        <f>G118-SUM('2. TD Lg C&amp;I Light install 2024'!AA22:AB22)</f>
        <v>0</v>
      </c>
      <c r="H119" s="198">
        <f>H118-'2. TD C&amp;I Rebate GS install2025'!O22</f>
        <v>0</v>
      </c>
      <c r="I119" s="198">
        <f>I118-'2. TD C&amp;I RebateLGS install2025'!O22</f>
        <v>0</v>
      </c>
      <c r="J119" s="198"/>
      <c r="K119" s="198"/>
    </row>
    <row r="121" spans="1:14" x14ac:dyDescent="0.25">
      <c r="A121" s="8" t="s">
        <v>223</v>
      </c>
      <c r="B121" s="198">
        <f>+B54+B114</f>
        <v>3657.9209217239886</v>
      </c>
      <c r="C121" s="198">
        <f t="shared" ref="C121:L121" si="22">+C54+C114</f>
        <v>143102.91487629616</v>
      </c>
      <c r="D121" s="198">
        <f t="shared" si="22"/>
        <v>0</v>
      </c>
      <c r="E121" s="198">
        <f t="shared" si="22"/>
        <v>0</v>
      </c>
      <c r="F121" s="198">
        <f t="shared" si="22"/>
        <v>0</v>
      </c>
      <c r="G121" s="198">
        <f t="shared" si="22"/>
        <v>0</v>
      </c>
      <c r="H121" s="198">
        <f t="shared" si="22"/>
        <v>0</v>
      </c>
      <c r="I121" s="198">
        <f t="shared" si="22"/>
        <v>0</v>
      </c>
      <c r="J121" s="198">
        <f t="shared" si="22"/>
        <v>3657.9209217239886</v>
      </c>
      <c r="K121" s="198">
        <f t="shared" si="22"/>
        <v>143102.91487629616</v>
      </c>
      <c r="L121" s="198">
        <f t="shared" si="22"/>
        <v>146760.83579802013</v>
      </c>
    </row>
    <row r="122" spans="1:14" x14ac:dyDescent="0.25">
      <c r="A122" s="8" t="s">
        <v>224</v>
      </c>
      <c r="B122" s="311">
        <f>+B55+B115</f>
        <v>42967.367691515356</v>
      </c>
      <c r="C122" s="311">
        <f t="shared" ref="C122:L122" si="23">+C55+C115</f>
        <v>278922.58685959817</v>
      </c>
      <c r="D122" s="311">
        <f t="shared" si="23"/>
        <v>25827.005996665615</v>
      </c>
      <c r="E122" s="311">
        <f t="shared" si="23"/>
        <v>172389.19055324109</v>
      </c>
      <c r="F122" s="311">
        <f t="shared" si="23"/>
        <v>0</v>
      </c>
      <c r="G122" s="311">
        <f t="shared" si="23"/>
        <v>0</v>
      </c>
      <c r="H122" s="311">
        <f t="shared" si="23"/>
        <v>0</v>
      </c>
      <c r="I122" s="311">
        <f t="shared" si="23"/>
        <v>0</v>
      </c>
      <c r="J122" s="311">
        <f t="shared" si="23"/>
        <v>68794.37368818096</v>
      </c>
      <c r="K122" s="311">
        <f t="shared" si="23"/>
        <v>451311.77741283929</v>
      </c>
      <c r="L122" s="311">
        <f t="shared" si="23"/>
        <v>520106.15110102022</v>
      </c>
    </row>
    <row r="123" spans="1:14" x14ac:dyDescent="0.25">
      <c r="A123" s="8" t="s">
        <v>225</v>
      </c>
      <c r="B123" s="311">
        <f>+B56+B116</f>
        <v>42967.367691515356</v>
      </c>
      <c r="C123" s="311">
        <f t="shared" ref="C123:L123" si="24">+C56+C116</f>
        <v>278922.58685959817</v>
      </c>
      <c r="D123" s="311">
        <f t="shared" si="24"/>
        <v>88871.290073562079</v>
      </c>
      <c r="E123" s="311">
        <f t="shared" si="24"/>
        <v>729700.60948495928</v>
      </c>
      <c r="F123" s="311">
        <f t="shared" si="24"/>
        <v>20240.141199894933</v>
      </c>
      <c r="G123" s="311">
        <f t="shared" si="24"/>
        <v>188042.10859686733</v>
      </c>
      <c r="H123" s="311">
        <f t="shared" si="24"/>
        <v>0</v>
      </c>
      <c r="I123" s="311">
        <f t="shared" si="24"/>
        <v>0</v>
      </c>
      <c r="J123" s="311">
        <f t="shared" si="24"/>
        <v>152078.79896497237</v>
      </c>
      <c r="K123" s="311">
        <f t="shared" si="24"/>
        <v>1196665.3049414249</v>
      </c>
      <c r="L123" s="311">
        <f t="shared" si="24"/>
        <v>1348744.1039063972</v>
      </c>
    </row>
    <row r="124" spans="1:14" x14ac:dyDescent="0.25">
      <c r="A124" s="8" t="s">
        <v>241</v>
      </c>
      <c r="B124" s="311">
        <f>+B57+B117</f>
        <v>42967.367691515356</v>
      </c>
      <c r="C124" s="311">
        <f t="shared" ref="C124:L124" si="25">+C57+C117</f>
        <v>278922.58685959817</v>
      </c>
      <c r="D124" s="311">
        <f t="shared" si="25"/>
        <v>88871.290073562079</v>
      </c>
      <c r="E124" s="311">
        <f t="shared" si="25"/>
        <v>729700.60948495928</v>
      </c>
      <c r="F124" s="311">
        <f t="shared" si="25"/>
        <v>79273.84766333575</v>
      </c>
      <c r="G124" s="311">
        <f t="shared" si="25"/>
        <v>707698.07844830793</v>
      </c>
      <c r="H124" s="311">
        <f t="shared" si="25"/>
        <v>85705.961417110811</v>
      </c>
      <c r="I124" s="311">
        <f t="shared" si="25"/>
        <v>269249.48594256799</v>
      </c>
      <c r="J124" s="311">
        <f t="shared" si="25"/>
        <v>296818.46684552403</v>
      </c>
      <c r="K124" s="311">
        <f t="shared" si="25"/>
        <v>1985570.7607354333</v>
      </c>
      <c r="L124" s="311">
        <f t="shared" si="25"/>
        <v>2282389.227580958</v>
      </c>
    </row>
    <row r="125" spans="1:14" ht="13.75" thickBot="1" x14ac:dyDescent="0.3">
      <c r="A125" s="34" t="s">
        <v>293</v>
      </c>
      <c r="B125" s="7">
        <f>SUM(B121:B124)</f>
        <v>132560.02399627006</v>
      </c>
      <c r="C125" s="7">
        <f t="shared" ref="C125:L125" si="26">SUM(C121:C124)</f>
        <v>979870.67545509071</v>
      </c>
      <c r="D125" s="7">
        <f t="shared" si="26"/>
        <v>203569.58614378975</v>
      </c>
      <c r="E125" s="7">
        <f t="shared" si="26"/>
        <v>1631790.4095231597</v>
      </c>
      <c r="F125" s="7">
        <f t="shared" si="26"/>
        <v>99513.988863230683</v>
      </c>
      <c r="G125" s="7">
        <f t="shared" si="26"/>
        <v>895740.18704517523</v>
      </c>
      <c r="H125" s="7">
        <f t="shared" si="26"/>
        <v>85705.961417110811</v>
      </c>
      <c r="I125" s="7">
        <f t="shared" si="26"/>
        <v>269249.48594256799</v>
      </c>
      <c r="J125" s="7">
        <f t="shared" si="26"/>
        <v>521349.56042040134</v>
      </c>
      <c r="K125" s="7">
        <f t="shared" si="26"/>
        <v>3776650.7579659936</v>
      </c>
      <c r="L125" s="7">
        <f t="shared" si="26"/>
        <v>4298000.3183863955</v>
      </c>
    </row>
    <row r="126" spans="1:14" ht="13.75" thickTop="1" x14ac:dyDescent="0.25"/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2387-A183-4B0C-AF22-F59B74B9B747}">
  <sheetPr codeName="Sheet5"/>
  <dimension ref="A1:O1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16.7109375" defaultRowHeight="13.1" x14ac:dyDescent="0.25"/>
  <cols>
    <col min="1" max="1" width="42.7109375" style="502" customWidth="1"/>
    <col min="2" max="6" width="16.7109375" style="507"/>
    <col min="7" max="16384" width="16.7109375" style="502"/>
  </cols>
  <sheetData>
    <row r="1" spans="1:14" x14ac:dyDescent="0.25">
      <c r="A1" s="499" t="s">
        <v>207</v>
      </c>
      <c r="B1" s="500" t="s">
        <v>177</v>
      </c>
      <c r="C1" s="500" t="s">
        <v>177</v>
      </c>
      <c r="D1" s="500" t="s">
        <v>251</v>
      </c>
      <c r="E1" s="500" t="s">
        <v>253</v>
      </c>
      <c r="F1" s="501"/>
      <c r="H1" s="523" t="s">
        <v>211</v>
      </c>
      <c r="I1" s="523" t="s">
        <v>211</v>
      </c>
      <c r="J1" s="523" t="s">
        <v>211</v>
      </c>
      <c r="K1" s="523" t="s">
        <v>211</v>
      </c>
      <c r="L1" s="523" t="s">
        <v>211</v>
      </c>
      <c r="M1" s="523" t="s">
        <v>211</v>
      </c>
      <c r="N1" s="523" t="s">
        <v>211</v>
      </c>
    </row>
    <row r="2" spans="1:14" x14ac:dyDescent="0.25">
      <c r="A2" s="503" t="s">
        <v>208</v>
      </c>
      <c r="B2" s="504">
        <v>2022</v>
      </c>
      <c r="C2" s="504">
        <v>2023</v>
      </c>
      <c r="D2" s="504">
        <v>2024</v>
      </c>
      <c r="E2" s="504">
        <v>2025</v>
      </c>
      <c r="F2" s="505" t="s">
        <v>1</v>
      </c>
    </row>
    <row r="4" spans="1:14" x14ac:dyDescent="0.25">
      <c r="A4" s="506" t="s">
        <v>212</v>
      </c>
    </row>
    <row r="5" spans="1:14" x14ac:dyDescent="0.25">
      <c r="A5" s="502" t="s">
        <v>133</v>
      </c>
      <c r="B5" s="508">
        <f>'2. TD Res Lighting install 2022'!B19</f>
        <v>375142.27869999956</v>
      </c>
      <c r="C5" s="508">
        <f>'2. TD Res Lighting install 2023'!B19</f>
        <v>57532.195000000014</v>
      </c>
      <c r="D5" s="508">
        <f>'2. TD Res Lighting install 2024'!B19</f>
        <v>142396.20000000001</v>
      </c>
      <c r="E5" s="508">
        <f>'2. (Open) 2025'!B19</f>
        <v>0</v>
      </c>
      <c r="F5" s="509">
        <f>SUM(B5:E5)</f>
        <v>575070.67369999958</v>
      </c>
    </row>
    <row r="6" spans="1:14" x14ac:dyDescent="0.25">
      <c r="A6" s="502" t="s">
        <v>97</v>
      </c>
      <c r="B6" s="508">
        <f>+'2. TD Res HVAC install 2022'!B19</f>
        <v>951404.47510000016</v>
      </c>
      <c r="C6" s="508">
        <f>'2. TD Res HVAC install 2023'!B19</f>
        <v>1941804.9907000011</v>
      </c>
      <c r="D6" s="508">
        <f>'2. TD Res HVAC install 2024'!B19</f>
        <v>2122332.3927399991</v>
      </c>
      <c r="E6" s="508">
        <f>'2. TD Res THM install 2025'!B19</f>
        <v>2978373.2269484154</v>
      </c>
      <c r="F6" s="509">
        <f>SUM(B6:E6)</f>
        <v>7993915.0854884163</v>
      </c>
    </row>
    <row r="7" spans="1:14" x14ac:dyDescent="0.25">
      <c r="A7" s="502" t="s">
        <v>209</v>
      </c>
      <c r="B7" s="508">
        <f>+'2. TD Sm C&amp;I HVAC install 2022'!B19</f>
        <v>110954</v>
      </c>
      <c r="C7" s="508">
        <f>'2. TD Sm C&amp;I HVAC install 2023'!B19</f>
        <v>1015399.3835400001</v>
      </c>
      <c r="D7" s="508">
        <f>'2. TD Sm C&amp;I HVAC install 2024'!B19</f>
        <v>806106.90329999989</v>
      </c>
      <c r="E7" s="508">
        <f>'2. TD C&amp;I Rebate GS install2025'!B19</f>
        <v>2077754.5137105121</v>
      </c>
      <c r="F7" s="509">
        <f>SUM(B7:E7)</f>
        <v>4010214.800550512</v>
      </c>
    </row>
    <row r="8" spans="1:14" x14ac:dyDescent="0.25">
      <c r="A8" s="502" t="s">
        <v>210</v>
      </c>
      <c r="B8" s="508">
        <f>+'2. TD Lg C&amp;I Light install 2022'!B19</f>
        <v>5057545.1642890004</v>
      </c>
      <c r="C8" s="508">
        <f>'2. TD Lg C&amp;I Light install 2023'!B19</f>
        <v>14575768.583390007</v>
      </c>
      <c r="D8" s="508">
        <f>'2. TD Lg C&amp;I Light install 2024'!B19</f>
        <v>13548833.300398</v>
      </c>
      <c r="E8" s="508">
        <f>'2. TD C&amp;I RebateLGS install2025'!B19</f>
        <v>6955960.7632917138</v>
      </c>
      <c r="F8" s="509">
        <f>SUM(B8:E8)</f>
        <v>40138107.811368719</v>
      </c>
    </row>
    <row r="9" spans="1:14" ht="13.75" thickBot="1" x14ac:dyDescent="0.3">
      <c r="A9" s="502" t="s">
        <v>1</v>
      </c>
      <c r="B9" s="510">
        <f>SUM(B5:B8)</f>
        <v>6495045.9180890005</v>
      </c>
      <c r="C9" s="510">
        <f t="shared" ref="C9:F9" si="0">SUM(C5:C8)</f>
        <v>17590505.152630009</v>
      </c>
      <c r="D9" s="510">
        <f t="shared" si="0"/>
        <v>16619668.796437999</v>
      </c>
      <c r="E9" s="510">
        <f t="shared" ref="E9" si="1">SUM(E5:E8)</f>
        <v>12012088.503950641</v>
      </c>
      <c r="F9" s="510">
        <f t="shared" si="0"/>
        <v>52717308.371107645</v>
      </c>
      <c r="H9" s="15">
        <f>B9-SUM('2. TD Res Lighting install 2022'!$B$19,'2. TD Res HVAC install 2022'!$B$19,'2. TD Sm C&amp;I HVAC install 2022'!$B$19,'2. TD Lg C&amp;I Light install 2022'!$B$19)</f>
        <v>0</v>
      </c>
      <c r="I9" s="15">
        <f>C9-SUM('2. TD Res Lighting install 2023'!$B$19,'2. TD Res HVAC install 2023'!$B$19,'2. TD Sm C&amp;I HVAC install 2023'!$B$19,'2. TD Lg C&amp;I Light install 2023'!$B$19)</f>
        <v>0</v>
      </c>
      <c r="J9" s="15">
        <f>D9-SUM('2. TD Res Lighting install 2024'!$B$19,'2. TD Res HVAC install 2024'!$B$19,'2. TD Sm C&amp;I HVAC install 2024'!$B$19,'2. TD Lg C&amp;I Light install 2024'!$B$19)</f>
        <v>0</v>
      </c>
      <c r="K9" s="15">
        <f>E9-SUM('2. (Open) 2025'!$B$19,'2. TD Res THM install 2025'!$B$19,'2. TD C&amp;I Rebate GS install2025'!$B$19,'2. TD C&amp;I RebateLGS install2025'!$B$19)</f>
        <v>0</v>
      </c>
    </row>
    <row r="10" spans="1:14" ht="13.75" thickTop="1" x14ac:dyDescent="0.25">
      <c r="A10" s="502" t="s">
        <v>22</v>
      </c>
      <c r="B10" s="509">
        <f>SUM(B5:B6)</f>
        <v>1326546.7537999996</v>
      </c>
      <c r="C10" s="509">
        <f>SUM(C5:C6)</f>
        <v>1999337.1857000012</v>
      </c>
      <c r="D10" s="509">
        <f>SUM(D5:D6)</f>
        <v>2264728.5927399993</v>
      </c>
      <c r="E10" s="509">
        <f>SUM(E5:E6)</f>
        <v>2978373.2269484154</v>
      </c>
      <c r="F10" s="509">
        <f>SUM(F5:F6)</f>
        <v>8568985.7591884155</v>
      </c>
      <c r="H10" s="15"/>
      <c r="I10" s="15"/>
      <c r="J10" s="15"/>
      <c r="K10" s="15"/>
    </row>
    <row r="11" spans="1:14" x14ac:dyDescent="0.25">
      <c r="A11" s="502" t="s">
        <v>171</v>
      </c>
      <c r="B11" s="509">
        <f>SUM(B7:B8)</f>
        <v>5168499.1642890004</v>
      </c>
      <c r="C11" s="509">
        <f>SUM(C7:C8)</f>
        <v>15591167.966930008</v>
      </c>
      <c r="D11" s="509">
        <f>SUM(D7:D8)</f>
        <v>14354940.203698</v>
      </c>
      <c r="E11" s="509">
        <f>SUM(E7:E8)</f>
        <v>9033715.2770022266</v>
      </c>
      <c r="F11" s="509">
        <f>SUM(F7:F8)</f>
        <v>44148322.611919232</v>
      </c>
      <c r="H11" s="15">
        <f>B9-SUM(B10:B11)</f>
        <v>0</v>
      </c>
      <c r="I11" s="15">
        <f>C9-SUM(C10:C11)</f>
        <v>0</v>
      </c>
      <c r="J11" s="15">
        <f>D9-SUM(D10:D11)</f>
        <v>0</v>
      </c>
      <c r="K11" s="15">
        <f>E9-SUM(E10:E11)</f>
        <v>0</v>
      </c>
    </row>
    <row r="12" spans="1:14" x14ac:dyDescent="0.25">
      <c r="B12" s="511"/>
      <c r="C12" s="511"/>
      <c r="D12" s="511"/>
      <c r="E12" s="511"/>
    </row>
    <row r="13" spans="1:14" x14ac:dyDescent="0.25">
      <c r="A13" s="506" t="s">
        <v>213</v>
      </c>
    </row>
    <row r="14" spans="1:14" x14ac:dyDescent="0.25">
      <c r="A14" s="502" t="s">
        <v>133</v>
      </c>
      <c r="B14" s="508">
        <f>'2. TD Res Lighting install 2022'!AY19</f>
        <v>37611.976336656517</v>
      </c>
      <c r="C14" s="508">
        <v>0</v>
      </c>
      <c r="D14" s="508">
        <v>0</v>
      </c>
      <c r="E14" s="508">
        <v>0</v>
      </c>
      <c r="F14" s="509">
        <f>SUM(B14:E14)</f>
        <v>37611.976336656517</v>
      </c>
      <c r="L14" s="60">
        <f>+B14/B5</f>
        <v>0.10026056371730559</v>
      </c>
    </row>
    <row r="15" spans="1:14" x14ac:dyDescent="0.25">
      <c r="A15" s="502" t="s">
        <v>97</v>
      </c>
      <c r="B15" s="508">
        <f>'2. TD Res HVAC install 2022'!AY19</f>
        <v>302031.07988697488</v>
      </c>
      <c r="C15" s="508">
        <v>0</v>
      </c>
      <c r="D15" s="508">
        <v>0</v>
      </c>
      <c r="E15" s="508">
        <v>0</v>
      </c>
      <c r="F15" s="509">
        <f>SUM(B15:E15)</f>
        <v>302031.07988697488</v>
      </c>
      <c r="L15" s="60">
        <f>+B15/B6</f>
        <v>0.31745812405941126</v>
      </c>
    </row>
    <row r="16" spans="1:14" x14ac:dyDescent="0.25">
      <c r="A16" s="502" t="s">
        <v>209</v>
      </c>
      <c r="B16" s="508">
        <f>'2. TD Sm C&amp;I HVAC install 2022'!AY19</f>
        <v>5839.5922354999993</v>
      </c>
      <c r="C16" s="508">
        <v>0</v>
      </c>
      <c r="D16" s="508">
        <v>0</v>
      </c>
      <c r="E16" s="508">
        <v>0</v>
      </c>
      <c r="F16" s="509">
        <f>SUM(B16:E16)</f>
        <v>5839.5922354999993</v>
      </c>
      <c r="L16" s="60">
        <f>+B16/B7</f>
        <v>5.2630749999999997E-2</v>
      </c>
    </row>
    <row r="17" spans="1:14" x14ac:dyDescent="0.25">
      <c r="A17" s="502" t="s">
        <v>210</v>
      </c>
      <c r="B17" s="508">
        <f>'2. TD Lg C&amp;I Light install 2022'!AY19</f>
        <v>3432205.0007168204</v>
      </c>
      <c r="C17" s="508">
        <v>0</v>
      </c>
      <c r="D17" s="508">
        <v>0</v>
      </c>
      <c r="E17" s="508">
        <v>0</v>
      </c>
      <c r="F17" s="509">
        <f>SUM(B17:E17)</f>
        <v>3432205.0007168204</v>
      </c>
      <c r="L17" s="60">
        <f>+B17/B8</f>
        <v>0.67863061806178182</v>
      </c>
    </row>
    <row r="18" spans="1:14" ht="13.75" thickBot="1" x14ac:dyDescent="0.3">
      <c r="A18" s="502" t="s">
        <v>1</v>
      </c>
      <c r="B18" s="510">
        <f>SUM(B14:B17)</f>
        <v>3777687.6491759517</v>
      </c>
      <c r="C18" s="510">
        <f t="shared" ref="C18:D18" si="2">SUM(C14:C17)</f>
        <v>0</v>
      </c>
      <c r="D18" s="510">
        <f t="shared" si="2"/>
        <v>0</v>
      </c>
      <c r="E18" s="510">
        <f t="shared" ref="E18" si="3">SUM(E14:E17)</f>
        <v>0</v>
      </c>
      <c r="F18" s="510">
        <f t="shared" ref="F18" si="4">SUM(F14:F17)</f>
        <v>3777687.6491759517</v>
      </c>
      <c r="H18" s="15">
        <f>B18-SUM('2. TD Res Lighting install 2022'!$AY$19,'2. TD Res HVAC install 2022'!$AY$19,'2. TD Sm C&amp;I HVAC install 2022'!$AY$19,'2. TD Lg C&amp;I Light install 2022'!$AY$19)</f>
        <v>0</v>
      </c>
    </row>
    <row r="19" spans="1:14" ht="13.75" thickTop="1" x14ac:dyDescent="0.25">
      <c r="A19" s="502" t="s">
        <v>22</v>
      </c>
      <c r="B19" s="509">
        <f>SUM(B14:B15)</f>
        <v>339643.05622363137</v>
      </c>
      <c r="C19" s="509">
        <f>SUM(C14:C15)</f>
        <v>0</v>
      </c>
      <c r="D19" s="509">
        <f>SUM(D14:D15)</f>
        <v>0</v>
      </c>
      <c r="E19" s="509">
        <f>SUM(E14:E15)</f>
        <v>0</v>
      </c>
      <c r="F19" s="509">
        <f>SUM(F14:F15)</f>
        <v>339643.05622363137</v>
      </c>
      <c r="H19" s="15"/>
      <c r="I19" s="15"/>
      <c r="J19" s="15"/>
      <c r="K19" s="15"/>
    </row>
    <row r="20" spans="1:14" x14ac:dyDescent="0.25">
      <c r="A20" s="502" t="s">
        <v>171</v>
      </c>
      <c r="B20" s="509">
        <f>SUM(B16:B17)</f>
        <v>3438044.5929523204</v>
      </c>
      <c r="C20" s="509">
        <f>SUM(C16:C17)</f>
        <v>0</v>
      </c>
      <c r="D20" s="509">
        <f>SUM(D16:D17)</f>
        <v>0</v>
      </c>
      <c r="E20" s="509">
        <f>SUM(E16:E17)</f>
        <v>0</v>
      </c>
      <c r="F20" s="509">
        <f>SUM(F16:F17)</f>
        <v>3438044.5929523204</v>
      </c>
      <c r="H20" s="15">
        <f>B18-SUM(B19:B20)</f>
        <v>0</v>
      </c>
      <c r="I20" s="15">
        <f>C18-SUM(C19:C20)</f>
        <v>0</v>
      </c>
      <c r="J20" s="15">
        <f>D18-SUM(D19:D20)</f>
        <v>0</v>
      </c>
      <c r="K20" s="15">
        <f>E18-SUM(E19:E20)</f>
        <v>0</v>
      </c>
    </row>
    <row r="22" spans="1:14" x14ac:dyDescent="0.25">
      <c r="A22" s="506" t="s">
        <v>214</v>
      </c>
    </row>
    <row r="23" spans="1:14" x14ac:dyDescent="0.25">
      <c r="A23" s="502" t="s">
        <v>133</v>
      </c>
      <c r="B23" s="508">
        <f>'2. TD Res Lighting install 2022'!AZ19</f>
        <v>375142.27869999956</v>
      </c>
      <c r="C23" s="508">
        <f>'2. TD Res Lighting install 2023'!AM19</f>
        <v>26928.945412314999</v>
      </c>
      <c r="D23" s="508">
        <v>0</v>
      </c>
      <c r="E23" s="508">
        <v>0</v>
      </c>
      <c r="F23" s="509">
        <f>SUM(B23:E23)</f>
        <v>402071.22411231458</v>
      </c>
      <c r="L23" s="60">
        <f t="shared" ref="L23:M26" si="5">+B23/B5</f>
        <v>1</v>
      </c>
      <c r="M23" s="60">
        <f t="shared" si="5"/>
        <v>0.4680674083843836</v>
      </c>
    </row>
    <row r="24" spans="1:14" x14ac:dyDescent="0.25">
      <c r="A24" s="502" t="s">
        <v>97</v>
      </c>
      <c r="B24" s="508">
        <f>'2. TD Res HVAC install 2022'!AZ19</f>
        <v>951404.47510000004</v>
      </c>
      <c r="C24" s="508">
        <f>'2. TD Res HVAC install 2023'!AM19</f>
        <v>937016.47631791618</v>
      </c>
      <c r="D24" s="508">
        <v>0</v>
      </c>
      <c r="E24" s="508">
        <v>0</v>
      </c>
      <c r="F24" s="509">
        <f>SUM(B24:E24)</f>
        <v>1888420.9514179162</v>
      </c>
      <c r="L24" s="60">
        <f t="shared" si="5"/>
        <v>0.99999999999999989</v>
      </c>
      <c r="M24" s="60">
        <f t="shared" si="5"/>
        <v>0.48254921622182628</v>
      </c>
    </row>
    <row r="25" spans="1:14" x14ac:dyDescent="0.25">
      <c r="A25" s="502" t="s">
        <v>209</v>
      </c>
      <c r="B25" s="508">
        <f>'2. TD Sm C&amp;I HVAC install 2022'!AZ19</f>
        <v>110953.99999999999</v>
      </c>
      <c r="C25" s="508">
        <f>'2. TD Sm C&amp;I HVAC install 2023'!AM19</f>
        <v>281749.5900710579</v>
      </c>
      <c r="D25" s="508">
        <v>0</v>
      </c>
      <c r="E25" s="508">
        <v>0</v>
      </c>
      <c r="F25" s="509">
        <f>SUM(B25:E25)</f>
        <v>392703.5900710579</v>
      </c>
      <c r="L25" s="60">
        <f t="shared" si="5"/>
        <v>0.99999999999999989</v>
      </c>
      <c r="M25" s="60">
        <f t="shared" si="5"/>
        <v>0.27747662115845556</v>
      </c>
    </row>
    <row r="26" spans="1:14" x14ac:dyDescent="0.25">
      <c r="A26" s="502" t="s">
        <v>210</v>
      </c>
      <c r="B26" s="508">
        <f>'2. TD Lg C&amp;I Light install 2022'!AZ19</f>
        <v>5057545.1642890004</v>
      </c>
      <c r="C26" s="508">
        <f>'2. TD Lg C&amp;I Light install 2023'!AM19</f>
        <v>2239817.6394218123</v>
      </c>
      <c r="D26" s="508">
        <v>0</v>
      </c>
      <c r="E26" s="508">
        <v>0</v>
      </c>
      <c r="F26" s="509">
        <f>SUM(B26:E26)</f>
        <v>7297362.8037108127</v>
      </c>
      <c r="L26" s="60">
        <f t="shared" si="5"/>
        <v>1</v>
      </c>
      <c r="M26" s="60">
        <f t="shared" si="5"/>
        <v>0.15366720640544634</v>
      </c>
    </row>
    <row r="27" spans="1:14" ht="13.75" thickBot="1" x14ac:dyDescent="0.3">
      <c r="A27" s="502" t="s">
        <v>1</v>
      </c>
      <c r="B27" s="510">
        <f>SUM(B23:B26)</f>
        <v>6495045.9180890005</v>
      </c>
      <c r="C27" s="510">
        <f t="shared" ref="C27:D27" si="6">SUM(C23:C26)</f>
        <v>3485512.6512231012</v>
      </c>
      <c r="D27" s="510">
        <f t="shared" si="6"/>
        <v>0</v>
      </c>
      <c r="E27" s="510">
        <f t="shared" ref="E27" si="7">SUM(E23:E26)</f>
        <v>0</v>
      </c>
      <c r="F27" s="510">
        <f t="shared" ref="F27" si="8">SUM(F23:F26)</f>
        <v>9980558.5693121012</v>
      </c>
      <c r="H27" s="15">
        <f>B27-SUM('2. TD Res Lighting install 2022'!$AZ$19,'2. TD Res HVAC install 2022'!$AZ$19,'2. TD Sm C&amp;I HVAC install 2022'!$AZ$19,'2. TD Lg C&amp;I Light install 2022'!$AZ$19)</f>
        <v>0</v>
      </c>
      <c r="I27" s="15">
        <f>C27-SUM('2. TD Res Lighting install 2023'!$AM$19,'2. TD Res HVAC install 2023'!$AM$19,'2. TD Sm C&amp;I HVAC install 2023'!$AM$19,'2. TD Lg C&amp;I Light install 2023'!$AM$19)</f>
        <v>0</v>
      </c>
    </row>
    <row r="28" spans="1:14" ht="13.75" thickTop="1" x14ac:dyDescent="0.25">
      <c r="A28" s="502" t="s">
        <v>22</v>
      </c>
      <c r="B28" s="509">
        <f>SUM(B23:B24)</f>
        <v>1326546.7537999996</v>
      </c>
      <c r="C28" s="509">
        <f>SUM(C23:C24)</f>
        <v>963945.42173023114</v>
      </c>
      <c r="D28" s="509">
        <f>SUM(D23:D24)</f>
        <v>0</v>
      </c>
      <c r="E28" s="509">
        <f>SUM(E23:E24)</f>
        <v>0</v>
      </c>
      <c r="F28" s="509">
        <f>SUM(F23:F24)</f>
        <v>2290492.1755302306</v>
      </c>
      <c r="H28" s="15"/>
      <c r="I28" s="15"/>
      <c r="J28" s="15"/>
      <c r="K28" s="15"/>
    </row>
    <row r="29" spans="1:14" x14ac:dyDescent="0.25">
      <c r="A29" s="502" t="s">
        <v>171</v>
      </c>
      <c r="B29" s="509">
        <f>SUM(B25:B26)</f>
        <v>5168499.1642890004</v>
      </c>
      <c r="C29" s="509">
        <f>SUM(C25:C26)</f>
        <v>2521567.2294928702</v>
      </c>
      <c r="D29" s="509">
        <f>SUM(D25:D26)</f>
        <v>0</v>
      </c>
      <c r="E29" s="509">
        <f>SUM(E25:E26)</f>
        <v>0</v>
      </c>
      <c r="F29" s="509">
        <f>SUM(F25:F26)</f>
        <v>7690066.3937818706</v>
      </c>
      <c r="H29" s="15">
        <f>B27-SUM(B28:B29)</f>
        <v>0</v>
      </c>
      <c r="I29" s="15">
        <f>C27-SUM(C28:C29)</f>
        <v>0</v>
      </c>
      <c r="J29" s="15">
        <f>D27-SUM(D28:D29)</f>
        <v>0</v>
      </c>
      <c r="K29" s="15">
        <f>E27-SUM(E28:E29)</f>
        <v>0</v>
      </c>
    </row>
    <row r="31" spans="1:14" x14ac:dyDescent="0.25">
      <c r="A31" s="506" t="s">
        <v>252</v>
      </c>
    </row>
    <row r="32" spans="1:14" x14ac:dyDescent="0.25">
      <c r="A32" s="502" t="s">
        <v>133</v>
      </c>
      <c r="B32" s="508">
        <f>'2. TD Res Lighting install 2022'!BA19</f>
        <v>375142.27869999956</v>
      </c>
      <c r="C32" s="508">
        <f>'2. TD Res Lighting install 2023'!AN19</f>
        <v>57532.195000000007</v>
      </c>
      <c r="D32" s="508">
        <f>'2. TD Res Lighting install 2024'!AA19</f>
        <v>56515.120739100006</v>
      </c>
      <c r="E32" s="508">
        <v>0</v>
      </c>
      <c r="F32" s="509">
        <f>SUM(B32:E32)</f>
        <v>489189.59443909954</v>
      </c>
      <c r="L32" s="60">
        <f t="shared" ref="L32:N35" si="9">+B32/B5</f>
        <v>1</v>
      </c>
      <c r="M32" s="60">
        <f t="shared" si="9"/>
        <v>0.99999999999999989</v>
      </c>
      <c r="N32" s="60">
        <f t="shared" si="9"/>
        <v>0.39688643895764075</v>
      </c>
    </row>
    <row r="33" spans="1:15" x14ac:dyDescent="0.25">
      <c r="A33" s="502" t="s">
        <v>97</v>
      </c>
      <c r="B33" s="508">
        <f>'2. TD Res HVAC install 2022'!BA19</f>
        <v>951404.47510000004</v>
      </c>
      <c r="C33" s="508">
        <f>'2. TD Res HVAC install 2023'!AN19</f>
        <v>1941804.9907000011</v>
      </c>
      <c r="D33" s="508">
        <f>'2. TD Res HVAC install 2024'!AA19</f>
        <v>916191.17974765028</v>
      </c>
      <c r="E33" s="508">
        <v>0</v>
      </c>
      <c r="F33" s="509">
        <f>SUM(B33:E33)</f>
        <v>3809400.6455476517</v>
      </c>
      <c r="L33" s="60">
        <f t="shared" si="9"/>
        <v>0.99999999999999989</v>
      </c>
      <c r="M33" s="60">
        <f t="shared" si="9"/>
        <v>1</v>
      </c>
      <c r="N33" s="60">
        <f t="shared" si="9"/>
        <v>0.43169071106944662</v>
      </c>
    </row>
    <row r="34" spans="1:15" x14ac:dyDescent="0.25">
      <c r="A34" s="502" t="s">
        <v>209</v>
      </c>
      <c r="B34" s="508">
        <f>'2. TD Sm C&amp;I HVAC install 2022'!BA19</f>
        <v>110953.99999999999</v>
      </c>
      <c r="C34" s="508">
        <f>'2. TD Sm C&amp;I HVAC install 2023'!AN19</f>
        <v>1015399.3835400002</v>
      </c>
      <c r="D34" s="508">
        <f>'2. TD Sm C&amp;I HVAC install 2024'!AA19</f>
        <v>182568.26709957991</v>
      </c>
      <c r="E34" s="508">
        <v>0</v>
      </c>
      <c r="F34" s="509">
        <f>SUM(B34:E34)</f>
        <v>1308921.6506395801</v>
      </c>
      <c r="L34" s="60">
        <f t="shared" si="9"/>
        <v>0.99999999999999989</v>
      </c>
      <c r="M34" s="60">
        <f t="shared" si="9"/>
        <v>1.0000000000000002</v>
      </c>
      <c r="N34" s="60">
        <f t="shared" si="9"/>
        <v>0.22648145841722869</v>
      </c>
    </row>
    <row r="35" spans="1:15" x14ac:dyDescent="0.25">
      <c r="A35" s="502" t="s">
        <v>210</v>
      </c>
      <c r="B35" s="508">
        <f>'2. TD Lg C&amp;I Light install 2022'!BA19</f>
        <v>5057545.1642890004</v>
      </c>
      <c r="C35" s="508">
        <f>'2. TD Lg C&amp;I Light install 2023'!AN19</f>
        <v>14575768.583390009</v>
      </c>
      <c r="D35" s="508">
        <f>'2. TD Lg C&amp;I Light install 2024'!AA19</f>
        <v>2687832.5675139939</v>
      </c>
      <c r="E35" s="508">
        <v>0</v>
      </c>
      <c r="F35" s="509">
        <f>SUM(B35:E35)</f>
        <v>22321146.315193005</v>
      </c>
      <c r="L35" s="60">
        <f t="shared" si="9"/>
        <v>1</v>
      </c>
      <c r="M35" s="60">
        <f t="shared" si="9"/>
        <v>1.0000000000000002</v>
      </c>
      <c r="N35" s="60">
        <f t="shared" si="9"/>
        <v>0.19838110838923956</v>
      </c>
    </row>
    <row r="36" spans="1:15" ht="13.75" thickBot="1" x14ac:dyDescent="0.3">
      <c r="A36" s="502" t="s">
        <v>1</v>
      </c>
      <c r="B36" s="510">
        <f>SUM(B32:B35)</f>
        <v>6495045.9180890005</v>
      </c>
      <c r="C36" s="510">
        <f t="shared" ref="C36:E36" si="10">SUM(C32:C35)</f>
        <v>17590505.152630009</v>
      </c>
      <c r="D36" s="510">
        <f t="shared" si="10"/>
        <v>3843107.1351003242</v>
      </c>
      <c r="E36" s="510">
        <f t="shared" si="10"/>
        <v>0</v>
      </c>
      <c r="F36" s="510">
        <f t="shared" ref="F36" si="11">SUM(F32:F35)</f>
        <v>27928658.205819339</v>
      </c>
      <c r="H36" s="15">
        <f>B36-SUM('2. TD Res Lighting install 2022'!$BA$19,'2. TD Res HVAC install 2022'!$BA$19,'2. TD Sm C&amp;I HVAC install 2022'!$BA$19,'2. TD Lg C&amp;I Light install 2022'!$BA$19)</f>
        <v>0</v>
      </c>
      <c r="I36" s="15">
        <f>C36-SUM('2. TD Res Lighting install 2023'!$AN$19,'2. TD Res HVAC install 2023'!$AN$19,'2. TD Sm C&amp;I HVAC install 2023'!$AN$19,'2. TD Lg C&amp;I Light install 2023'!$AN$19)</f>
        <v>0</v>
      </c>
      <c r="J36" s="15">
        <f>D36-SUM('2. TD Res Lighting install 2024'!$AA$19,'2. TD Res HVAC install 2024'!$AA$19,'2. TD Sm C&amp;I HVAC install 2024'!$AA$19,'2. TD Lg C&amp;I Light install 2024'!$AA$19)</f>
        <v>0</v>
      </c>
      <c r="K36" s="15"/>
    </row>
    <row r="37" spans="1:15" ht="13.75" thickTop="1" x14ac:dyDescent="0.25">
      <c r="A37" s="502" t="s">
        <v>22</v>
      </c>
      <c r="B37" s="509">
        <f>SUM(B32:B33)</f>
        <v>1326546.7537999996</v>
      </c>
      <c r="C37" s="509">
        <f>SUM(C32:C33)</f>
        <v>1999337.1857000012</v>
      </c>
      <c r="D37" s="509">
        <f>SUM(D32:D33)</f>
        <v>972706.30048675032</v>
      </c>
      <c r="E37" s="509">
        <f>SUM(E32:E33)</f>
        <v>0</v>
      </c>
      <c r="F37" s="509">
        <f>SUM(F32:F33)</f>
        <v>4298590.2399867512</v>
      </c>
      <c r="H37" s="15"/>
      <c r="I37" s="15"/>
      <c r="J37" s="15"/>
      <c r="K37" s="15"/>
    </row>
    <row r="38" spans="1:15" x14ac:dyDescent="0.25">
      <c r="A38" s="502" t="s">
        <v>171</v>
      </c>
      <c r="B38" s="509">
        <f>SUM(B34:B35)</f>
        <v>5168499.1642890004</v>
      </c>
      <c r="C38" s="509">
        <f>SUM(C34:C35)</f>
        <v>15591167.966930009</v>
      </c>
      <c r="D38" s="509">
        <f>SUM(D34:D35)</f>
        <v>2870400.8346135737</v>
      </c>
      <c r="E38" s="509">
        <f>SUM(E34:E35)</f>
        <v>0</v>
      </c>
      <c r="F38" s="509">
        <f>SUM(F34:F35)</f>
        <v>23630067.965832584</v>
      </c>
      <c r="H38" s="15">
        <f>B36-SUM(B37:B38)</f>
        <v>0</v>
      </c>
      <c r="I38" s="15">
        <f>C36-SUM(C37:C38)</f>
        <v>0</v>
      </c>
      <c r="J38" s="15">
        <f>D36-SUM(D37:D38)</f>
        <v>0</v>
      </c>
      <c r="K38" s="15">
        <f>E36-SUM(E37:E38)</f>
        <v>0</v>
      </c>
    </row>
    <row r="40" spans="1:15" x14ac:dyDescent="0.25">
      <c r="A40" s="506" t="s">
        <v>242</v>
      </c>
    </row>
    <row r="41" spans="1:15" x14ac:dyDescent="0.25">
      <c r="A41" s="502" t="s">
        <v>133</v>
      </c>
      <c r="B41" s="508">
        <f>'2. TD Res Lighting install 2022'!BB19</f>
        <v>375142.27869999956</v>
      </c>
      <c r="C41" s="508">
        <f>'2. TD Res Lighting install 2023'!AO19</f>
        <v>57532.195000000007</v>
      </c>
      <c r="D41" s="508">
        <f>'2. TD Res Lighting install 2024'!AB19</f>
        <v>142396.20000000001</v>
      </c>
      <c r="E41" s="508">
        <f>'2. (Open) 2025'!O19</f>
        <v>0</v>
      </c>
      <c r="F41" s="509">
        <f>SUM(B41:E41)</f>
        <v>575070.67369999958</v>
      </c>
      <c r="L41" s="60">
        <f>+B41/B5</f>
        <v>1</v>
      </c>
      <c r="M41" s="60">
        <f t="shared" ref="M41:O44" si="12">+C41/C5</f>
        <v>0.99999999999999989</v>
      </c>
      <c r="N41" s="60">
        <f t="shared" si="12"/>
        <v>1</v>
      </c>
      <c r="O41" s="60">
        <f>IFERROR(+E41/E5,0)</f>
        <v>0</v>
      </c>
    </row>
    <row r="42" spans="1:15" x14ac:dyDescent="0.25">
      <c r="A42" s="502" t="s">
        <v>97</v>
      </c>
      <c r="B42" s="508">
        <f>'2. TD Res HVAC install 2022'!BB19</f>
        <v>951404.47510000004</v>
      </c>
      <c r="C42" s="508">
        <f>'2. TD Res HVAC install 2023'!AO19</f>
        <v>1941804.9907000011</v>
      </c>
      <c r="D42" s="508">
        <f>'2. TD Res HVAC install 2024'!AB19</f>
        <v>2122332.3927399991</v>
      </c>
      <c r="E42" s="508">
        <f>'2. TD Res THM install 2025'!O19</f>
        <v>1477296.5752555761</v>
      </c>
      <c r="F42" s="509">
        <f>SUM(B42:E42)</f>
        <v>6492838.4337955769</v>
      </c>
      <c r="L42" s="60">
        <f t="shared" ref="L42:L44" si="13">+B42/B6</f>
        <v>0.99999999999999989</v>
      </c>
      <c r="M42" s="60">
        <f t="shared" si="12"/>
        <v>1</v>
      </c>
      <c r="N42" s="60">
        <f t="shared" si="12"/>
        <v>1</v>
      </c>
      <c r="O42" s="60">
        <f t="shared" si="12"/>
        <v>0.49600787499999993</v>
      </c>
    </row>
    <row r="43" spans="1:15" x14ac:dyDescent="0.25">
      <c r="A43" s="502" t="s">
        <v>209</v>
      </c>
      <c r="B43" s="508">
        <f>'2. TD Sm C&amp;I HVAC install 2022'!BB19</f>
        <v>110953.99999999999</v>
      </c>
      <c r="C43" s="508">
        <f>'2. TD Sm C&amp;I HVAC install 2023'!AO19</f>
        <v>1015399.3835400002</v>
      </c>
      <c r="D43" s="508">
        <f>'2. TD Sm C&amp;I HVAC install 2024'!AB19</f>
        <v>806106.90329999989</v>
      </c>
      <c r="E43" s="508">
        <f>'2. TD C&amp;I Rebate GS install2025'!O19</f>
        <v>1030582.6011172093</v>
      </c>
      <c r="F43" s="509">
        <f>SUM(B43:E43)</f>
        <v>2963042.8879572093</v>
      </c>
      <c r="L43" s="60">
        <f t="shared" si="13"/>
        <v>0.99999999999999989</v>
      </c>
      <c r="M43" s="60">
        <f t="shared" si="12"/>
        <v>1.0000000000000002</v>
      </c>
      <c r="N43" s="60">
        <f t="shared" si="12"/>
        <v>1</v>
      </c>
      <c r="O43" s="60">
        <f t="shared" si="12"/>
        <v>0.49600787499999993</v>
      </c>
    </row>
    <row r="44" spans="1:15" x14ac:dyDescent="0.25">
      <c r="A44" s="502" t="s">
        <v>210</v>
      </c>
      <c r="B44" s="508">
        <f>'2. TD Lg C&amp;I Light install 2022'!BB19</f>
        <v>5057545.1642890004</v>
      </c>
      <c r="C44" s="508">
        <f>'2. TD Lg C&amp;I Light install 2023'!AO19</f>
        <v>14575768.583390009</v>
      </c>
      <c r="D44" s="508">
        <f>'2. TD Lg C&amp;I Light install 2024'!AB19</f>
        <v>13548833.300398</v>
      </c>
      <c r="E44" s="508">
        <f>'2. TD C&amp;I RebateLGS install2025'!O19</f>
        <v>3441142.3380227094</v>
      </c>
      <c r="F44" s="509">
        <f>SUM(B44:E44)</f>
        <v>36623289.386099719</v>
      </c>
      <c r="L44" s="60">
        <f t="shared" si="13"/>
        <v>1</v>
      </c>
      <c r="M44" s="60">
        <f t="shared" si="12"/>
        <v>1.0000000000000002</v>
      </c>
      <c r="N44" s="60">
        <f t="shared" si="12"/>
        <v>1</v>
      </c>
      <c r="O44" s="60">
        <f t="shared" si="12"/>
        <v>0.49470410416666655</v>
      </c>
    </row>
    <row r="45" spans="1:15" ht="13.75" thickBot="1" x14ac:dyDescent="0.3">
      <c r="A45" s="502" t="s">
        <v>1</v>
      </c>
      <c r="B45" s="510">
        <f>SUM(B41:B44)</f>
        <v>6495045.9180890005</v>
      </c>
      <c r="C45" s="510">
        <f t="shared" ref="C45:E45" si="14">SUM(C41:C44)</f>
        <v>17590505.152630009</v>
      </c>
      <c r="D45" s="510">
        <f t="shared" si="14"/>
        <v>16619668.796437999</v>
      </c>
      <c r="E45" s="510">
        <f t="shared" si="14"/>
        <v>5949021.514395494</v>
      </c>
      <c r="F45" s="510">
        <f t="shared" ref="F45" si="15">SUM(F41:F44)</f>
        <v>46654241.381552503</v>
      </c>
      <c r="H45" s="15">
        <f>B45-SUM('2. TD Res Lighting install 2022'!$BB$19,'2. TD Res HVAC install 2022'!$BB$19,'2. TD Sm C&amp;I HVAC install 2022'!$BB$19,'2. TD Lg C&amp;I Light install 2022'!$BB$19)</f>
        <v>0</v>
      </c>
      <c r="I45" s="15">
        <f>C45-SUM('2. TD Res Lighting install 2023'!$AO$19,'2. TD Res HVAC install 2023'!$AO$19,'2. TD Sm C&amp;I HVAC install 2023'!$AO$19,'2. TD Lg C&amp;I Light install 2023'!$AO$19)</f>
        <v>0</v>
      </c>
      <c r="J45" s="15">
        <f>D45-SUM('2. TD Res Lighting install 2024'!$AB$19,'2. TD Res HVAC install 2024'!$AB$19,'2. TD Sm C&amp;I HVAC install 2024'!$AB$19,'2. TD Lg C&amp;I Light install 2024'!$AB$19)</f>
        <v>0</v>
      </c>
      <c r="K45" s="15">
        <f>E45-SUM('2. (Open) 2025'!$O$19,'2. TD Res THM install 2025'!$O$19,'2. TD C&amp;I Rebate GS install2025'!$O$19,'2. TD C&amp;I RebateLGS install2025'!$O$19)</f>
        <v>0</v>
      </c>
    </row>
    <row r="46" spans="1:15" ht="13.75" thickTop="1" x14ac:dyDescent="0.25">
      <c r="A46" s="502" t="s">
        <v>22</v>
      </c>
      <c r="B46" s="509">
        <f>SUM(B41:B42)</f>
        <v>1326546.7537999996</v>
      </c>
      <c r="C46" s="509">
        <f>SUM(C41:C42)</f>
        <v>1999337.1857000012</v>
      </c>
      <c r="D46" s="509">
        <f>SUM(D41:D42)</f>
        <v>2264728.5927399993</v>
      </c>
      <c r="E46" s="509">
        <f>SUM(E41:E42)</f>
        <v>1477296.5752555761</v>
      </c>
      <c r="F46" s="509">
        <f>SUM(F41:F42)</f>
        <v>7067909.1074955761</v>
      </c>
      <c r="H46" s="15"/>
      <c r="I46" s="15"/>
      <c r="J46" s="15"/>
      <c r="K46" s="15"/>
    </row>
    <row r="47" spans="1:15" x14ac:dyDescent="0.25">
      <c r="A47" s="502" t="s">
        <v>171</v>
      </c>
      <c r="B47" s="509">
        <f>SUM(B43:B44)</f>
        <v>5168499.1642890004</v>
      </c>
      <c r="C47" s="509">
        <f>SUM(C43:C44)</f>
        <v>15591167.966930009</v>
      </c>
      <c r="D47" s="509">
        <f>SUM(D43:D44)</f>
        <v>14354940.203698</v>
      </c>
      <c r="E47" s="509">
        <f>SUM(E43:E44)</f>
        <v>4471724.9391399184</v>
      </c>
      <c r="F47" s="509">
        <f>SUM(F43:F44)</f>
        <v>39586332.274056926</v>
      </c>
      <c r="H47" s="15">
        <f>B45-SUM(B46:B47)</f>
        <v>0</v>
      </c>
      <c r="I47" s="15">
        <f>C45-SUM(C46:C47)</f>
        <v>0</v>
      </c>
      <c r="J47" s="15">
        <f>D45-SUM(D46:D47)</f>
        <v>0</v>
      </c>
      <c r="K47" s="15">
        <f>E45-SUM(E46:E47)</f>
        <v>0</v>
      </c>
    </row>
    <row r="49" spans="1:12" x14ac:dyDescent="0.25">
      <c r="A49" s="506" t="s">
        <v>215</v>
      </c>
    </row>
    <row r="50" spans="1:12" x14ac:dyDescent="0.25">
      <c r="A50" s="502" t="s">
        <v>133</v>
      </c>
      <c r="B50" s="512">
        <f>'2. TD Res Lighting install 2022'!AY22</f>
        <v>3198.2483269921677</v>
      </c>
      <c r="C50" s="518">
        <v>0</v>
      </c>
      <c r="D50" s="518">
        <v>0</v>
      </c>
      <c r="E50" s="518">
        <v>0</v>
      </c>
      <c r="F50" s="513">
        <f>SUM(B50:E50)</f>
        <v>3198.2483269921677</v>
      </c>
      <c r="H50" s="15"/>
    </row>
    <row r="51" spans="1:12" x14ac:dyDescent="0.25">
      <c r="A51" s="502" t="s">
        <v>97</v>
      </c>
      <c r="B51" s="516">
        <f>'2. TD Res HVAC install 2022'!AY22</f>
        <v>27650.771067296464</v>
      </c>
      <c r="C51" s="519">
        <v>0</v>
      </c>
      <c r="D51" s="519">
        <v>0</v>
      </c>
      <c r="E51" s="519">
        <v>0</v>
      </c>
      <c r="F51" s="517">
        <f>SUM(B51:E51)</f>
        <v>27650.771067296464</v>
      </c>
      <c r="L51" s="524"/>
    </row>
    <row r="52" spans="1:12" x14ac:dyDescent="0.25">
      <c r="A52" s="502" t="s">
        <v>209</v>
      </c>
      <c r="B52" s="516">
        <f>'2. TD Sm C&amp;I HVAC install 2022'!AY22</f>
        <v>459.67259473182071</v>
      </c>
      <c r="C52" s="519">
        <v>0</v>
      </c>
      <c r="D52" s="519">
        <v>0</v>
      </c>
      <c r="E52" s="519">
        <v>0</v>
      </c>
      <c r="F52" s="517">
        <f>SUM(B52:E52)</f>
        <v>459.67259473182071</v>
      </c>
    </row>
    <row r="53" spans="1:12" x14ac:dyDescent="0.25">
      <c r="A53" s="502" t="s">
        <v>210</v>
      </c>
      <c r="B53" s="516">
        <f>'2. TD Lg C&amp;I Light install 2022'!AY22</f>
        <v>115452.14380899968</v>
      </c>
      <c r="C53" s="519">
        <v>0</v>
      </c>
      <c r="D53" s="519">
        <v>0</v>
      </c>
      <c r="E53" s="519">
        <v>0</v>
      </c>
      <c r="F53" s="517">
        <f>SUM(B53:E53)</f>
        <v>115452.14380899968</v>
      </c>
    </row>
    <row r="54" spans="1:12" ht="13.75" thickBot="1" x14ac:dyDescent="0.3">
      <c r="A54" s="502" t="s">
        <v>1</v>
      </c>
      <c r="B54" s="515">
        <f>SUM(B50:B53)</f>
        <v>146760.83579802013</v>
      </c>
      <c r="C54" s="515">
        <f t="shared" ref="C54:F54" si="16">SUM(C50:C53)</f>
        <v>0</v>
      </c>
      <c r="D54" s="515">
        <f t="shared" si="16"/>
        <v>0</v>
      </c>
      <c r="E54" s="515">
        <f t="shared" ref="E54" si="17">SUM(E50:E53)</f>
        <v>0</v>
      </c>
      <c r="F54" s="515">
        <f t="shared" si="16"/>
        <v>146760.83579802013</v>
      </c>
      <c r="H54" s="15">
        <f>B54-SUM('2. TD Res Lighting install 2022'!$AY$22,'2. TD Res HVAC install 2022'!$AY$22,'2. TD Sm C&amp;I HVAC install 2022'!$AY$22,'2. TD Lg C&amp;I Light install 2022'!$AY$22)</f>
        <v>0</v>
      </c>
    </row>
    <row r="55" spans="1:12" ht="13.75" thickTop="1" x14ac:dyDescent="0.25">
      <c r="A55" s="502" t="s">
        <v>22</v>
      </c>
      <c r="B55" s="509">
        <f>SUM(B50:B51)</f>
        <v>30849.019394288633</v>
      </c>
      <c r="C55" s="509">
        <f>SUM(C50:C51)</f>
        <v>0</v>
      </c>
      <c r="D55" s="509">
        <f>SUM(D50:D51)</f>
        <v>0</v>
      </c>
      <c r="E55" s="509">
        <f>SUM(E50:E51)</f>
        <v>0</v>
      </c>
      <c r="F55" s="509">
        <f>SUM(F50:F51)</f>
        <v>30849.019394288633</v>
      </c>
      <c r="H55" s="15"/>
      <c r="I55" s="15"/>
      <c r="J55" s="15"/>
      <c r="K55" s="15"/>
    </row>
    <row r="56" spans="1:12" x14ac:dyDescent="0.25">
      <c r="A56" s="502" t="s">
        <v>171</v>
      </c>
      <c r="B56" s="509">
        <f>SUM(B52:B53)</f>
        <v>115911.8164037315</v>
      </c>
      <c r="C56" s="509">
        <f>SUM(C52:C53)</f>
        <v>0</v>
      </c>
      <c r="D56" s="509">
        <f>SUM(D52:D53)</f>
        <v>0</v>
      </c>
      <c r="E56" s="509">
        <f>SUM(E52:E53)</f>
        <v>0</v>
      </c>
      <c r="F56" s="509">
        <f>SUM(F52:F53)</f>
        <v>115911.8164037315</v>
      </c>
      <c r="H56" s="15">
        <f>B54-SUM(B55:B56)</f>
        <v>0</v>
      </c>
      <c r="I56" s="15">
        <f>C54-SUM(C55:C56)</f>
        <v>0</v>
      </c>
      <c r="J56" s="15">
        <f>D54-SUM(D55:D56)</f>
        <v>0</v>
      </c>
      <c r="K56" s="15">
        <f>E54-SUM(E55:E56)</f>
        <v>0</v>
      </c>
    </row>
    <row r="57" spans="1:12" x14ac:dyDescent="0.25">
      <c r="B57" s="514"/>
      <c r="C57" s="514"/>
      <c r="D57" s="514"/>
      <c r="E57" s="514"/>
    </row>
    <row r="58" spans="1:12" x14ac:dyDescent="0.25">
      <c r="A58" s="506" t="s">
        <v>216</v>
      </c>
    </row>
    <row r="59" spans="1:12" x14ac:dyDescent="0.25">
      <c r="A59" s="502" t="s">
        <v>133</v>
      </c>
      <c r="B59" s="512">
        <f>'2. TD Res Lighting install 2022'!AZ22</f>
        <v>33823.093070924435</v>
      </c>
      <c r="C59" s="512">
        <f>'2. TD Res Lighting install 2023'!AM22</f>
        <v>2521.7444218587839</v>
      </c>
      <c r="D59" s="512">
        <v>0</v>
      </c>
      <c r="E59" s="512">
        <v>0</v>
      </c>
      <c r="F59" s="513">
        <f>SUM(B59:E59)</f>
        <v>36344.837492783219</v>
      </c>
      <c r="H59" s="15"/>
      <c r="I59" s="15"/>
    </row>
    <row r="60" spans="1:12" x14ac:dyDescent="0.25">
      <c r="A60" s="502" t="s">
        <v>97</v>
      </c>
      <c r="B60" s="516">
        <f>'2. TD Res HVAC install 2022'!AZ22</f>
        <v>88169.236367891499</v>
      </c>
      <c r="C60" s="516">
        <f>'2. TD Res HVAC install 2023'!AM22</f>
        <v>87937.031963868096</v>
      </c>
      <c r="D60" s="516">
        <v>0</v>
      </c>
      <c r="E60" s="516">
        <v>0</v>
      </c>
      <c r="F60" s="517">
        <f>SUM(B60:E60)</f>
        <v>176106.26833175961</v>
      </c>
    </row>
    <row r="61" spans="1:12" x14ac:dyDescent="0.25">
      <c r="A61" s="502" t="s">
        <v>209</v>
      </c>
      <c r="B61" s="516">
        <f>'2. TD Sm C&amp;I HVAC install 2022'!AZ22</f>
        <v>9144.2746205909225</v>
      </c>
      <c r="C61" s="516">
        <f>'2. TD Sm C&amp;I HVAC install 2023'!AM22</f>
        <v>23305.261574806831</v>
      </c>
      <c r="D61" s="516">
        <v>0</v>
      </c>
      <c r="E61" s="516">
        <v>0</v>
      </c>
      <c r="F61" s="517">
        <f>SUM(B61:E61)</f>
        <v>32449.536195397755</v>
      </c>
    </row>
    <row r="62" spans="1:12" x14ac:dyDescent="0.25">
      <c r="A62" s="502" t="s">
        <v>210</v>
      </c>
      <c r="B62" s="516">
        <f>'2. TD Lg C&amp;I Light install 2022'!AZ22</f>
        <v>190753.35049170669</v>
      </c>
      <c r="C62" s="516">
        <f>'2. TD Lg C&amp;I Light install 2023'!AM22</f>
        <v>84452.158589372993</v>
      </c>
      <c r="D62" s="516">
        <v>0</v>
      </c>
      <c r="E62" s="516">
        <v>0</v>
      </c>
      <c r="F62" s="517">
        <f>SUM(B62:E62)</f>
        <v>275205.50908107968</v>
      </c>
    </row>
    <row r="63" spans="1:12" ht="13.75" thickBot="1" x14ac:dyDescent="0.3">
      <c r="A63" s="502" t="s">
        <v>1</v>
      </c>
      <c r="B63" s="515">
        <f>SUM(B59:B62)</f>
        <v>321889.95455111354</v>
      </c>
      <c r="C63" s="515">
        <f t="shared" ref="C63" si="18">SUM(C59:C62)</f>
        <v>198216.19654990669</v>
      </c>
      <c r="D63" s="515">
        <f t="shared" ref="D63" si="19">SUM(D59:D62)</f>
        <v>0</v>
      </c>
      <c r="E63" s="515">
        <f t="shared" ref="E63:F63" si="20">SUM(E59:E62)</f>
        <v>0</v>
      </c>
      <c r="F63" s="515">
        <f t="shared" si="20"/>
        <v>520106.15110102028</v>
      </c>
      <c r="H63" s="15">
        <f>B63-SUM('2. TD Res Lighting install 2022'!$AZ$22,'2. TD Res HVAC install 2022'!$AZ$22,'2. TD Sm C&amp;I HVAC install 2022'!$AZ$22,'2. TD Lg C&amp;I Light install 2022'!$AZ$22)</f>
        <v>0</v>
      </c>
      <c r="I63" s="15">
        <f>C63-SUM('2. TD Res Lighting install 2023'!AM22,'2. TD Res HVAC install 2023'!AM22,'2. TD Sm C&amp;I HVAC install 2023'!AM22,'2. TD Lg C&amp;I Light install 2023'!AM22)</f>
        <v>0</v>
      </c>
    </row>
    <row r="64" spans="1:12" ht="13.75" thickTop="1" x14ac:dyDescent="0.25">
      <c r="A64" s="502" t="s">
        <v>22</v>
      </c>
      <c r="B64" s="509">
        <f>SUM(B59:B60)</f>
        <v>121992.32943881594</v>
      </c>
      <c r="C64" s="509">
        <f>SUM(C59:C60)</f>
        <v>90458.776385726873</v>
      </c>
      <c r="D64" s="509">
        <f>SUM(D59:D60)</f>
        <v>0</v>
      </c>
      <c r="E64" s="509">
        <f>SUM(E59:E60)</f>
        <v>0</v>
      </c>
      <c r="F64" s="509">
        <f>SUM(F59:F60)</f>
        <v>212451.10582454281</v>
      </c>
      <c r="H64" s="15"/>
      <c r="I64" s="15"/>
      <c r="J64" s="15"/>
      <c r="K64" s="15"/>
    </row>
    <row r="65" spans="1:12" x14ac:dyDescent="0.25">
      <c r="A65" s="502" t="s">
        <v>171</v>
      </c>
      <c r="B65" s="509">
        <f>SUM(B61:B62)</f>
        <v>199897.62511229762</v>
      </c>
      <c r="C65" s="509">
        <f>SUM(C61:C62)</f>
        <v>107757.42016417983</v>
      </c>
      <c r="D65" s="509">
        <f>SUM(D61:D62)</f>
        <v>0</v>
      </c>
      <c r="E65" s="509">
        <f>SUM(E61:E62)</f>
        <v>0</v>
      </c>
      <c r="F65" s="509">
        <f>SUM(F61:F62)</f>
        <v>307655.04527647747</v>
      </c>
      <c r="H65" s="15">
        <f>B63-SUM(B64:B65)</f>
        <v>0</v>
      </c>
      <c r="I65" s="15">
        <f>C63-SUM(C64:C65)</f>
        <v>0</v>
      </c>
      <c r="J65" s="15">
        <f>D63-SUM(D64:D65)</f>
        <v>0</v>
      </c>
      <c r="K65" s="15">
        <f>E63-SUM(E64:E65)</f>
        <v>0</v>
      </c>
    </row>
    <row r="67" spans="1:12" x14ac:dyDescent="0.25">
      <c r="A67" s="506" t="s">
        <v>217</v>
      </c>
    </row>
    <row r="68" spans="1:12" x14ac:dyDescent="0.25">
      <c r="A68" s="502" t="s">
        <v>133</v>
      </c>
      <c r="B68" s="512">
        <f>'2. TD Res Lighting install 2022'!BA22</f>
        <v>33823.093070924435</v>
      </c>
      <c r="C68" s="512">
        <f>'2. TD Res Lighting install 2023'!AN22</f>
        <v>5187.1433761154876</v>
      </c>
      <c r="D68" s="512">
        <f>'2. TD Res Lighting install 2024'!AA22</f>
        <v>5217.9293537048634</v>
      </c>
      <c r="E68" s="512">
        <v>0</v>
      </c>
      <c r="F68" s="513">
        <f>SUM(B68:E68)</f>
        <v>44228.165800744784</v>
      </c>
    </row>
    <row r="69" spans="1:12" x14ac:dyDescent="0.25">
      <c r="A69" s="502" t="s">
        <v>97</v>
      </c>
      <c r="B69" s="516">
        <f>'2. TD Res HVAC install 2022'!BA22</f>
        <v>88169.236367891499</v>
      </c>
      <c r="C69" s="516">
        <f>'2. TD Res HVAC install 2023'!AN22</f>
        <v>179952.34170764699</v>
      </c>
      <c r="D69" s="516">
        <f>'2. TD Res HVAC install 2024'!AA22</f>
        <v>86679.326867082404</v>
      </c>
      <c r="E69" s="516">
        <v>0</v>
      </c>
      <c r="F69" s="517">
        <f>SUM(B69:E69)</f>
        <v>354800.90494262089</v>
      </c>
    </row>
    <row r="70" spans="1:12" x14ac:dyDescent="0.25">
      <c r="A70" s="502" t="s">
        <v>209</v>
      </c>
      <c r="B70" s="516">
        <f>'2. TD Sm C&amp;I HVAC install 2022'!BA22</f>
        <v>9144.2746205909225</v>
      </c>
      <c r="C70" s="516">
        <f>'2. TD Sm C&amp;I HVAC install 2023'!AN22</f>
        <v>83684.146697446587</v>
      </c>
      <c r="D70" s="516">
        <f>'2. TD Sm C&amp;I HVAC install 2024'!AA22</f>
        <v>15022.211846190072</v>
      </c>
      <c r="E70" s="516">
        <v>0</v>
      </c>
      <c r="F70" s="517">
        <f>SUM(B70:E70)</f>
        <v>107850.63316422758</v>
      </c>
    </row>
    <row r="71" spans="1:12" x14ac:dyDescent="0.25">
      <c r="A71" s="502" t="s">
        <v>210</v>
      </c>
      <c r="B71" s="516">
        <f>'2. TD Lg C&amp;I Light install 2022'!BA22</f>
        <v>190753.35049170669</v>
      </c>
      <c r="C71" s="516">
        <f>'2. TD Lg C&amp;I Light install 2023'!AN22</f>
        <v>549748.26777731231</v>
      </c>
      <c r="D71" s="516">
        <f>'2. TD Lg C&amp;I Light install 2024'!AA22</f>
        <v>101362.78172978493</v>
      </c>
      <c r="E71" s="516">
        <v>0</v>
      </c>
      <c r="F71" s="517">
        <f>SUM(B71:E71)</f>
        <v>841864.39999880397</v>
      </c>
    </row>
    <row r="72" spans="1:12" ht="13.75" thickBot="1" x14ac:dyDescent="0.3">
      <c r="A72" s="502" t="s">
        <v>1</v>
      </c>
      <c r="B72" s="515">
        <f>SUM(B68:B71)</f>
        <v>321889.95455111354</v>
      </c>
      <c r="C72" s="515">
        <f t="shared" ref="C72" si="21">SUM(C68:C71)</f>
        <v>818571.89955852134</v>
      </c>
      <c r="D72" s="515">
        <f t="shared" ref="D72:F72" si="22">SUM(D68:D71)</f>
        <v>208282.24979676225</v>
      </c>
      <c r="E72" s="515">
        <f t="shared" si="22"/>
        <v>0</v>
      </c>
      <c r="F72" s="515">
        <f t="shared" si="22"/>
        <v>1348744.1039063972</v>
      </c>
      <c r="H72" s="15">
        <f>B72-SUM('2. TD Res Lighting install 2022'!$BA$22,'2. TD Res HVAC install 2022'!$BA$22,'2. TD Sm C&amp;I HVAC install 2022'!$BA$22,'2. TD Lg C&amp;I Light install 2022'!$BA$22)</f>
        <v>0</v>
      </c>
      <c r="I72" s="15">
        <f>C72-SUM('2. TD Res Lighting install 2023'!$AN$22,'2. TD Res HVAC install 2023'!$AN$22,'2. TD Sm C&amp;I HVAC install 2023'!$AN$22,'2. TD Lg C&amp;I Light install 2023'!$AN$22)</f>
        <v>0</v>
      </c>
      <c r="J72" s="15">
        <f>D72-SUM('2. TD Res Lighting install 2024'!$AA$22,'2. TD Res HVAC install 2024'!$AA$22,'2. TD Sm C&amp;I HVAC install 2024'!$AA$22,'2. TD Lg C&amp;I Light install 2024'!$AA$22)</f>
        <v>0</v>
      </c>
      <c r="K72" s="15"/>
      <c r="L72" s="524"/>
    </row>
    <row r="73" spans="1:12" ht="13.75" thickTop="1" x14ac:dyDescent="0.25">
      <c r="A73" s="502" t="s">
        <v>22</v>
      </c>
      <c r="B73" s="509">
        <f>SUM(B68:B69)</f>
        <v>121992.32943881594</v>
      </c>
      <c r="C73" s="509">
        <f t="shared" ref="C73:F73" si="23">SUM(C68:C69)</f>
        <v>185139.48508376247</v>
      </c>
      <c r="D73" s="509">
        <f t="shared" si="23"/>
        <v>91897.256220787269</v>
      </c>
      <c r="E73" s="509">
        <f t="shared" ref="E73" si="24">SUM(E68:E69)</f>
        <v>0</v>
      </c>
      <c r="F73" s="509">
        <f t="shared" si="23"/>
        <v>399029.07074336568</v>
      </c>
      <c r="H73" s="15"/>
      <c r="I73" s="15"/>
      <c r="J73" s="15"/>
      <c r="K73" s="15"/>
    </row>
    <row r="74" spans="1:12" x14ac:dyDescent="0.25">
      <c r="A74" s="502" t="s">
        <v>171</v>
      </c>
      <c r="B74" s="509">
        <f>SUM(B70:B71)</f>
        <v>199897.62511229762</v>
      </c>
      <c r="C74" s="509">
        <f t="shared" ref="C74:F74" si="25">SUM(C70:C71)</f>
        <v>633432.4144747589</v>
      </c>
      <c r="D74" s="509">
        <f t="shared" si="25"/>
        <v>116384.99357597499</v>
      </c>
      <c r="E74" s="509">
        <f t="shared" ref="E74" si="26">SUM(E70:E71)</f>
        <v>0</v>
      </c>
      <c r="F74" s="509">
        <f t="shared" si="25"/>
        <v>949715.03316303156</v>
      </c>
      <c r="H74" s="15">
        <f>B72-SUM(B73:B74)</f>
        <v>0</v>
      </c>
      <c r="I74" s="15">
        <f t="shared" ref="I74" si="27">C72-SUM(C73:C74)</f>
        <v>0</v>
      </c>
      <c r="J74" s="15">
        <f t="shared" ref="J74:K74" si="28">D72-SUM(D73:D74)</f>
        <v>0</v>
      </c>
      <c r="K74" s="15">
        <f t="shared" si="28"/>
        <v>0</v>
      </c>
    </row>
    <row r="76" spans="1:12" x14ac:dyDescent="0.25">
      <c r="A76" s="506" t="s">
        <v>243</v>
      </c>
    </row>
    <row r="77" spans="1:12" x14ac:dyDescent="0.25">
      <c r="A77" s="502" t="s">
        <v>133</v>
      </c>
      <c r="B77" s="512">
        <f>'2. TD Res Lighting install 2022'!BB22</f>
        <v>33823.093070924435</v>
      </c>
      <c r="C77" s="512">
        <f>'2. TD Res Lighting install 2023'!AO22</f>
        <v>5187.1433761154876</v>
      </c>
      <c r="D77" s="512">
        <f>'2. TD Res Lighting install 2024'!AB22</f>
        <v>12838.542065256095</v>
      </c>
      <c r="E77" s="512">
        <f>'2. (Open) 2025'!O22</f>
        <v>0</v>
      </c>
      <c r="F77" s="513">
        <f>SUM(B77:E77)</f>
        <v>51848.778512296012</v>
      </c>
    </row>
    <row r="78" spans="1:12" x14ac:dyDescent="0.25">
      <c r="A78" s="502" t="s">
        <v>97</v>
      </c>
      <c r="B78" s="516">
        <f>'2. TD Res HVAC install 2022'!BB22</f>
        <v>88169.236367891499</v>
      </c>
      <c r="C78" s="516">
        <f>'2. TD Res HVAC install 2023'!AO22</f>
        <v>179952.34170764699</v>
      </c>
      <c r="D78" s="516">
        <f>'2. TD Res HVAC install 2024'!AB22</f>
        <v>196682.30629991251</v>
      </c>
      <c r="E78" s="516">
        <f>'2. TD Res THM install 2025'!O22</f>
        <v>139348.32108569419</v>
      </c>
      <c r="F78" s="517">
        <f>SUM(B78:E78)</f>
        <v>604152.20546114515</v>
      </c>
    </row>
    <row r="79" spans="1:12" x14ac:dyDescent="0.25">
      <c r="A79" s="502" t="s">
        <v>209</v>
      </c>
      <c r="B79" s="516">
        <f>'2. TD Sm C&amp;I HVAC install 2022'!BB22</f>
        <v>9144.2746205909225</v>
      </c>
      <c r="C79" s="516">
        <f>'2. TD Sm C&amp;I HVAC install 2023'!AO22</f>
        <v>83684.146697446587</v>
      </c>
      <c r="D79" s="516">
        <f>'2. TD Sm C&amp;I HVAC install 2024'!AB22</f>
        <v>66435.305598079649</v>
      </c>
      <c r="E79" s="516">
        <f>'2. TD C&amp;I Rebate GS install2025'!O22</f>
        <v>85705.961417110811</v>
      </c>
      <c r="F79" s="517">
        <f>SUM(B79:E79)</f>
        <v>244969.68833322797</v>
      </c>
    </row>
    <row r="80" spans="1:12" x14ac:dyDescent="0.25">
      <c r="A80" s="502" t="s">
        <v>210</v>
      </c>
      <c r="B80" s="516">
        <f>'2. TD Lg C&amp;I Light install 2022'!BB22</f>
        <v>190753.35049170669</v>
      </c>
      <c r="C80" s="516">
        <f>'2. TD Lg C&amp;I Light install 2023'!AO22</f>
        <v>549748.26777731231</v>
      </c>
      <c r="D80" s="516">
        <f>'2. TD Lg C&amp;I Light install 2024'!AB22</f>
        <v>511015.77214839542</v>
      </c>
      <c r="E80" s="516">
        <f>'2. TD C&amp;I RebateLGS install2025'!O22</f>
        <v>129901.16485687379</v>
      </c>
      <c r="F80" s="517">
        <f>SUM(B80:E80)</f>
        <v>1381418.5552742882</v>
      </c>
    </row>
    <row r="81" spans="1:12" ht="13.75" thickBot="1" x14ac:dyDescent="0.3">
      <c r="A81" s="502" t="s">
        <v>1</v>
      </c>
      <c r="B81" s="515">
        <f>SUM(B77:B80)</f>
        <v>321889.95455111354</v>
      </c>
      <c r="C81" s="515">
        <f t="shared" ref="C81:E81" si="29">SUM(C77:C80)</f>
        <v>818571.89955852134</v>
      </c>
      <c r="D81" s="515">
        <f t="shared" si="29"/>
        <v>786971.92611164367</v>
      </c>
      <c r="E81" s="515">
        <f t="shared" si="29"/>
        <v>354955.4473596788</v>
      </c>
      <c r="F81" s="515">
        <f t="shared" ref="F81" si="30">SUM(F77:F80)</f>
        <v>2282389.2275809571</v>
      </c>
      <c r="H81" s="15">
        <f>B81-SUM('2. TD Res Lighting install 2022'!$BA$22,'2. TD Res HVAC install 2022'!$BA$22,'2. TD Sm C&amp;I HVAC install 2022'!$BA$22,'2. TD Lg C&amp;I Light install 2022'!$BA$22)</f>
        <v>0</v>
      </c>
      <c r="I81" s="15">
        <f>C81-SUM('2. TD Res Lighting install 2023'!$AN$22,'2. TD Res HVAC install 2023'!$AN$22,'2. TD Sm C&amp;I HVAC install 2023'!$AN$22,'2. TD Lg C&amp;I Light install 2023'!$AN$22)</f>
        <v>0</v>
      </c>
      <c r="J81" s="15">
        <f>D81-SUM('2. TD Res Lighting install 2024'!$AB$22,'2. TD Res HVAC install 2024'!$AB$22,'2. TD Sm C&amp;I HVAC install 2024'!$AB$22,'2. TD Lg C&amp;I Light install 2024'!$AB$22)</f>
        <v>0</v>
      </c>
      <c r="K81" s="15">
        <f>E81-SUM('2. (Open) 2025'!$O$22,'2. TD Res THM install 2025'!$O$22,'2. TD C&amp;I Rebate GS install2025'!$O$22,'2. TD C&amp;I RebateLGS install2025'!$O$22)</f>
        <v>0</v>
      </c>
      <c r="L81" s="524"/>
    </row>
    <row r="82" spans="1:12" ht="13.75" thickTop="1" x14ac:dyDescent="0.25">
      <c r="A82" s="502" t="s">
        <v>22</v>
      </c>
      <c r="B82" s="509">
        <f>SUM(B77:B78)</f>
        <v>121992.32943881594</v>
      </c>
      <c r="C82" s="509">
        <f t="shared" ref="C82:F82" si="31">SUM(C77:C78)</f>
        <v>185139.48508376247</v>
      </c>
      <c r="D82" s="509">
        <f t="shared" si="31"/>
        <v>209520.84836516861</v>
      </c>
      <c r="E82" s="509">
        <f t="shared" si="31"/>
        <v>139348.32108569419</v>
      </c>
      <c r="F82" s="509">
        <f t="shared" si="31"/>
        <v>656000.98397344118</v>
      </c>
      <c r="H82" s="15"/>
      <c r="I82" s="15"/>
      <c r="J82" s="15"/>
      <c r="K82" s="15"/>
    </row>
    <row r="83" spans="1:12" x14ac:dyDescent="0.25">
      <c r="A83" s="502" t="s">
        <v>171</v>
      </c>
      <c r="B83" s="509">
        <f>SUM(B79:B80)</f>
        <v>199897.62511229762</v>
      </c>
      <c r="C83" s="509">
        <f t="shared" ref="C83:F83" si="32">SUM(C79:C80)</f>
        <v>633432.4144747589</v>
      </c>
      <c r="D83" s="509">
        <f t="shared" si="32"/>
        <v>577451.07774647512</v>
      </c>
      <c r="E83" s="509">
        <f t="shared" si="32"/>
        <v>215607.12627398461</v>
      </c>
      <c r="F83" s="509">
        <f t="shared" si="32"/>
        <v>1626388.2436075162</v>
      </c>
      <c r="H83" s="15">
        <f>B81-SUM(B82:B83)</f>
        <v>0</v>
      </c>
      <c r="I83" s="15">
        <f t="shared" ref="I83" si="33">C81-SUM(C82:C83)</f>
        <v>0</v>
      </c>
      <c r="J83" s="15">
        <f t="shared" ref="J83:K83" si="34">D81-SUM(D82:D83)</f>
        <v>0</v>
      </c>
      <c r="K83" s="15">
        <f t="shared" si="34"/>
        <v>0</v>
      </c>
    </row>
    <row r="85" spans="1:12" x14ac:dyDescent="0.25">
      <c r="A85" s="506" t="s">
        <v>218</v>
      </c>
    </row>
    <row r="86" spans="1:12" x14ac:dyDescent="0.25">
      <c r="A86" s="502" t="s">
        <v>133</v>
      </c>
      <c r="B86" s="520">
        <f t="shared" ref="B86:F90" si="35">IFERROR(B50/B14,0)</f>
        <v>8.503271134612421E-2</v>
      </c>
      <c r="C86" s="520">
        <f t="shared" si="35"/>
        <v>0</v>
      </c>
      <c r="D86" s="520">
        <f t="shared" si="35"/>
        <v>0</v>
      </c>
      <c r="E86" s="520">
        <f t="shared" si="35"/>
        <v>0</v>
      </c>
      <c r="F86" s="520">
        <f t="shared" si="35"/>
        <v>8.503271134612421E-2</v>
      </c>
    </row>
    <row r="87" spans="1:12" x14ac:dyDescent="0.25">
      <c r="A87" s="502" t="s">
        <v>97</v>
      </c>
      <c r="B87" s="521">
        <f t="shared" si="35"/>
        <v>9.1549422919137494E-2</v>
      </c>
      <c r="C87" s="521">
        <f t="shared" si="35"/>
        <v>0</v>
      </c>
      <c r="D87" s="521">
        <f t="shared" si="35"/>
        <v>0</v>
      </c>
      <c r="E87" s="521">
        <f t="shared" si="35"/>
        <v>0</v>
      </c>
      <c r="F87" s="521">
        <f t="shared" si="35"/>
        <v>9.1549422919137494E-2</v>
      </c>
    </row>
    <row r="88" spans="1:12" x14ac:dyDescent="0.25">
      <c r="A88" s="502" t="s">
        <v>209</v>
      </c>
      <c r="B88" s="521">
        <f t="shared" si="35"/>
        <v>7.8716556943374053E-2</v>
      </c>
      <c r="C88" s="521">
        <f t="shared" si="35"/>
        <v>0</v>
      </c>
      <c r="D88" s="521">
        <f t="shared" si="35"/>
        <v>0</v>
      </c>
      <c r="E88" s="521">
        <f t="shared" si="35"/>
        <v>0</v>
      </c>
      <c r="F88" s="521">
        <f t="shared" si="35"/>
        <v>7.8716556943374053E-2</v>
      </c>
    </row>
    <row r="89" spans="1:12" x14ac:dyDescent="0.25">
      <c r="A89" s="502" t="s">
        <v>210</v>
      </c>
      <c r="B89" s="521">
        <f t="shared" si="35"/>
        <v>3.3637892778807604E-2</v>
      </c>
      <c r="C89" s="521">
        <f t="shared" si="35"/>
        <v>0</v>
      </c>
      <c r="D89" s="521">
        <f t="shared" si="35"/>
        <v>0</v>
      </c>
      <c r="E89" s="521">
        <f t="shared" si="35"/>
        <v>0</v>
      </c>
      <c r="F89" s="521">
        <f t="shared" si="35"/>
        <v>3.3637892778807604E-2</v>
      </c>
    </row>
    <row r="90" spans="1:12" ht="13.75" thickBot="1" x14ac:dyDescent="0.3">
      <c r="A90" s="502" t="s">
        <v>1</v>
      </c>
      <c r="B90" s="522">
        <f t="shared" si="35"/>
        <v>3.8849383386695267E-2</v>
      </c>
      <c r="C90" s="522">
        <f t="shared" si="35"/>
        <v>0</v>
      </c>
      <c r="D90" s="522">
        <f t="shared" si="35"/>
        <v>0</v>
      </c>
      <c r="E90" s="522">
        <f t="shared" si="35"/>
        <v>0</v>
      </c>
      <c r="F90" s="522">
        <f t="shared" si="35"/>
        <v>3.8849383386695267E-2</v>
      </c>
    </row>
    <row r="91" spans="1:12" ht="13.75" thickTop="1" x14ac:dyDescent="0.25">
      <c r="A91" s="502" t="s">
        <v>22</v>
      </c>
      <c r="B91" s="521">
        <f>IFERROR(B55/B19,0)</f>
        <v>9.0827764115915546E-2</v>
      </c>
      <c r="C91" s="509"/>
      <c r="D91" s="509"/>
      <c r="E91" s="509"/>
      <c r="F91" s="521">
        <f>IFERROR(F55/F19,0)</f>
        <v>9.0827764115915546E-2</v>
      </c>
      <c r="H91" s="15"/>
      <c r="I91" s="15"/>
      <c r="J91" s="15"/>
      <c r="K91" s="15"/>
    </row>
    <row r="92" spans="1:12" x14ac:dyDescent="0.25">
      <c r="A92" s="502" t="s">
        <v>171</v>
      </c>
      <c r="B92" s="521">
        <f>IFERROR(B56/B20,0)</f>
        <v>3.3714459853528431E-2</v>
      </c>
      <c r="C92" s="509"/>
      <c r="D92" s="509"/>
      <c r="E92" s="509"/>
      <c r="F92" s="521">
        <f>IFERROR(F56/F20,0)</f>
        <v>3.3714459853528431E-2</v>
      </c>
      <c r="H92" s="15"/>
      <c r="I92" s="15"/>
      <c r="J92" s="15"/>
      <c r="K92" s="15"/>
    </row>
    <row r="93" spans="1:12" x14ac:dyDescent="0.25">
      <c r="B93" s="514"/>
      <c r="C93" s="514"/>
      <c r="D93" s="514"/>
      <c r="E93" s="514"/>
    </row>
    <row r="94" spans="1:12" x14ac:dyDescent="0.25">
      <c r="A94" s="506" t="s">
        <v>219</v>
      </c>
    </row>
    <row r="95" spans="1:12" x14ac:dyDescent="0.25">
      <c r="A95" s="502" t="s">
        <v>133</v>
      </c>
      <c r="B95" s="520">
        <f t="shared" ref="B95:F99" si="36">IFERROR(B59/B23,0)</f>
        <v>9.0160706993979448E-2</v>
      </c>
      <c r="C95" s="520">
        <f t="shared" si="36"/>
        <v>9.3644380916066375E-2</v>
      </c>
      <c r="D95" s="520">
        <f t="shared" si="36"/>
        <v>0</v>
      </c>
      <c r="E95" s="520">
        <f t="shared" si="36"/>
        <v>0</v>
      </c>
      <c r="F95" s="520">
        <f t="shared" si="36"/>
        <v>9.0394028005920293E-2</v>
      </c>
    </row>
    <row r="96" spans="1:12" x14ac:dyDescent="0.25">
      <c r="A96" s="502" t="s">
        <v>97</v>
      </c>
      <c r="B96" s="521">
        <f t="shared" si="36"/>
        <v>9.2672715627729441E-2</v>
      </c>
      <c r="C96" s="521">
        <f t="shared" si="36"/>
        <v>9.3847903624303328E-2</v>
      </c>
      <c r="D96" s="521">
        <f t="shared" si="36"/>
        <v>0</v>
      </c>
      <c r="E96" s="521">
        <f t="shared" si="36"/>
        <v>0</v>
      </c>
      <c r="F96" s="521">
        <f t="shared" si="36"/>
        <v>9.3255832710143705E-2</v>
      </c>
    </row>
    <row r="97" spans="1:11" x14ac:dyDescent="0.25">
      <c r="A97" s="502" t="s">
        <v>209</v>
      </c>
      <c r="B97" s="521">
        <f t="shared" si="36"/>
        <v>8.2415006404374103E-2</v>
      </c>
      <c r="C97" s="521">
        <f t="shared" si="36"/>
        <v>8.2716221766034118E-2</v>
      </c>
      <c r="D97" s="521">
        <f t="shared" si="36"/>
        <v>0</v>
      </c>
      <c r="E97" s="521">
        <f t="shared" si="36"/>
        <v>0</v>
      </c>
      <c r="F97" s="521">
        <f t="shared" si="36"/>
        <v>8.2631116740048555E-2</v>
      </c>
    </row>
    <row r="98" spans="1:11" x14ac:dyDescent="0.25">
      <c r="A98" s="502" t="s">
        <v>210</v>
      </c>
      <c r="B98" s="521">
        <f t="shared" si="36"/>
        <v>3.7716588640394906E-2</v>
      </c>
      <c r="C98" s="521">
        <f t="shared" si="36"/>
        <v>3.7704926107811849E-2</v>
      </c>
      <c r="D98" s="521">
        <f t="shared" si="36"/>
        <v>0</v>
      </c>
      <c r="E98" s="521">
        <f t="shared" si="36"/>
        <v>0</v>
      </c>
      <c r="F98" s="521">
        <f t="shared" si="36"/>
        <v>3.7713008998419784E-2</v>
      </c>
    </row>
    <row r="99" spans="1:11" ht="13.75" thickBot="1" x14ac:dyDescent="0.3">
      <c r="A99" s="502" t="s">
        <v>1</v>
      </c>
      <c r="B99" s="522">
        <f t="shared" si="36"/>
        <v>4.9559303908019381E-2</v>
      </c>
      <c r="C99" s="522">
        <f t="shared" si="36"/>
        <v>5.6868591907233687E-2</v>
      </c>
      <c r="D99" s="522">
        <f t="shared" si="36"/>
        <v>0</v>
      </c>
      <c r="E99" s="522">
        <f t="shared" si="36"/>
        <v>0</v>
      </c>
      <c r="F99" s="522">
        <f t="shared" si="36"/>
        <v>5.2111928154023948E-2</v>
      </c>
    </row>
    <row r="100" spans="1:11" ht="13.75" thickTop="1" x14ac:dyDescent="0.25">
      <c r="A100" s="502" t="s">
        <v>22</v>
      </c>
      <c r="B100" s="521">
        <f>IFERROR(B64/B28,0)</f>
        <v>9.1962329325641273E-2</v>
      </c>
      <c r="C100" s="521">
        <f>IFERROR(C64/C28,0)</f>
        <v>9.3842217978854184E-2</v>
      </c>
      <c r="D100" s="509"/>
      <c r="E100" s="509"/>
      <c r="F100" s="521">
        <f>IFERROR(F64/F28,0)</f>
        <v>9.2753473726825575E-2</v>
      </c>
      <c r="H100" s="15"/>
      <c r="I100" s="15"/>
      <c r="J100" s="15"/>
      <c r="K100" s="15"/>
    </row>
    <row r="101" spans="1:11" x14ac:dyDescent="0.25">
      <c r="A101" s="502" t="s">
        <v>171</v>
      </c>
      <c r="B101" s="521">
        <f>IFERROR(B65/B29,0)</f>
        <v>3.8676145387322773E-2</v>
      </c>
      <c r="C101" s="521">
        <f>IFERROR(C65/C29,0)</f>
        <v>4.2734303850328698E-2</v>
      </c>
      <c r="D101" s="509"/>
      <c r="E101" s="509"/>
      <c r="F101" s="521">
        <f>IFERROR(F65/F29,0)</f>
        <v>4.0006812623262264E-2</v>
      </c>
      <c r="H101" s="15"/>
      <c r="I101" s="15"/>
      <c r="J101" s="15"/>
      <c r="K101" s="15"/>
    </row>
    <row r="103" spans="1:11" x14ac:dyDescent="0.25">
      <c r="A103" s="506" t="s">
        <v>220</v>
      </c>
    </row>
    <row r="104" spans="1:11" x14ac:dyDescent="0.25">
      <c r="A104" s="502" t="s">
        <v>133</v>
      </c>
      <c r="B104" s="520">
        <f t="shared" ref="B104:F110" si="37">IFERROR(B68/B32,0)</f>
        <v>9.0160706993979448E-2</v>
      </c>
      <c r="C104" s="520">
        <f t="shared" si="37"/>
        <v>9.0160706993979406E-2</v>
      </c>
      <c r="D104" s="520">
        <f t="shared" si="37"/>
        <v>9.2328022756834299E-2</v>
      </c>
      <c r="E104" s="520">
        <f t="shared" si="37"/>
        <v>0</v>
      </c>
      <c r="F104" s="520">
        <f t="shared" si="37"/>
        <v>9.04110927613994E-2</v>
      </c>
    </row>
    <row r="105" spans="1:11" x14ac:dyDescent="0.25">
      <c r="A105" s="502" t="s">
        <v>97</v>
      </c>
      <c r="B105" s="521">
        <f t="shared" si="37"/>
        <v>9.2672715627729441E-2</v>
      </c>
      <c r="C105" s="521">
        <f t="shared" si="37"/>
        <v>9.2672715627729427E-2</v>
      </c>
      <c r="D105" s="521">
        <f t="shared" si="37"/>
        <v>9.4608340249419109E-2</v>
      </c>
      <c r="E105" s="521">
        <f t="shared" si="37"/>
        <v>0</v>
      </c>
      <c r="F105" s="521">
        <f t="shared" si="37"/>
        <v>9.3138248757663439E-2</v>
      </c>
    </row>
    <row r="106" spans="1:11" x14ac:dyDescent="0.25">
      <c r="A106" s="502" t="s">
        <v>209</v>
      </c>
      <c r="B106" s="521">
        <f t="shared" si="37"/>
        <v>8.2415006404374103E-2</v>
      </c>
      <c r="C106" s="521">
        <f t="shared" si="37"/>
        <v>8.2415006404374061E-2</v>
      </c>
      <c r="D106" s="521">
        <f t="shared" si="37"/>
        <v>8.2282710379215945E-2</v>
      </c>
      <c r="E106" s="521">
        <f t="shared" si="37"/>
        <v>0</v>
      </c>
      <c r="F106" s="521">
        <f t="shared" si="37"/>
        <v>8.2396553767391939E-2</v>
      </c>
    </row>
    <row r="107" spans="1:11" x14ac:dyDescent="0.25">
      <c r="A107" s="502" t="s">
        <v>210</v>
      </c>
      <c r="B107" s="521">
        <f t="shared" si="37"/>
        <v>3.7716588640394906E-2</v>
      </c>
      <c r="C107" s="521">
        <f t="shared" si="37"/>
        <v>3.7716588640394892E-2</v>
      </c>
      <c r="D107" s="521">
        <f t="shared" si="37"/>
        <v>3.7711717223344939E-2</v>
      </c>
      <c r="E107" s="521">
        <f t="shared" si="37"/>
        <v>0</v>
      </c>
      <c r="F107" s="521">
        <f t="shared" si="37"/>
        <v>3.7716002041785129E-2</v>
      </c>
    </row>
    <row r="108" spans="1:11" ht="13.75" thickBot="1" x14ac:dyDescent="0.3">
      <c r="A108" s="502" t="s">
        <v>1</v>
      </c>
      <c r="B108" s="522">
        <f t="shared" si="37"/>
        <v>4.9559303908019381E-2</v>
      </c>
      <c r="C108" s="522">
        <f t="shared" si="37"/>
        <v>4.6534871651263195E-2</v>
      </c>
      <c r="D108" s="522">
        <f t="shared" si="37"/>
        <v>5.4196316281285517E-2</v>
      </c>
      <c r="E108" s="522">
        <f t="shared" si="37"/>
        <v>0</v>
      </c>
      <c r="F108" s="522">
        <f t="shared" si="37"/>
        <v>4.8292477711133541E-2</v>
      </c>
    </row>
    <row r="109" spans="1:11" ht="13.75" thickTop="1" x14ac:dyDescent="0.25">
      <c r="A109" s="502" t="s">
        <v>22</v>
      </c>
      <c r="B109" s="521">
        <f t="shared" si="37"/>
        <v>9.1962329325641273E-2</v>
      </c>
      <c r="C109" s="521">
        <f t="shared" si="37"/>
        <v>9.2600430986803289E-2</v>
      </c>
      <c r="D109" s="521">
        <f t="shared" si="37"/>
        <v>9.4475851729140761E-2</v>
      </c>
      <c r="E109" s="521">
        <f t="shared" si="37"/>
        <v>0</v>
      </c>
      <c r="F109" s="521">
        <f t="shared" si="37"/>
        <v>9.2827892045043006E-2</v>
      </c>
      <c r="H109" s="15"/>
      <c r="I109" s="15"/>
      <c r="J109" s="15"/>
      <c r="K109" s="15"/>
    </row>
    <row r="110" spans="1:11" x14ac:dyDescent="0.25">
      <c r="A110" s="502" t="s">
        <v>171</v>
      </c>
      <c r="B110" s="521">
        <f t="shared" si="37"/>
        <v>3.8676145387322773E-2</v>
      </c>
      <c r="C110" s="521">
        <f t="shared" si="37"/>
        <v>4.0627643536283793E-2</v>
      </c>
      <c r="D110" s="521">
        <f t="shared" si="37"/>
        <v>4.0546599684793939E-2</v>
      </c>
      <c r="E110" s="521">
        <f t="shared" si="37"/>
        <v>0</v>
      </c>
      <c r="F110" s="521">
        <f t="shared" si="37"/>
        <v>4.0190956476987401E-2</v>
      </c>
      <c r="H110" s="15"/>
      <c r="I110" s="15"/>
      <c r="J110" s="15"/>
      <c r="K110" s="15"/>
    </row>
    <row r="112" spans="1:11" x14ac:dyDescent="0.25">
      <c r="A112" s="506" t="s">
        <v>254</v>
      </c>
    </row>
    <row r="113" spans="1:6" x14ac:dyDescent="0.25">
      <c r="A113" s="502" t="s">
        <v>133</v>
      </c>
      <c r="B113" s="520">
        <f t="shared" ref="B113:F117" si="38">IFERROR(B77/B41,0)</f>
        <v>9.0160706993979448E-2</v>
      </c>
      <c r="C113" s="520">
        <f t="shared" si="38"/>
        <v>9.0160706993979406E-2</v>
      </c>
      <c r="D113" s="520">
        <f t="shared" si="38"/>
        <v>9.0160706993979434E-2</v>
      </c>
      <c r="E113" s="520">
        <f t="shared" si="38"/>
        <v>0</v>
      </c>
      <c r="F113" s="520">
        <f t="shared" si="38"/>
        <v>9.016070699397942E-2</v>
      </c>
    </row>
    <row r="114" spans="1:6" x14ac:dyDescent="0.25">
      <c r="A114" s="502" t="s">
        <v>97</v>
      </c>
      <c r="B114" s="521">
        <f t="shared" si="38"/>
        <v>9.2672715627729441E-2</v>
      </c>
      <c r="C114" s="521">
        <f t="shared" si="38"/>
        <v>9.2672715627729427E-2</v>
      </c>
      <c r="D114" s="521">
        <f t="shared" si="38"/>
        <v>9.2672715627729427E-2</v>
      </c>
      <c r="E114" s="521">
        <f t="shared" si="38"/>
        <v>9.4326571535973791E-2</v>
      </c>
      <c r="F114" s="521">
        <f t="shared" si="38"/>
        <v>9.3049012634674549E-2</v>
      </c>
    </row>
    <row r="115" spans="1:6" x14ac:dyDescent="0.25">
      <c r="A115" s="502" t="s">
        <v>209</v>
      </c>
      <c r="B115" s="521">
        <f t="shared" si="38"/>
        <v>8.2415006404374103E-2</v>
      </c>
      <c r="C115" s="521">
        <f t="shared" si="38"/>
        <v>8.2415006404374061E-2</v>
      </c>
      <c r="D115" s="521">
        <f t="shared" si="38"/>
        <v>8.2415006404374075E-2</v>
      </c>
      <c r="E115" s="521">
        <f t="shared" si="38"/>
        <v>8.3162631820293445E-2</v>
      </c>
      <c r="F115" s="521">
        <f t="shared" si="38"/>
        <v>8.267503967926558E-2</v>
      </c>
    </row>
    <row r="116" spans="1:6" x14ac:dyDescent="0.25">
      <c r="A116" s="502" t="s">
        <v>210</v>
      </c>
      <c r="B116" s="521">
        <f t="shared" si="38"/>
        <v>3.7716588640394906E-2</v>
      </c>
      <c r="C116" s="521">
        <f t="shared" si="38"/>
        <v>3.7716588640394892E-2</v>
      </c>
      <c r="D116" s="521">
        <f t="shared" si="38"/>
        <v>3.7716588640394906E-2</v>
      </c>
      <c r="E116" s="521">
        <f t="shared" si="38"/>
        <v>3.7749430885650428E-2</v>
      </c>
      <c r="F116" s="521">
        <f t="shared" si="38"/>
        <v>3.7719674513961118E-2</v>
      </c>
    </row>
    <row r="117" spans="1:6" ht="13.75" thickBot="1" x14ac:dyDescent="0.3">
      <c r="A117" s="502" t="s">
        <v>1</v>
      </c>
      <c r="B117" s="522">
        <f t="shared" si="38"/>
        <v>4.9559303908019381E-2</v>
      </c>
      <c r="C117" s="522">
        <f t="shared" si="38"/>
        <v>4.6534871651263195E-2</v>
      </c>
      <c r="D117" s="522">
        <f t="shared" si="38"/>
        <v>4.7351841709403437E-2</v>
      </c>
      <c r="E117" s="522">
        <f t="shared" si="38"/>
        <v>5.9666189893708491E-2</v>
      </c>
      <c r="F117" s="522">
        <f t="shared" si="38"/>
        <v>4.8921366203661686E-2</v>
      </c>
    </row>
    <row r="118" spans="1:6" ht="13.75" thickTop="1" x14ac:dyDescent="0.25">
      <c r="A118" s="502" t="s">
        <v>22</v>
      </c>
      <c r="B118" s="521">
        <f t="shared" ref="B118:F119" si="39">IFERROR(B83/B46,0)</f>
        <v>0.15069022221770537</v>
      </c>
      <c r="C118" s="521">
        <f t="shared" si="39"/>
        <v>0.31682120404967296</v>
      </c>
      <c r="D118" s="521">
        <f t="shared" si="39"/>
        <v>0.25497584107764609</v>
      </c>
      <c r="E118" s="521">
        <f t="shared" si="39"/>
        <v>0.14594708326368661</v>
      </c>
      <c r="F118" s="521">
        <f t="shared" si="39"/>
        <v>0.2301088226902519</v>
      </c>
    </row>
    <row r="119" spans="1:6" x14ac:dyDescent="0.25">
      <c r="A119" s="502" t="s">
        <v>171</v>
      </c>
      <c r="B119" s="521">
        <f t="shared" si="39"/>
        <v>0</v>
      </c>
      <c r="C119" s="521">
        <f t="shared" si="39"/>
        <v>0</v>
      </c>
      <c r="D119" s="521">
        <f t="shared" si="39"/>
        <v>0</v>
      </c>
      <c r="E119" s="521">
        <f t="shared" si="39"/>
        <v>0</v>
      </c>
      <c r="F119" s="521">
        <f t="shared" si="39"/>
        <v>0</v>
      </c>
    </row>
  </sheetData>
  <pageMargins left="0.7" right="0.7" top="0.75" bottom="0.75" header="0.3" footer="0.3"/>
  <pageSetup orientation="portrait" r:id="rId1"/>
  <ignoredErrors>
    <ignoredError sqref="C19:D20 D28:D29 C55:D56 D64:D65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60185-2E1C-4396-A4D9-1CC5FB499213}">
  <sheetPr codeName="Sheet6"/>
  <dimension ref="A1:BB66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12.7109375" defaultRowHeight="13.1" x14ac:dyDescent="0.25"/>
  <cols>
    <col min="1" max="1" width="30.7109375" style="22" customWidth="1"/>
    <col min="2" max="2" width="12.7109375" style="22"/>
    <col min="3" max="16384" width="12.7109375" style="17"/>
  </cols>
  <sheetData>
    <row r="1" spans="1:54" x14ac:dyDescent="0.25">
      <c r="A1" s="168" t="str">
        <f>Company_Filing</f>
        <v>2025 MEEIA Filing</v>
      </c>
      <c r="B1" s="272"/>
      <c r="C1" s="760" t="s">
        <v>226</v>
      </c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760" t="s">
        <v>227</v>
      </c>
      <c r="P1" s="760"/>
      <c r="Q1" s="760"/>
      <c r="R1" s="760"/>
      <c r="S1" s="760"/>
      <c r="T1" s="760"/>
      <c r="U1" s="760"/>
      <c r="V1" s="760"/>
      <c r="W1" s="760"/>
      <c r="X1" s="760"/>
      <c r="Y1" s="760"/>
      <c r="Z1" s="760"/>
      <c r="AA1" s="760" t="s">
        <v>244</v>
      </c>
      <c r="AB1" s="760"/>
      <c r="AC1" s="760"/>
      <c r="AD1" s="760"/>
      <c r="AE1" s="760"/>
      <c r="AF1" s="760"/>
      <c r="AG1" s="760"/>
      <c r="AH1" s="760"/>
      <c r="AI1" s="760"/>
      <c r="AJ1" s="760"/>
      <c r="AK1" s="760"/>
      <c r="AL1" s="760"/>
      <c r="AM1" s="760" t="s">
        <v>245</v>
      </c>
      <c r="AN1" s="760"/>
      <c r="AO1" s="760"/>
      <c r="AP1" s="760"/>
      <c r="AQ1" s="760"/>
      <c r="AR1" s="760"/>
      <c r="AS1" s="760"/>
      <c r="AT1" s="760"/>
      <c r="AU1" s="760"/>
      <c r="AV1" s="760"/>
      <c r="AW1" s="760"/>
      <c r="AX1" s="760"/>
      <c r="AY1" s="313" t="s">
        <v>221</v>
      </c>
      <c r="AZ1" s="313" t="s">
        <v>221</v>
      </c>
      <c r="BA1" s="313" t="s">
        <v>221</v>
      </c>
      <c r="BB1" s="389" t="s">
        <v>222</v>
      </c>
    </row>
    <row r="2" spans="1:54" x14ac:dyDescent="0.25">
      <c r="A2" s="87" t="s">
        <v>183</v>
      </c>
      <c r="B2" s="273"/>
      <c r="C2" s="215">
        <v>44562</v>
      </c>
      <c r="D2" s="215">
        <v>44593</v>
      </c>
      <c r="E2" s="215">
        <v>44621</v>
      </c>
      <c r="F2" s="215">
        <v>44652</v>
      </c>
      <c r="G2" s="215">
        <v>44682</v>
      </c>
      <c r="H2" s="215">
        <v>44713</v>
      </c>
      <c r="I2" s="215">
        <v>44743</v>
      </c>
      <c r="J2" s="215">
        <v>44774</v>
      </c>
      <c r="K2" s="215">
        <v>44805</v>
      </c>
      <c r="L2" s="215">
        <v>44835</v>
      </c>
      <c r="M2" s="215">
        <v>44866</v>
      </c>
      <c r="N2" s="215">
        <v>44896</v>
      </c>
      <c r="O2" s="215">
        <v>44927</v>
      </c>
      <c r="P2" s="215">
        <v>44958</v>
      </c>
      <c r="Q2" s="215">
        <v>44986</v>
      </c>
      <c r="R2" s="215">
        <v>45017</v>
      </c>
      <c r="S2" s="215">
        <v>45047</v>
      </c>
      <c r="T2" s="215">
        <v>45078</v>
      </c>
      <c r="U2" s="215">
        <v>45108</v>
      </c>
      <c r="V2" s="215">
        <v>45139</v>
      </c>
      <c r="W2" s="215">
        <v>45170</v>
      </c>
      <c r="X2" s="215">
        <v>45200</v>
      </c>
      <c r="Y2" s="215">
        <v>45231</v>
      </c>
      <c r="Z2" s="215">
        <v>45261</v>
      </c>
      <c r="AA2" s="215">
        <v>45292</v>
      </c>
      <c r="AB2" s="215">
        <v>45323</v>
      </c>
      <c r="AC2" s="215">
        <v>45352</v>
      </c>
      <c r="AD2" s="215">
        <v>45383</v>
      </c>
      <c r="AE2" s="215">
        <v>45413</v>
      </c>
      <c r="AF2" s="215">
        <v>45444</v>
      </c>
      <c r="AG2" s="215">
        <v>45474</v>
      </c>
      <c r="AH2" s="215">
        <v>45505</v>
      </c>
      <c r="AI2" s="215">
        <v>45536</v>
      </c>
      <c r="AJ2" s="215">
        <v>45566</v>
      </c>
      <c r="AK2" s="215">
        <v>45597</v>
      </c>
      <c r="AL2" s="215">
        <v>45627</v>
      </c>
      <c r="AM2" s="215">
        <v>45658</v>
      </c>
      <c r="AN2" s="215">
        <v>45689</v>
      </c>
      <c r="AO2" s="215">
        <v>45717</v>
      </c>
      <c r="AP2" s="215">
        <v>45748</v>
      </c>
      <c r="AQ2" s="215">
        <v>45778</v>
      </c>
      <c r="AR2" s="215">
        <v>45809</v>
      </c>
      <c r="AS2" s="215">
        <v>45839</v>
      </c>
      <c r="AT2" s="215">
        <v>45870</v>
      </c>
      <c r="AU2" s="215">
        <v>45901</v>
      </c>
      <c r="AV2" s="215">
        <v>45931</v>
      </c>
      <c r="AW2" s="215">
        <v>45962</v>
      </c>
      <c r="AX2" s="215">
        <v>45992</v>
      </c>
      <c r="AY2" s="402" t="s">
        <v>182</v>
      </c>
      <c r="AZ2" s="402" t="s">
        <v>180</v>
      </c>
      <c r="BA2" s="390" t="s">
        <v>181</v>
      </c>
      <c r="BB2" s="390" t="s">
        <v>246</v>
      </c>
    </row>
    <row r="3" spans="1:54" x14ac:dyDescent="0.25">
      <c r="A3" s="88"/>
    </row>
    <row r="4" spans="1:54" x14ac:dyDescent="0.25">
      <c r="A4" s="353" t="s">
        <v>229</v>
      </c>
      <c r="B4" s="271" t="s">
        <v>69</v>
      </c>
    </row>
    <row r="6" spans="1:54" x14ac:dyDescent="0.25">
      <c r="A6" s="18">
        <v>44562</v>
      </c>
      <c r="B6" s="93">
        <f>'6. 2022 Installed kWh Savings'!D6+'6. 2022 Installed kWh Savings'!I6+'6. 2022 Installed kWh Savings'!K6</f>
        <v>0</v>
      </c>
      <c r="C6" s="361">
        <f>$B6*(SUMPRODUCT(C$30:C$32,$C$26:$C$28))/2</f>
        <v>0</v>
      </c>
      <c r="D6" s="361">
        <f t="shared" ref="D6:S11" si="0">$B6*(SUMPRODUCT(D$30:D$32,$C$26:$C$28))</f>
        <v>0</v>
      </c>
      <c r="E6" s="361">
        <f t="shared" si="0"/>
        <v>0</v>
      </c>
      <c r="F6" s="361">
        <f t="shared" si="0"/>
        <v>0</v>
      </c>
      <c r="G6" s="361">
        <f t="shared" si="0"/>
        <v>0</v>
      </c>
      <c r="H6" s="361">
        <f t="shared" si="0"/>
        <v>0</v>
      </c>
      <c r="I6" s="361">
        <f t="shared" si="0"/>
        <v>0</v>
      </c>
      <c r="J6" s="361">
        <f t="shared" si="0"/>
        <v>0</v>
      </c>
      <c r="K6" s="361">
        <f t="shared" si="0"/>
        <v>0</v>
      </c>
      <c r="L6" s="361">
        <f t="shared" si="0"/>
        <v>0</v>
      </c>
      <c r="M6" s="361">
        <f t="shared" si="0"/>
        <v>0</v>
      </c>
      <c r="N6" s="362">
        <f t="shared" si="0"/>
        <v>0</v>
      </c>
      <c r="O6" s="375">
        <f t="shared" si="0"/>
        <v>0</v>
      </c>
      <c r="P6" s="376">
        <f t="shared" si="0"/>
        <v>0</v>
      </c>
      <c r="Q6" s="376">
        <f t="shared" si="0"/>
        <v>0</v>
      </c>
      <c r="R6" s="376">
        <f t="shared" si="0"/>
        <v>0</v>
      </c>
      <c r="S6" s="376">
        <f t="shared" si="0"/>
        <v>0</v>
      </c>
      <c r="T6" s="376">
        <f t="shared" ref="O6:AF17" si="1">$B6*(SUMPRODUCT(T$30:T$32,$C$26:$C$28))</f>
        <v>0</v>
      </c>
      <c r="U6" s="376">
        <f t="shared" si="1"/>
        <v>0</v>
      </c>
      <c r="V6" s="376">
        <f t="shared" si="1"/>
        <v>0</v>
      </c>
      <c r="W6" s="376">
        <f t="shared" si="1"/>
        <v>0</v>
      </c>
      <c r="X6" s="376">
        <f t="shared" si="1"/>
        <v>0</v>
      </c>
      <c r="Y6" s="376">
        <f t="shared" si="1"/>
        <v>0</v>
      </c>
      <c r="Z6" s="377">
        <f t="shared" si="1"/>
        <v>0</v>
      </c>
      <c r="AA6" s="531">
        <f t="shared" si="1"/>
        <v>0</v>
      </c>
      <c r="AB6" s="361">
        <f t="shared" si="1"/>
        <v>0</v>
      </c>
      <c r="AC6" s="361">
        <f t="shared" si="1"/>
        <v>0</v>
      </c>
      <c r="AD6" s="361">
        <f t="shared" si="1"/>
        <v>0</v>
      </c>
      <c r="AE6" s="361">
        <f t="shared" si="1"/>
        <v>0</v>
      </c>
      <c r="AF6" s="361">
        <f t="shared" si="1"/>
        <v>0</v>
      </c>
      <c r="AG6" s="361">
        <f t="shared" ref="AA6:AP17" si="2">$B6*(SUMPRODUCT(AG$30:AG$32,$C$26:$C$28))</f>
        <v>0</v>
      </c>
      <c r="AH6" s="361">
        <f t="shared" si="2"/>
        <v>0</v>
      </c>
      <c r="AI6" s="361">
        <f t="shared" si="2"/>
        <v>0</v>
      </c>
      <c r="AJ6" s="361">
        <f t="shared" si="2"/>
        <v>0</v>
      </c>
      <c r="AK6" s="361">
        <f t="shared" si="2"/>
        <v>0</v>
      </c>
      <c r="AL6" s="361">
        <f t="shared" si="2"/>
        <v>0</v>
      </c>
      <c r="AM6" s="375">
        <f t="shared" si="2"/>
        <v>0</v>
      </c>
      <c r="AN6" s="376">
        <f t="shared" si="2"/>
        <v>0</v>
      </c>
      <c r="AO6" s="376">
        <f t="shared" si="2"/>
        <v>0</v>
      </c>
      <c r="AP6" s="376">
        <f t="shared" si="2"/>
        <v>0</v>
      </c>
      <c r="AQ6" s="376">
        <f t="shared" ref="AM6:AX17" si="3">$B6*(SUMPRODUCT(AQ$30:AQ$32,$C$26:$C$28))</f>
        <v>0</v>
      </c>
      <c r="AR6" s="376">
        <f t="shared" si="3"/>
        <v>0</v>
      </c>
      <c r="AS6" s="376">
        <f t="shared" si="3"/>
        <v>0</v>
      </c>
      <c r="AT6" s="376">
        <f t="shared" si="3"/>
        <v>0</v>
      </c>
      <c r="AU6" s="376">
        <f t="shared" si="3"/>
        <v>0</v>
      </c>
      <c r="AV6" s="376">
        <f t="shared" si="3"/>
        <v>0</v>
      </c>
      <c r="AW6" s="376">
        <f t="shared" si="3"/>
        <v>0</v>
      </c>
      <c r="AX6" s="376">
        <f t="shared" si="3"/>
        <v>0</v>
      </c>
      <c r="AY6" s="391">
        <f>SUM(C6:N6)</f>
        <v>0</v>
      </c>
      <c r="AZ6" s="410">
        <f>SUM(O6:Z6)</f>
        <v>0</v>
      </c>
      <c r="BA6" s="410">
        <f>SUM(AA6:AL6)</f>
        <v>0</v>
      </c>
      <c r="BB6" s="532">
        <f>SUM(AM6:AX6)</f>
        <v>0</v>
      </c>
    </row>
    <row r="7" spans="1:54" x14ac:dyDescent="0.25">
      <c r="A7" s="18">
        <v>44593</v>
      </c>
      <c r="B7" s="94">
        <f>'6. 2022 Installed kWh Savings'!D7+'6. 2022 Installed kWh Savings'!I7+'6. 2022 Installed kWh Savings'!K7</f>
        <v>0</v>
      </c>
      <c r="C7" s="364"/>
      <c r="D7" s="364">
        <f>$B7*(SUMPRODUCT(D$30:D$32,$C$26:$C$28))/2</f>
        <v>0</v>
      </c>
      <c r="E7" s="364">
        <f t="shared" si="0"/>
        <v>0</v>
      </c>
      <c r="F7" s="364">
        <f t="shared" si="0"/>
        <v>0</v>
      </c>
      <c r="G7" s="364">
        <f t="shared" si="0"/>
        <v>0</v>
      </c>
      <c r="H7" s="364">
        <f t="shared" si="0"/>
        <v>0</v>
      </c>
      <c r="I7" s="364">
        <f t="shared" si="0"/>
        <v>0</v>
      </c>
      <c r="J7" s="364">
        <f t="shared" si="0"/>
        <v>0</v>
      </c>
      <c r="K7" s="364">
        <f t="shared" si="0"/>
        <v>0</v>
      </c>
      <c r="L7" s="364">
        <f t="shared" si="0"/>
        <v>0</v>
      </c>
      <c r="M7" s="364">
        <f t="shared" si="0"/>
        <v>0</v>
      </c>
      <c r="N7" s="365">
        <f t="shared" si="0"/>
        <v>0</v>
      </c>
      <c r="O7" s="378">
        <f t="shared" si="1"/>
        <v>0</v>
      </c>
      <c r="P7" s="379">
        <f t="shared" si="1"/>
        <v>0</v>
      </c>
      <c r="Q7" s="379">
        <f t="shared" si="1"/>
        <v>0</v>
      </c>
      <c r="R7" s="379">
        <f t="shared" si="1"/>
        <v>0</v>
      </c>
      <c r="S7" s="379">
        <f t="shared" si="1"/>
        <v>0</v>
      </c>
      <c r="T7" s="379">
        <f t="shared" si="1"/>
        <v>0</v>
      </c>
      <c r="U7" s="379">
        <f t="shared" si="1"/>
        <v>0</v>
      </c>
      <c r="V7" s="379">
        <f t="shared" si="1"/>
        <v>0</v>
      </c>
      <c r="W7" s="379">
        <f t="shared" si="1"/>
        <v>0</v>
      </c>
      <c r="X7" s="379">
        <f t="shared" si="1"/>
        <v>0</v>
      </c>
      <c r="Y7" s="379">
        <f t="shared" si="1"/>
        <v>0</v>
      </c>
      <c r="Z7" s="380">
        <f t="shared" si="1"/>
        <v>0</v>
      </c>
      <c r="AA7" s="363">
        <f t="shared" si="2"/>
        <v>0</v>
      </c>
      <c r="AB7" s="364">
        <f t="shared" si="2"/>
        <v>0</v>
      </c>
      <c r="AC7" s="364">
        <f t="shared" si="2"/>
        <v>0</v>
      </c>
      <c r="AD7" s="364">
        <f t="shared" si="2"/>
        <v>0</v>
      </c>
      <c r="AE7" s="364">
        <f t="shared" si="2"/>
        <v>0</v>
      </c>
      <c r="AF7" s="364">
        <f t="shared" si="2"/>
        <v>0</v>
      </c>
      <c r="AG7" s="364">
        <f t="shared" si="2"/>
        <v>0</v>
      </c>
      <c r="AH7" s="364">
        <f t="shared" si="2"/>
        <v>0</v>
      </c>
      <c r="AI7" s="364">
        <f t="shared" si="2"/>
        <v>0</v>
      </c>
      <c r="AJ7" s="364">
        <f t="shared" si="2"/>
        <v>0</v>
      </c>
      <c r="AK7" s="364">
        <f t="shared" si="2"/>
        <v>0</v>
      </c>
      <c r="AL7" s="364">
        <f t="shared" si="2"/>
        <v>0</v>
      </c>
      <c r="AM7" s="378">
        <f t="shared" si="3"/>
        <v>0</v>
      </c>
      <c r="AN7" s="379">
        <f t="shared" si="3"/>
        <v>0</v>
      </c>
      <c r="AO7" s="379">
        <f t="shared" si="3"/>
        <v>0</v>
      </c>
      <c r="AP7" s="379">
        <f t="shared" si="3"/>
        <v>0</v>
      </c>
      <c r="AQ7" s="379">
        <f t="shared" si="3"/>
        <v>0</v>
      </c>
      <c r="AR7" s="379">
        <f t="shared" si="3"/>
        <v>0</v>
      </c>
      <c r="AS7" s="379">
        <f t="shared" si="3"/>
        <v>0</v>
      </c>
      <c r="AT7" s="379">
        <f t="shared" si="3"/>
        <v>0</v>
      </c>
      <c r="AU7" s="379">
        <f t="shared" si="3"/>
        <v>0</v>
      </c>
      <c r="AV7" s="379">
        <f t="shared" si="3"/>
        <v>0</v>
      </c>
      <c r="AW7" s="379">
        <f t="shared" si="3"/>
        <v>0</v>
      </c>
      <c r="AX7" s="379">
        <f t="shared" si="3"/>
        <v>0</v>
      </c>
      <c r="AY7" s="392">
        <f t="shared" ref="AY7:AY17" si="4">SUM(C7:N7)</f>
        <v>0</v>
      </c>
      <c r="AZ7" s="399">
        <f t="shared" ref="AZ7:AZ17" si="5">SUM(O7:Z7)</f>
        <v>0</v>
      </c>
      <c r="BA7" s="399">
        <f t="shared" ref="BA7:BA17" si="6">SUM(AA7:AL7)</f>
        <v>0</v>
      </c>
      <c r="BB7" s="533">
        <f t="shared" ref="BB7:BB17" si="7">SUM(AM7:AX7)</f>
        <v>0</v>
      </c>
    </row>
    <row r="8" spans="1:54" x14ac:dyDescent="0.25">
      <c r="A8" s="18">
        <v>44621</v>
      </c>
      <c r="B8" s="94">
        <f>'6. 2022 Installed kWh Savings'!D8+'6. 2022 Installed kWh Savings'!I8+'6. 2022 Installed kWh Savings'!K8</f>
        <v>1668.0666666666668</v>
      </c>
      <c r="C8" s="364"/>
      <c r="D8" s="364"/>
      <c r="E8" s="364">
        <f>$B8*(SUMPRODUCT(E$30:E$32,$C$26:$C$28))/2</f>
        <v>77.464181966666672</v>
      </c>
      <c r="F8" s="364">
        <f t="shared" si="0"/>
        <v>141.19350300000002</v>
      </c>
      <c r="G8" s="364">
        <f t="shared" si="0"/>
        <v>132.43281686666668</v>
      </c>
      <c r="H8" s="364">
        <f t="shared" si="0"/>
        <v>114.27591120000001</v>
      </c>
      <c r="I8" s="364">
        <f t="shared" si="0"/>
        <v>113.20167626666667</v>
      </c>
      <c r="J8" s="364">
        <f t="shared" si="0"/>
        <v>117.70712433333335</v>
      </c>
      <c r="K8" s="364">
        <f t="shared" si="0"/>
        <v>123.08997546666667</v>
      </c>
      <c r="L8" s="364">
        <f t="shared" si="0"/>
        <v>141.01668793333334</v>
      </c>
      <c r="M8" s="364">
        <f t="shared" si="0"/>
        <v>149.92583200000001</v>
      </c>
      <c r="N8" s="365">
        <f t="shared" si="0"/>
        <v>163.99097013333335</v>
      </c>
      <c r="O8" s="378">
        <f t="shared" si="1"/>
        <v>168.77832146666668</v>
      </c>
      <c r="P8" s="379">
        <f t="shared" si="1"/>
        <v>147.52548406666668</v>
      </c>
      <c r="Q8" s="379">
        <f t="shared" si="1"/>
        <v>154.92836393333334</v>
      </c>
      <c r="R8" s="379">
        <f t="shared" si="1"/>
        <v>141.19350300000002</v>
      </c>
      <c r="S8" s="379">
        <f t="shared" si="1"/>
        <v>132.43281686666668</v>
      </c>
      <c r="T8" s="379">
        <f t="shared" si="1"/>
        <v>114.27591120000001</v>
      </c>
      <c r="U8" s="379">
        <f t="shared" si="1"/>
        <v>113.20167626666667</v>
      </c>
      <c r="V8" s="379">
        <f t="shared" si="1"/>
        <v>117.70712433333335</v>
      </c>
      <c r="W8" s="379">
        <f t="shared" si="1"/>
        <v>123.08997546666667</v>
      </c>
      <c r="X8" s="379">
        <f t="shared" si="1"/>
        <v>141.01668793333334</v>
      </c>
      <c r="Y8" s="379">
        <f t="shared" si="1"/>
        <v>149.92583200000001</v>
      </c>
      <c r="Z8" s="380">
        <f t="shared" si="1"/>
        <v>163.99097013333335</v>
      </c>
      <c r="AA8" s="363">
        <f t="shared" si="2"/>
        <v>168.77832146666668</v>
      </c>
      <c r="AB8" s="364">
        <f t="shared" si="2"/>
        <v>147.52548406666668</v>
      </c>
      <c r="AC8" s="364">
        <f t="shared" si="2"/>
        <v>154.92836393333334</v>
      </c>
      <c r="AD8" s="364">
        <f t="shared" si="2"/>
        <v>141.19350300000002</v>
      </c>
      <c r="AE8" s="364">
        <f t="shared" si="2"/>
        <v>132.43281686666668</v>
      </c>
      <c r="AF8" s="364">
        <f t="shared" si="2"/>
        <v>114.27591120000001</v>
      </c>
      <c r="AG8" s="364">
        <f t="shared" si="2"/>
        <v>113.20167626666667</v>
      </c>
      <c r="AH8" s="364">
        <f t="shared" si="2"/>
        <v>117.70712433333335</v>
      </c>
      <c r="AI8" s="364">
        <f t="shared" si="2"/>
        <v>123.08997546666667</v>
      </c>
      <c r="AJ8" s="364">
        <f t="shared" si="2"/>
        <v>141.01668793333334</v>
      </c>
      <c r="AK8" s="364">
        <f t="shared" si="2"/>
        <v>149.92583200000001</v>
      </c>
      <c r="AL8" s="364">
        <f t="shared" si="2"/>
        <v>163.99097013333335</v>
      </c>
      <c r="AM8" s="378">
        <f t="shared" si="3"/>
        <v>168.77832146666668</v>
      </c>
      <c r="AN8" s="379">
        <f t="shared" si="3"/>
        <v>147.52548406666668</v>
      </c>
      <c r="AO8" s="379">
        <f t="shared" si="3"/>
        <v>154.92836393333334</v>
      </c>
      <c r="AP8" s="379">
        <f t="shared" si="3"/>
        <v>141.19350300000002</v>
      </c>
      <c r="AQ8" s="379">
        <f t="shared" si="3"/>
        <v>132.43281686666668</v>
      </c>
      <c r="AR8" s="379">
        <f t="shared" si="3"/>
        <v>114.27591120000001</v>
      </c>
      <c r="AS8" s="379">
        <f t="shared" si="3"/>
        <v>113.20167626666667</v>
      </c>
      <c r="AT8" s="379">
        <f t="shared" si="3"/>
        <v>117.70712433333335</v>
      </c>
      <c r="AU8" s="379">
        <f t="shared" si="3"/>
        <v>123.08997546666667</v>
      </c>
      <c r="AV8" s="379">
        <f t="shared" si="3"/>
        <v>141.01668793333334</v>
      </c>
      <c r="AW8" s="379">
        <f t="shared" si="3"/>
        <v>149.92583200000001</v>
      </c>
      <c r="AX8" s="379">
        <f t="shared" si="3"/>
        <v>163.99097013333335</v>
      </c>
      <c r="AY8" s="392">
        <f t="shared" si="4"/>
        <v>1274.2986791666669</v>
      </c>
      <c r="AZ8" s="399">
        <f t="shared" si="5"/>
        <v>1668.0666666666668</v>
      </c>
      <c r="BA8" s="399">
        <f t="shared" si="6"/>
        <v>1668.0666666666668</v>
      </c>
      <c r="BB8" s="533">
        <f t="shared" si="7"/>
        <v>1668.0666666666668</v>
      </c>
    </row>
    <row r="9" spans="1:54" x14ac:dyDescent="0.25">
      <c r="A9" s="18">
        <v>44652</v>
      </c>
      <c r="B9" s="94">
        <f>'6. 2022 Installed kWh Savings'!D9+'6. 2022 Installed kWh Savings'!I9+'6. 2022 Installed kWh Savings'!K9</f>
        <v>3063.2</v>
      </c>
      <c r="C9" s="364"/>
      <c r="D9" s="364"/>
      <c r="E9" s="364"/>
      <c r="F9" s="364">
        <f>$B9*(SUMPRODUCT(F$30:F$32,$C$26:$C$28))/2</f>
        <v>129.64228199999999</v>
      </c>
      <c r="G9" s="364">
        <f t="shared" si="0"/>
        <v>243.1966376</v>
      </c>
      <c r="H9" s="364">
        <f t="shared" si="0"/>
        <v>209.85370559999998</v>
      </c>
      <c r="I9" s="364">
        <f t="shared" si="0"/>
        <v>207.88100479999997</v>
      </c>
      <c r="J9" s="364">
        <f t="shared" si="0"/>
        <v>216.154708</v>
      </c>
      <c r="K9" s="364">
        <f t="shared" si="0"/>
        <v>226.03965439999999</v>
      </c>
      <c r="L9" s="364">
        <f t="shared" si="0"/>
        <v>258.95986479999999</v>
      </c>
      <c r="M9" s="364">
        <f t="shared" si="0"/>
        <v>275.32041599999997</v>
      </c>
      <c r="N9" s="365">
        <f t="shared" si="0"/>
        <v>301.14931839999997</v>
      </c>
      <c r="O9" s="378">
        <f t="shared" si="1"/>
        <v>309.94070239999996</v>
      </c>
      <c r="P9" s="379">
        <f t="shared" si="1"/>
        <v>270.91247120000003</v>
      </c>
      <c r="Q9" s="379">
        <f t="shared" si="1"/>
        <v>284.50695279999997</v>
      </c>
      <c r="R9" s="379">
        <f t="shared" si="1"/>
        <v>259.28456399999999</v>
      </c>
      <c r="S9" s="379">
        <f t="shared" si="1"/>
        <v>243.1966376</v>
      </c>
      <c r="T9" s="379">
        <f t="shared" si="1"/>
        <v>209.85370559999998</v>
      </c>
      <c r="U9" s="379">
        <f t="shared" si="1"/>
        <v>207.88100479999997</v>
      </c>
      <c r="V9" s="379">
        <f t="shared" si="1"/>
        <v>216.154708</v>
      </c>
      <c r="W9" s="379">
        <f t="shared" si="1"/>
        <v>226.03965439999999</v>
      </c>
      <c r="X9" s="379">
        <f t="shared" si="1"/>
        <v>258.95986479999999</v>
      </c>
      <c r="Y9" s="379">
        <f t="shared" si="1"/>
        <v>275.32041599999997</v>
      </c>
      <c r="Z9" s="380">
        <f t="shared" si="1"/>
        <v>301.14931839999997</v>
      </c>
      <c r="AA9" s="363">
        <f t="shared" si="2"/>
        <v>309.94070239999996</v>
      </c>
      <c r="AB9" s="364">
        <f t="shared" si="2"/>
        <v>270.91247120000003</v>
      </c>
      <c r="AC9" s="364">
        <f t="shared" si="2"/>
        <v>284.50695279999997</v>
      </c>
      <c r="AD9" s="364">
        <f t="shared" si="2"/>
        <v>259.28456399999999</v>
      </c>
      <c r="AE9" s="364">
        <f t="shared" si="2"/>
        <v>243.1966376</v>
      </c>
      <c r="AF9" s="364">
        <f t="shared" si="2"/>
        <v>209.85370559999998</v>
      </c>
      <c r="AG9" s="364">
        <f t="shared" si="2"/>
        <v>207.88100479999997</v>
      </c>
      <c r="AH9" s="364">
        <f t="shared" si="2"/>
        <v>216.154708</v>
      </c>
      <c r="AI9" s="364">
        <f t="shared" si="2"/>
        <v>226.03965439999999</v>
      </c>
      <c r="AJ9" s="364">
        <f t="shared" si="2"/>
        <v>258.95986479999999</v>
      </c>
      <c r="AK9" s="364">
        <f t="shared" si="2"/>
        <v>275.32041599999997</v>
      </c>
      <c r="AL9" s="364">
        <f t="shared" si="2"/>
        <v>301.14931839999997</v>
      </c>
      <c r="AM9" s="378">
        <f t="shared" si="3"/>
        <v>309.94070239999996</v>
      </c>
      <c r="AN9" s="379">
        <f t="shared" si="3"/>
        <v>270.91247120000003</v>
      </c>
      <c r="AO9" s="379">
        <f t="shared" si="3"/>
        <v>284.50695279999997</v>
      </c>
      <c r="AP9" s="379">
        <f t="shared" si="3"/>
        <v>259.28456399999999</v>
      </c>
      <c r="AQ9" s="379">
        <f t="shared" si="3"/>
        <v>243.1966376</v>
      </c>
      <c r="AR9" s="379">
        <f t="shared" si="3"/>
        <v>209.85370559999998</v>
      </c>
      <c r="AS9" s="379">
        <f t="shared" si="3"/>
        <v>207.88100479999997</v>
      </c>
      <c r="AT9" s="379">
        <f t="shared" si="3"/>
        <v>216.154708</v>
      </c>
      <c r="AU9" s="379">
        <f t="shared" si="3"/>
        <v>226.03965439999999</v>
      </c>
      <c r="AV9" s="379">
        <f t="shared" si="3"/>
        <v>258.95986479999999</v>
      </c>
      <c r="AW9" s="379">
        <f t="shared" si="3"/>
        <v>275.32041599999997</v>
      </c>
      <c r="AX9" s="379">
        <f t="shared" si="3"/>
        <v>301.14931839999997</v>
      </c>
      <c r="AY9" s="392">
        <f t="shared" si="4"/>
        <v>2068.1975916000001</v>
      </c>
      <c r="AZ9" s="399">
        <f t="shared" si="5"/>
        <v>3063.2000000000003</v>
      </c>
      <c r="BA9" s="399">
        <f t="shared" si="6"/>
        <v>3063.2000000000003</v>
      </c>
      <c r="BB9" s="533">
        <f t="shared" si="7"/>
        <v>3063.2000000000003</v>
      </c>
    </row>
    <row r="10" spans="1:54" x14ac:dyDescent="0.25">
      <c r="A10" s="18">
        <v>44682</v>
      </c>
      <c r="B10" s="94">
        <f>'6. 2022 Installed kWh Savings'!D10+'6. 2022 Installed kWh Savings'!I10+'6. 2022 Installed kWh Savings'!K10</f>
        <v>0</v>
      </c>
      <c r="C10" s="364"/>
      <c r="D10" s="364"/>
      <c r="E10" s="364"/>
      <c r="F10" s="364"/>
      <c r="G10" s="364">
        <f>$B10*(SUMPRODUCT(G$30:G$32,$C$26:$C$28))/2</f>
        <v>0</v>
      </c>
      <c r="H10" s="364">
        <f t="shared" si="0"/>
        <v>0</v>
      </c>
      <c r="I10" s="364">
        <f t="shared" si="0"/>
        <v>0</v>
      </c>
      <c r="J10" s="364">
        <f t="shared" si="0"/>
        <v>0</v>
      </c>
      <c r="K10" s="364">
        <f t="shared" si="0"/>
        <v>0</v>
      </c>
      <c r="L10" s="364">
        <f t="shared" si="0"/>
        <v>0</v>
      </c>
      <c r="M10" s="364">
        <f t="shared" si="0"/>
        <v>0</v>
      </c>
      <c r="N10" s="365">
        <f t="shared" si="0"/>
        <v>0</v>
      </c>
      <c r="O10" s="378">
        <f t="shared" si="1"/>
        <v>0</v>
      </c>
      <c r="P10" s="379">
        <f t="shared" si="1"/>
        <v>0</v>
      </c>
      <c r="Q10" s="379">
        <f t="shared" si="1"/>
        <v>0</v>
      </c>
      <c r="R10" s="379">
        <f t="shared" si="1"/>
        <v>0</v>
      </c>
      <c r="S10" s="379">
        <f t="shared" si="1"/>
        <v>0</v>
      </c>
      <c r="T10" s="379">
        <f t="shared" si="1"/>
        <v>0</v>
      </c>
      <c r="U10" s="379">
        <f t="shared" si="1"/>
        <v>0</v>
      </c>
      <c r="V10" s="379">
        <f t="shared" si="1"/>
        <v>0</v>
      </c>
      <c r="W10" s="379">
        <f t="shared" si="1"/>
        <v>0</v>
      </c>
      <c r="X10" s="379">
        <f t="shared" si="1"/>
        <v>0</v>
      </c>
      <c r="Y10" s="379">
        <f t="shared" si="1"/>
        <v>0</v>
      </c>
      <c r="Z10" s="380">
        <f t="shared" si="1"/>
        <v>0</v>
      </c>
      <c r="AA10" s="363">
        <f t="shared" si="2"/>
        <v>0</v>
      </c>
      <c r="AB10" s="364">
        <f t="shared" si="2"/>
        <v>0</v>
      </c>
      <c r="AC10" s="364">
        <f t="shared" si="2"/>
        <v>0</v>
      </c>
      <c r="AD10" s="364">
        <f t="shared" si="2"/>
        <v>0</v>
      </c>
      <c r="AE10" s="364">
        <f t="shared" si="2"/>
        <v>0</v>
      </c>
      <c r="AF10" s="364">
        <f t="shared" si="2"/>
        <v>0</v>
      </c>
      <c r="AG10" s="364">
        <f t="shared" si="2"/>
        <v>0</v>
      </c>
      <c r="AH10" s="364">
        <f t="shared" si="2"/>
        <v>0</v>
      </c>
      <c r="AI10" s="364">
        <f t="shared" si="2"/>
        <v>0</v>
      </c>
      <c r="AJ10" s="364">
        <f t="shared" si="2"/>
        <v>0</v>
      </c>
      <c r="AK10" s="364">
        <f t="shared" si="2"/>
        <v>0</v>
      </c>
      <c r="AL10" s="364">
        <f t="shared" si="2"/>
        <v>0</v>
      </c>
      <c r="AM10" s="378">
        <f t="shared" si="3"/>
        <v>0</v>
      </c>
      <c r="AN10" s="379">
        <f t="shared" si="3"/>
        <v>0</v>
      </c>
      <c r="AO10" s="379">
        <f t="shared" si="3"/>
        <v>0</v>
      </c>
      <c r="AP10" s="379">
        <f t="shared" si="3"/>
        <v>0</v>
      </c>
      <c r="AQ10" s="379">
        <f t="shared" si="3"/>
        <v>0</v>
      </c>
      <c r="AR10" s="379">
        <f t="shared" si="3"/>
        <v>0</v>
      </c>
      <c r="AS10" s="379">
        <f t="shared" si="3"/>
        <v>0</v>
      </c>
      <c r="AT10" s="379">
        <f t="shared" si="3"/>
        <v>0</v>
      </c>
      <c r="AU10" s="379">
        <f t="shared" si="3"/>
        <v>0</v>
      </c>
      <c r="AV10" s="379">
        <f t="shared" si="3"/>
        <v>0</v>
      </c>
      <c r="AW10" s="379">
        <f t="shared" si="3"/>
        <v>0</v>
      </c>
      <c r="AX10" s="379">
        <f t="shared" si="3"/>
        <v>0</v>
      </c>
      <c r="AY10" s="392">
        <f t="shared" si="4"/>
        <v>0</v>
      </c>
      <c r="AZ10" s="399">
        <f t="shared" si="5"/>
        <v>0</v>
      </c>
      <c r="BA10" s="399">
        <f t="shared" si="6"/>
        <v>0</v>
      </c>
      <c r="BB10" s="533">
        <f t="shared" si="7"/>
        <v>0</v>
      </c>
    </row>
    <row r="11" spans="1:54" x14ac:dyDescent="0.25">
      <c r="A11" s="18">
        <v>44713</v>
      </c>
      <c r="B11" s="94">
        <f>'6. 2022 Installed kWh Savings'!D11+'6. 2022 Installed kWh Savings'!I11+'6. 2022 Installed kWh Savings'!K11</f>
        <v>314.66666666666663</v>
      </c>
      <c r="C11" s="364"/>
      <c r="D11" s="364"/>
      <c r="E11" s="364"/>
      <c r="F11" s="364"/>
      <c r="G11" s="364"/>
      <c r="H11" s="364">
        <f>$B11*(SUMPRODUCT(H$30:H$32,$C$26:$C$28))/2</f>
        <v>10.778591999999998</v>
      </c>
      <c r="I11" s="364">
        <f t="shared" si="0"/>
        <v>21.354538666666663</v>
      </c>
      <c r="J11" s="364">
        <f t="shared" si="0"/>
        <v>22.20445333333333</v>
      </c>
      <c r="K11" s="364">
        <f t="shared" si="0"/>
        <v>23.219882666666663</v>
      </c>
      <c r="L11" s="364">
        <f t="shared" si="0"/>
        <v>26.601605333333332</v>
      </c>
      <c r="M11" s="364">
        <f t="shared" si="0"/>
        <v>28.282239999999998</v>
      </c>
      <c r="N11" s="365">
        <f t="shared" si="0"/>
        <v>30.935509333333329</v>
      </c>
      <c r="O11" s="378">
        <f t="shared" si="1"/>
        <v>31.83860266666666</v>
      </c>
      <c r="P11" s="379">
        <f t="shared" si="1"/>
        <v>27.829434666666664</v>
      </c>
      <c r="Q11" s="379">
        <f t="shared" si="1"/>
        <v>29.225925333333329</v>
      </c>
      <c r="R11" s="379">
        <f t="shared" si="1"/>
        <v>26.634959999999996</v>
      </c>
      <c r="S11" s="379">
        <f t="shared" si="1"/>
        <v>24.982330666666666</v>
      </c>
      <c r="T11" s="379">
        <f t="shared" si="1"/>
        <v>21.557183999999996</v>
      </c>
      <c r="U11" s="379">
        <f t="shared" si="1"/>
        <v>21.354538666666663</v>
      </c>
      <c r="V11" s="379">
        <f t="shared" si="1"/>
        <v>22.20445333333333</v>
      </c>
      <c r="W11" s="379">
        <f t="shared" si="1"/>
        <v>23.219882666666663</v>
      </c>
      <c r="X11" s="379">
        <f t="shared" si="1"/>
        <v>26.601605333333332</v>
      </c>
      <c r="Y11" s="379">
        <f t="shared" si="1"/>
        <v>28.282239999999998</v>
      </c>
      <c r="Z11" s="380">
        <f t="shared" si="1"/>
        <v>30.935509333333329</v>
      </c>
      <c r="AA11" s="363">
        <f t="shared" si="2"/>
        <v>31.83860266666666</v>
      </c>
      <c r="AB11" s="364">
        <f t="shared" si="2"/>
        <v>27.829434666666664</v>
      </c>
      <c r="AC11" s="364">
        <f t="shared" si="2"/>
        <v>29.225925333333329</v>
      </c>
      <c r="AD11" s="364">
        <f t="shared" si="2"/>
        <v>26.634959999999996</v>
      </c>
      <c r="AE11" s="364">
        <f t="shared" si="2"/>
        <v>24.982330666666666</v>
      </c>
      <c r="AF11" s="364">
        <f t="shared" si="2"/>
        <v>21.557183999999996</v>
      </c>
      <c r="AG11" s="364">
        <f t="shared" si="2"/>
        <v>21.354538666666663</v>
      </c>
      <c r="AH11" s="364">
        <f t="shared" si="2"/>
        <v>22.20445333333333</v>
      </c>
      <c r="AI11" s="364">
        <f t="shared" si="2"/>
        <v>23.219882666666663</v>
      </c>
      <c r="AJ11" s="364">
        <f t="shared" si="2"/>
        <v>26.601605333333332</v>
      </c>
      <c r="AK11" s="364">
        <f t="shared" si="2"/>
        <v>28.282239999999998</v>
      </c>
      <c r="AL11" s="364">
        <f t="shared" si="2"/>
        <v>30.935509333333329</v>
      </c>
      <c r="AM11" s="378">
        <f t="shared" si="3"/>
        <v>31.83860266666666</v>
      </c>
      <c r="AN11" s="379">
        <f t="shared" si="3"/>
        <v>27.829434666666664</v>
      </c>
      <c r="AO11" s="379">
        <f t="shared" si="3"/>
        <v>29.225925333333329</v>
      </c>
      <c r="AP11" s="379">
        <f t="shared" si="3"/>
        <v>26.634959999999996</v>
      </c>
      <c r="AQ11" s="379">
        <f t="shared" si="3"/>
        <v>24.982330666666666</v>
      </c>
      <c r="AR11" s="379">
        <f t="shared" si="3"/>
        <v>21.557183999999996</v>
      </c>
      <c r="AS11" s="379">
        <f t="shared" si="3"/>
        <v>21.354538666666663</v>
      </c>
      <c r="AT11" s="379">
        <f t="shared" si="3"/>
        <v>22.20445333333333</v>
      </c>
      <c r="AU11" s="379">
        <f t="shared" si="3"/>
        <v>23.219882666666663</v>
      </c>
      <c r="AV11" s="379">
        <f t="shared" si="3"/>
        <v>26.601605333333332</v>
      </c>
      <c r="AW11" s="379">
        <f t="shared" si="3"/>
        <v>28.282239999999998</v>
      </c>
      <c r="AX11" s="379">
        <f t="shared" si="3"/>
        <v>30.935509333333329</v>
      </c>
      <c r="AY11" s="392">
        <f t="shared" si="4"/>
        <v>163.37682133333331</v>
      </c>
      <c r="AZ11" s="399">
        <f t="shared" si="5"/>
        <v>314.66666666666663</v>
      </c>
      <c r="BA11" s="399">
        <f t="shared" si="6"/>
        <v>314.66666666666663</v>
      </c>
      <c r="BB11" s="533">
        <f t="shared" si="7"/>
        <v>314.66666666666663</v>
      </c>
    </row>
    <row r="12" spans="1:54" x14ac:dyDescent="0.25">
      <c r="A12" s="18">
        <v>44743</v>
      </c>
      <c r="B12" s="94">
        <f>'6. 2022 Installed kWh Savings'!D12+'6. 2022 Installed kWh Savings'!I12+'6. 2022 Installed kWh Savings'!K12</f>
        <v>1961.8666666666668</v>
      </c>
      <c r="C12" s="364"/>
      <c r="D12" s="364"/>
      <c r="E12" s="364"/>
      <c r="F12" s="364"/>
      <c r="G12" s="364"/>
      <c r="H12" s="364"/>
      <c r="I12" s="364">
        <f>$B12*(SUMPRODUCT(I$30:I$32,$C$26:$C$28))/2</f>
        <v>66.570059733333338</v>
      </c>
      <c r="J12" s="364">
        <f>$B12*(SUMPRODUCT(J$30:J$32,$C$26:$C$28))</f>
        <v>138.43912133333336</v>
      </c>
      <c r="K12" s="364">
        <f>$B12*(SUMPRODUCT(K$30:K$32,$C$26:$C$28))</f>
        <v>144.77006506666666</v>
      </c>
      <c r="L12" s="364">
        <f>$B12*(SUMPRODUCT(L$30:L$32,$C$26:$C$28))</f>
        <v>165.85424613333336</v>
      </c>
      <c r="M12" s="364">
        <f>$B12*(SUMPRODUCT(M$30:M$32,$C$26:$C$28))</f>
        <v>176.33257600000002</v>
      </c>
      <c r="N12" s="365">
        <f>$B12*(SUMPRODUCT(N$30:N$32,$C$26:$C$28))</f>
        <v>192.87503573333333</v>
      </c>
      <c r="O12" s="378">
        <f t="shared" si="1"/>
        <v>198.50559306666668</v>
      </c>
      <c r="P12" s="379">
        <f t="shared" si="1"/>
        <v>173.5094498666667</v>
      </c>
      <c r="Q12" s="379">
        <f t="shared" si="1"/>
        <v>182.21621413333335</v>
      </c>
      <c r="R12" s="379">
        <f t="shared" si="1"/>
        <v>166.06220400000001</v>
      </c>
      <c r="S12" s="379">
        <f t="shared" si="1"/>
        <v>155.75848026666668</v>
      </c>
      <c r="T12" s="379">
        <f t="shared" si="1"/>
        <v>134.40356160000002</v>
      </c>
      <c r="U12" s="379">
        <f t="shared" si="1"/>
        <v>133.14011946666668</v>
      </c>
      <c r="V12" s="379">
        <f t="shared" si="1"/>
        <v>138.43912133333336</v>
      </c>
      <c r="W12" s="379">
        <f t="shared" si="1"/>
        <v>144.77006506666666</v>
      </c>
      <c r="X12" s="379">
        <f t="shared" si="1"/>
        <v>165.85424613333336</v>
      </c>
      <c r="Y12" s="379">
        <f t="shared" si="1"/>
        <v>176.33257600000002</v>
      </c>
      <c r="Z12" s="380">
        <f t="shared" si="1"/>
        <v>192.87503573333333</v>
      </c>
      <c r="AA12" s="363">
        <f t="shared" si="2"/>
        <v>198.50559306666668</v>
      </c>
      <c r="AB12" s="364">
        <f t="shared" si="2"/>
        <v>173.5094498666667</v>
      </c>
      <c r="AC12" s="364">
        <f t="shared" si="2"/>
        <v>182.21621413333335</v>
      </c>
      <c r="AD12" s="364">
        <f t="shared" si="2"/>
        <v>166.06220400000001</v>
      </c>
      <c r="AE12" s="364">
        <f t="shared" si="2"/>
        <v>155.75848026666668</v>
      </c>
      <c r="AF12" s="364">
        <f t="shared" si="2"/>
        <v>134.40356160000002</v>
      </c>
      <c r="AG12" s="364">
        <f t="shared" si="2"/>
        <v>133.14011946666668</v>
      </c>
      <c r="AH12" s="364">
        <f t="shared" si="2"/>
        <v>138.43912133333336</v>
      </c>
      <c r="AI12" s="364">
        <f t="shared" si="2"/>
        <v>144.77006506666666</v>
      </c>
      <c r="AJ12" s="364">
        <f t="shared" si="2"/>
        <v>165.85424613333336</v>
      </c>
      <c r="AK12" s="364">
        <f t="shared" si="2"/>
        <v>176.33257600000002</v>
      </c>
      <c r="AL12" s="364">
        <f t="shared" si="2"/>
        <v>192.87503573333333</v>
      </c>
      <c r="AM12" s="378">
        <f t="shared" si="3"/>
        <v>198.50559306666668</v>
      </c>
      <c r="AN12" s="379">
        <f t="shared" si="3"/>
        <v>173.5094498666667</v>
      </c>
      <c r="AO12" s="379">
        <f t="shared" si="3"/>
        <v>182.21621413333335</v>
      </c>
      <c r="AP12" s="379">
        <f t="shared" si="3"/>
        <v>166.06220400000001</v>
      </c>
      <c r="AQ12" s="379">
        <f t="shared" si="3"/>
        <v>155.75848026666668</v>
      </c>
      <c r="AR12" s="379">
        <f t="shared" si="3"/>
        <v>134.40356160000002</v>
      </c>
      <c r="AS12" s="379">
        <f t="shared" si="3"/>
        <v>133.14011946666668</v>
      </c>
      <c r="AT12" s="379">
        <f t="shared" si="3"/>
        <v>138.43912133333336</v>
      </c>
      <c r="AU12" s="379">
        <f t="shared" si="3"/>
        <v>144.77006506666666</v>
      </c>
      <c r="AV12" s="379">
        <f t="shared" si="3"/>
        <v>165.85424613333336</v>
      </c>
      <c r="AW12" s="379">
        <f t="shared" si="3"/>
        <v>176.33257600000002</v>
      </c>
      <c r="AX12" s="379">
        <f t="shared" si="3"/>
        <v>192.87503573333333</v>
      </c>
      <c r="AY12" s="392">
        <f t="shared" si="4"/>
        <v>884.84110400000009</v>
      </c>
      <c r="AZ12" s="399">
        <f t="shared" si="5"/>
        <v>1961.8666666666666</v>
      </c>
      <c r="BA12" s="399">
        <f t="shared" si="6"/>
        <v>1961.8666666666666</v>
      </c>
      <c r="BB12" s="533">
        <f t="shared" si="7"/>
        <v>1961.8666666666666</v>
      </c>
    </row>
    <row r="13" spans="1:54" x14ac:dyDescent="0.25">
      <c r="A13" s="18">
        <v>44774</v>
      </c>
      <c r="B13" s="94">
        <f>'6. 2022 Installed kWh Savings'!D13+'6. 2022 Installed kWh Savings'!I13+'6. 2022 Installed kWh Savings'!K13</f>
        <v>38.779299999999999</v>
      </c>
      <c r="C13" s="364"/>
      <c r="D13" s="364"/>
      <c r="E13" s="364"/>
      <c r="F13" s="364"/>
      <c r="G13" s="364"/>
      <c r="H13" s="364"/>
      <c r="I13" s="364"/>
      <c r="J13" s="364">
        <f>$B13*(SUMPRODUCT(J$30:J$32,$C$26:$C$28))/2</f>
        <v>1.3682306522500001</v>
      </c>
      <c r="K13" s="364">
        <f>$B13*(SUMPRODUCT(K$30:K$32,$C$26:$C$28))</f>
        <v>2.8616021055999998</v>
      </c>
      <c r="L13" s="364">
        <f>$B13*(SUMPRODUCT(L$30:L$32,$C$26:$C$28))</f>
        <v>3.2783632427000002</v>
      </c>
      <c r="M13" s="364">
        <f>$B13*(SUMPRODUCT(M$30:M$32,$C$26:$C$28))</f>
        <v>3.485483484</v>
      </c>
      <c r="N13" s="365">
        <f>$B13*(SUMPRODUCT(N$30:N$32,$C$26:$C$28))</f>
        <v>3.8124705415999998</v>
      </c>
      <c r="O13" s="378">
        <f t="shared" si="1"/>
        <v>3.9237671325999997</v>
      </c>
      <c r="P13" s="379">
        <f t="shared" si="1"/>
        <v>3.4296800713</v>
      </c>
      <c r="Q13" s="379">
        <f t="shared" si="1"/>
        <v>3.6017826046999999</v>
      </c>
      <c r="R13" s="379">
        <f t="shared" si="1"/>
        <v>3.2824738485</v>
      </c>
      <c r="S13" s="379">
        <f t="shared" si="1"/>
        <v>3.0788049649000002</v>
      </c>
      <c r="T13" s="379">
        <f t="shared" si="1"/>
        <v>2.6566922844</v>
      </c>
      <c r="U13" s="379">
        <f t="shared" si="1"/>
        <v>2.6317184151999995</v>
      </c>
      <c r="V13" s="379">
        <f t="shared" si="1"/>
        <v>2.7364613045000001</v>
      </c>
      <c r="W13" s="379">
        <f t="shared" si="1"/>
        <v>2.8616021055999998</v>
      </c>
      <c r="X13" s="379">
        <f t="shared" si="1"/>
        <v>3.2783632427000002</v>
      </c>
      <c r="Y13" s="379">
        <f t="shared" si="1"/>
        <v>3.485483484</v>
      </c>
      <c r="Z13" s="380">
        <f t="shared" si="1"/>
        <v>3.8124705415999998</v>
      </c>
      <c r="AA13" s="363">
        <f t="shared" si="2"/>
        <v>3.9237671325999997</v>
      </c>
      <c r="AB13" s="364">
        <f t="shared" si="2"/>
        <v>3.4296800713</v>
      </c>
      <c r="AC13" s="364">
        <f t="shared" si="2"/>
        <v>3.6017826046999999</v>
      </c>
      <c r="AD13" s="364">
        <f t="shared" si="2"/>
        <v>3.2824738485</v>
      </c>
      <c r="AE13" s="364">
        <f t="shared" si="2"/>
        <v>3.0788049649000002</v>
      </c>
      <c r="AF13" s="364">
        <f t="shared" si="2"/>
        <v>2.6566922844</v>
      </c>
      <c r="AG13" s="364">
        <f t="shared" si="2"/>
        <v>2.6317184151999995</v>
      </c>
      <c r="AH13" s="364">
        <f t="shared" si="2"/>
        <v>2.7364613045000001</v>
      </c>
      <c r="AI13" s="364">
        <f t="shared" si="2"/>
        <v>2.8616021055999998</v>
      </c>
      <c r="AJ13" s="364">
        <f t="shared" si="2"/>
        <v>3.2783632427000002</v>
      </c>
      <c r="AK13" s="364">
        <f t="shared" si="2"/>
        <v>3.485483484</v>
      </c>
      <c r="AL13" s="364">
        <f t="shared" si="2"/>
        <v>3.8124705415999998</v>
      </c>
      <c r="AM13" s="378">
        <f t="shared" si="3"/>
        <v>3.9237671325999997</v>
      </c>
      <c r="AN13" s="379">
        <f t="shared" si="3"/>
        <v>3.4296800713</v>
      </c>
      <c r="AO13" s="379">
        <f t="shared" si="3"/>
        <v>3.6017826046999999</v>
      </c>
      <c r="AP13" s="379">
        <f t="shared" si="3"/>
        <v>3.2824738485</v>
      </c>
      <c r="AQ13" s="379">
        <f t="shared" si="3"/>
        <v>3.0788049649000002</v>
      </c>
      <c r="AR13" s="379">
        <f t="shared" si="3"/>
        <v>2.6566922844</v>
      </c>
      <c r="AS13" s="379">
        <f t="shared" si="3"/>
        <v>2.6317184151999995</v>
      </c>
      <c r="AT13" s="379">
        <f t="shared" si="3"/>
        <v>2.7364613045000001</v>
      </c>
      <c r="AU13" s="379">
        <f t="shared" si="3"/>
        <v>2.8616021055999998</v>
      </c>
      <c r="AV13" s="379">
        <f t="shared" si="3"/>
        <v>3.2783632427000002</v>
      </c>
      <c r="AW13" s="379">
        <f t="shared" si="3"/>
        <v>3.485483484</v>
      </c>
      <c r="AX13" s="379">
        <f t="shared" si="3"/>
        <v>3.8124705415999998</v>
      </c>
      <c r="AY13" s="392">
        <f t="shared" si="4"/>
        <v>14.80615002615</v>
      </c>
      <c r="AZ13" s="399">
        <f t="shared" si="5"/>
        <v>38.779299999999999</v>
      </c>
      <c r="BA13" s="399">
        <f t="shared" si="6"/>
        <v>38.779299999999999</v>
      </c>
      <c r="BB13" s="533">
        <f t="shared" si="7"/>
        <v>38.779299999999999</v>
      </c>
    </row>
    <row r="14" spans="1:54" x14ac:dyDescent="0.25">
      <c r="A14" s="18">
        <v>44805</v>
      </c>
      <c r="B14" s="94">
        <f>'6. 2022 Installed kWh Savings'!D14+'6. 2022 Installed kWh Savings'!I14+'6. 2022 Installed kWh Savings'!K14</f>
        <v>0</v>
      </c>
      <c r="C14" s="364"/>
      <c r="D14" s="364"/>
      <c r="E14" s="364"/>
      <c r="F14" s="364"/>
      <c r="G14" s="364"/>
      <c r="H14" s="364"/>
      <c r="I14" s="364"/>
      <c r="J14" s="364"/>
      <c r="K14" s="364">
        <f>$B14*(SUMPRODUCT(K$30:K$32,$C$26:$C$28))/2</f>
        <v>0</v>
      </c>
      <c r="L14" s="364">
        <f>$B14*(SUMPRODUCT(L$30:L$32,$C$26:$C$28))</f>
        <v>0</v>
      </c>
      <c r="M14" s="364">
        <f>$B14*(SUMPRODUCT(M$30:M$32,$C$26:$C$28))</f>
        <v>0</v>
      </c>
      <c r="N14" s="365">
        <f>$B14*(SUMPRODUCT(N$30:N$32,$C$26:$C$28))</f>
        <v>0</v>
      </c>
      <c r="O14" s="378">
        <f t="shared" si="1"/>
        <v>0</v>
      </c>
      <c r="P14" s="379">
        <f t="shared" si="1"/>
        <v>0</v>
      </c>
      <c r="Q14" s="379">
        <f t="shared" si="1"/>
        <v>0</v>
      </c>
      <c r="R14" s="379">
        <f t="shared" si="1"/>
        <v>0</v>
      </c>
      <c r="S14" s="379">
        <f t="shared" si="1"/>
        <v>0</v>
      </c>
      <c r="T14" s="379">
        <f t="shared" si="1"/>
        <v>0</v>
      </c>
      <c r="U14" s="379">
        <f t="shared" si="1"/>
        <v>0</v>
      </c>
      <c r="V14" s="379">
        <f t="shared" si="1"/>
        <v>0</v>
      </c>
      <c r="W14" s="379">
        <f t="shared" si="1"/>
        <v>0</v>
      </c>
      <c r="X14" s="379">
        <f t="shared" si="1"/>
        <v>0</v>
      </c>
      <c r="Y14" s="379">
        <f t="shared" si="1"/>
        <v>0</v>
      </c>
      <c r="Z14" s="380">
        <f t="shared" si="1"/>
        <v>0</v>
      </c>
      <c r="AA14" s="363">
        <f t="shared" si="2"/>
        <v>0</v>
      </c>
      <c r="AB14" s="364">
        <f t="shared" si="2"/>
        <v>0</v>
      </c>
      <c r="AC14" s="364">
        <f t="shared" si="2"/>
        <v>0</v>
      </c>
      <c r="AD14" s="364">
        <f t="shared" si="2"/>
        <v>0</v>
      </c>
      <c r="AE14" s="364">
        <f t="shared" si="2"/>
        <v>0</v>
      </c>
      <c r="AF14" s="364">
        <f t="shared" si="2"/>
        <v>0</v>
      </c>
      <c r="AG14" s="364">
        <f t="shared" si="2"/>
        <v>0</v>
      </c>
      <c r="AH14" s="364">
        <f t="shared" si="2"/>
        <v>0</v>
      </c>
      <c r="AI14" s="364">
        <f t="shared" si="2"/>
        <v>0</v>
      </c>
      <c r="AJ14" s="364">
        <f t="shared" si="2"/>
        <v>0</v>
      </c>
      <c r="AK14" s="364">
        <f t="shared" si="2"/>
        <v>0</v>
      </c>
      <c r="AL14" s="364">
        <f t="shared" si="2"/>
        <v>0</v>
      </c>
      <c r="AM14" s="378">
        <f t="shared" si="3"/>
        <v>0</v>
      </c>
      <c r="AN14" s="379">
        <f t="shared" si="3"/>
        <v>0</v>
      </c>
      <c r="AO14" s="379">
        <f t="shared" si="3"/>
        <v>0</v>
      </c>
      <c r="AP14" s="379">
        <f t="shared" si="3"/>
        <v>0</v>
      </c>
      <c r="AQ14" s="379">
        <f t="shared" si="3"/>
        <v>0</v>
      </c>
      <c r="AR14" s="379">
        <f t="shared" si="3"/>
        <v>0</v>
      </c>
      <c r="AS14" s="379">
        <f t="shared" si="3"/>
        <v>0</v>
      </c>
      <c r="AT14" s="379">
        <f t="shared" si="3"/>
        <v>0</v>
      </c>
      <c r="AU14" s="379">
        <f t="shared" si="3"/>
        <v>0</v>
      </c>
      <c r="AV14" s="379">
        <f t="shared" si="3"/>
        <v>0</v>
      </c>
      <c r="AW14" s="379">
        <f t="shared" si="3"/>
        <v>0</v>
      </c>
      <c r="AX14" s="379">
        <f t="shared" si="3"/>
        <v>0</v>
      </c>
      <c r="AY14" s="392">
        <f t="shared" si="4"/>
        <v>0</v>
      </c>
      <c r="AZ14" s="399">
        <f t="shared" si="5"/>
        <v>0</v>
      </c>
      <c r="BA14" s="399">
        <f t="shared" si="6"/>
        <v>0</v>
      </c>
      <c r="BB14" s="533">
        <f t="shared" si="7"/>
        <v>0</v>
      </c>
    </row>
    <row r="15" spans="1:54" x14ac:dyDescent="0.25">
      <c r="A15" s="18">
        <v>44835</v>
      </c>
      <c r="B15" s="94">
        <f>'6. 2022 Installed kWh Savings'!D15+'6. 2022 Installed kWh Savings'!I15+'6. 2022 Installed kWh Savings'!K15</f>
        <v>1374.2666666666669</v>
      </c>
      <c r="C15" s="364"/>
      <c r="D15" s="364"/>
      <c r="E15" s="364"/>
      <c r="F15" s="364"/>
      <c r="G15" s="364"/>
      <c r="H15" s="364"/>
      <c r="I15" s="364"/>
      <c r="J15" s="364"/>
      <c r="K15" s="364"/>
      <c r="L15" s="364">
        <f>$B15*(SUMPRODUCT(L$30:L$32,$C$26:$C$28))/2</f>
        <v>58.089564866666677</v>
      </c>
      <c r="M15" s="364">
        <f>$B15*(SUMPRODUCT(M$30:M$32,$C$26:$C$28))</f>
        <v>123.51908800000002</v>
      </c>
      <c r="N15" s="365">
        <f>$B15*(SUMPRODUCT(N$30:N$32,$C$26:$C$28))</f>
        <v>135.10690453333336</v>
      </c>
      <c r="O15" s="378">
        <f t="shared" si="1"/>
        <v>139.05104986666669</v>
      </c>
      <c r="P15" s="379">
        <f t="shared" si="1"/>
        <v>121.5415182666667</v>
      </c>
      <c r="Q15" s="379">
        <f t="shared" si="1"/>
        <v>127.64051373333336</v>
      </c>
      <c r="R15" s="379">
        <f t="shared" si="1"/>
        <v>116.32480200000002</v>
      </c>
      <c r="S15" s="379">
        <f t="shared" si="1"/>
        <v>109.10715346666669</v>
      </c>
      <c r="T15" s="379">
        <f t="shared" si="1"/>
        <v>94.148260800000017</v>
      </c>
      <c r="U15" s="379">
        <f t="shared" si="1"/>
        <v>93.263233066666672</v>
      </c>
      <c r="V15" s="379">
        <f t="shared" si="1"/>
        <v>96.975127333333347</v>
      </c>
      <c r="W15" s="379">
        <f t="shared" si="1"/>
        <v>101.40988586666668</v>
      </c>
      <c r="X15" s="379">
        <f t="shared" si="1"/>
        <v>116.17912973333335</v>
      </c>
      <c r="Y15" s="379">
        <f t="shared" si="1"/>
        <v>123.51908800000002</v>
      </c>
      <c r="Z15" s="380">
        <f t="shared" si="1"/>
        <v>135.10690453333336</v>
      </c>
      <c r="AA15" s="363">
        <f t="shared" si="2"/>
        <v>139.05104986666669</v>
      </c>
      <c r="AB15" s="364">
        <f t="shared" si="2"/>
        <v>121.5415182666667</v>
      </c>
      <c r="AC15" s="364">
        <f t="shared" si="2"/>
        <v>127.64051373333336</v>
      </c>
      <c r="AD15" s="364">
        <f t="shared" si="2"/>
        <v>116.32480200000002</v>
      </c>
      <c r="AE15" s="364">
        <f t="shared" si="2"/>
        <v>109.10715346666669</v>
      </c>
      <c r="AF15" s="364">
        <f t="shared" si="2"/>
        <v>94.148260800000017</v>
      </c>
      <c r="AG15" s="364">
        <f t="shared" si="2"/>
        <v>93.263233066666672</v>
      </c>
      <c r="AH15" s="364">
        <f t="shared" si="2"/>
        <v>96.975127333333347</v>
      </c>
      <c r="AI15" s="364">
        <f t="shared" si="2"/>
        <v>101.40988586666668</v>
      </c>
      <c r="AJ15" s="364">
        <f t="shared" si="2"/>
        <v>116.17912973333335</v>
      </c>
      <c r="AK15" s="364">
        <f t="shared" si="2"/>
        <v>123.51908800000002</v>
      </c>
      <c r="AL15" s="364">
        <f t="shared" si="2"/>
        <v>135.10690453333336</v>
      </c>
      <c r="AM15" s="378">
        <f t="shared" si="3"/>
        <v>139.05104986666669</v>
      </c>
      <c r="AN15" s="379">
        <f t="shared" si="3"/>
        <v>121.5415182666667</v>
      </c>
      <c r="AO15" s="379">
        <f t="shared" si="3"/>
        <v>127.64051373333336</v>
      </c>
      <c r="AP15" s="379">
        <f t="shared" si="3"/>
        <v>116.32480200000002</v>
      </c>
      <c r="AQ15" s="379">
        <f t="shared" si="3"/>
        <v>109.10715346666669</v>
      </c>
      <c r="AR15" s="379">
        <f t="shared" si="3"/>
        <v>94.148260800000017</v>
      </c>
      <c r="AS15" s="379">
        <f t="shared" si="3"/>
        <v>93.263233066666672</v>
      </c>
      <c r="AT15" s="379">
        <f t="shared" si="3"/>
        <v>96.975127333333347</v>
      </c>
      <c r="AU15" s="379">
        <f t="shared" si="3"/>
        <v>101.40988586666668</v>
      </c>
      <c r="AV15" s="379">
        <f t="shared" si="3"/>
        <v>116.17912973333335</v>
      </c>
      <c r="AW15" s="379">
        <f t="shared" si="3"/>
        <v>123.51908800000002</v>
      </c>
      <c r="AX15" s="379">
        <f t="shared" si="3"/>
        <v>135.10690453333336</v>
      </c>
      <c r="AY15" s="392">
        <f t="shared" si="4"/>
        <v>316.71555740000008</v>
      </c>
      <c r="AZ15" s="399">
        <f t="shared" si="5"/>
        <v>1374.2666666666669</v>
      </c>
      <c r="BA15" s="399">
        <f t="shared" si="6"/>
        <v>1374.2666666666669</v>
      </c>
      <c r="BB15" s="533">
        <f t="shared" si="7"/>
        <v>1374.2666666666669</v>
      </c>
    </row>
    <row r="16" spans="1:54" x14ac:dyDescent="0.25">
      <c r="A16" s="18">
        <v>44866</v>
      </c>
      <c r="B16" s="94">
        <f>'6. 2022 Installed kWh Savings'!D16+'6. 2022 Installed kWh Savings'!I16+'6. 2022 Installed kWh Savings'!K16</f>
        <v>157957.63566666647</v>
      </c>
      <c r="C16" s="364"/>
      <c r="D16" s="364"/>
      <c r="E16" s="364"/>
      <c r="F16" s="364"/>
      <c r="G16" s="364"/>
      <c r="H16" s="364"/>
      <c r="I16" s="364"/>
      <c r="J16" s="364"/>
      <c r="K16" s="364"/>
      <c r="L16" s="364"/>
      <c r="M16" s="364">
        <f>$B16*(SUMPRODUCT(M$30:M$32,$C$26:$C$28))/2</f>
        <v>7098.6161468599912</v>
      </c>
      <c r="N16" s="365">
        <f>$B16*(SUMPRODUCT(N$30:N$32,$C$26:$C$28))</f>
        <v>15529.131077661314</v>
      </c>
      <c r="O16" s="378">
        <f t="shared" si="1"/>
        <v>15982.469492024646</v>
      </c>
      <c r="P16" s="379">
        <f t="shared" si="1"/>
        <v>13969.931255995651</v>
      </c>
      <c r="Q16" s="379">
        <f t="shared" si="1"/>
        <v>14670.947243084314</v>
      </c>
      <c r="R16" s="379">
        <f t="shared" si="1"/>
        <v>13370.324071004983</v>
      </c>
      <c r="S16" s="379">
        <f t="shared" si="1"/>
        <v>12540.730568483652</v>
      </c>
      <c r="T16" s="379">
        <f t="shared" si="1"/>
        <v>10821.361704251985</v>
      </c>
      <c r="U16" s="379">
        <f t="shared" si="1"/>
        <v>10719.636986882651</v>
      </c>
      <c r="V16" s="379">
        <f t="shared" si="1"/>
        <v>11146.280560818319</v>
      </c>
      <c r="W16" s="379">
        <f t="shared" si="1"/>
        <v>11656.009851114652</v>
      </c>
      <c r="X16" s="379">
        <f t="shared" si="1"/>
        <v>13353.580561624316</v>
      </c>
      <c r="Y16" s="379">
        <f t="shared" si="1"/>
        <v>14197.232293719982</v>
      </c>
      <c r="Z16" s="380">
        <f t="shared" si="1"/>
        <v>15529.131077661314</v>
      </c>
      <c r="AA16" s="363">
        <f t="shared" si="2"/>
        <v>15982.469492024646</v>
      </c>
      <c r="AB16" s="364">
        <f t="shared" si="2"/>
        <v>13969.931255995651</v>
      </c>
      <c r="AC16" s="364">
        <f t="shared" si="2"/>
        <v>14670.947243084314</v>
      </c>
      <c r="AD16" s="364">
        <f t="shared" si="2"/>
        <v>13370.324071004983</v>
      </c>
      <c r="AE16" s="364">
        <f t="shared" si="2"/>
        <v>12540.730568483652</v>
      </c>
      <c r="AF16" s="364">
        <f t="shared" si="2"/>
        <v>10821.361704251985</v>
      </c>
      <c r="AG16" s="364">
        <f t="shared" si="2"/>
        <v>10719.636986882651</v>
      </c>
      <c r="AH16" s="364">
        <f t="shared" si="2"/>
        <v>11146.280560818319</v>
      </c>
      <c r="AI16" s="364">
        <f t="shared" si="2"/>
        <v>11656.009851114652</v>
      </c>
      <c r="AJ16" s="364">
        <f t="shared" si="2"/>
        <v>13353.580561624316</v>
      </c>
      <c r="AK16" s="364">
        <f t="shared" si="2"/>
        <v>14197.232293719982</v>
      </c>
      <c r="AL16" s="364">
        <f t="shared" si="2"/>
        <v>15529.131077661314</v>
      </c>
      <c r="AM16" s="378">
        <f t="shared" si="3"/>
        <v>15982.469492024646</v>
      </c>
      <c r="AN16" s="379">
        <f t="shared" si="3"/>
        <v>13969.931255995651</v>
      </c>
      <c r="AO16" s="379">
        <f t="shared" si="3"/>
        <v>14670.947243084314</v>
      </c>
      <c r="AP16" s="379">
        <f t="shared" si="3"/>
        <v>13370.324071004983</v>
      </c>
      <c r="AQ16" s="379">
        <f t="shared" si="3"/>
        <v>12540.730568483652</v>
      </c>
      <c r="AR16" s="379">
        <f t="shared" si="3"/>
        <v>10821.361704251985</v>
      </c>
      <c r="AS16" s="379">
        <f t="shared" si="3"/>
        <v>10719.636986882651</v>
      </c>
      <c r="AT16" s="379">
        <f t="shared" si="3"/>
        <v>11146.280560818319</v>
      </c>
      <c r="AU16" s="379">
        <f t="shared" si="3"/>
        <v>11656.009851114652</v>
      </c>
      <c r="AV16" s="379">
        <f t="shared" si="3"/>
        <v>13353.580561624316</v>
      </c>
      <c r="AW16" s="379">
        <f t="shared" si="3"/>
        <v>14197.232293719982</v>
      </c>
      <c r="AX16" s="379">
        <f t="shared" si="3"/>
        <v>15529.131077661314</v>
      </c>
      <c r="AY16" s="392">
        <f t="shared" si="4"/>
        <v>22627.747224521307</v>
      </c>
      <c r="AZ16" s="399">
        <f t="shared" si="5"/>
        <v>157957.63566666647</v>
      </c>
      <c r="BA16" s="399">
        <f t="shared" si="6"/>
        <v>157957.63566666647</v>
      </c>
      <c r="BB16" s="533">
        <f t="shared" si="7"/>
        <v>157957.63566666647</v>
      </c>
    </row>
    <row r="17" spans="1:54" x14ac:dyDescent="0.25">
      <c r="A17" s="18">
        <v>44896</v>
      </c>
      <c r="B17" s="95">
        <f>'6. 2022 Installed kWh Savings'!D17+'6. 2022 Installed kWh Savings'!I17+'6. 2022 Installed kWh Savings'!K17</f>
        <v>208763.79706666645</v>
      </c>
      <c r="C17" s="364"/>
      <c r="D17" s="364"/>
      <c r="E17" s="364"/>
      <c r="F17" s="364"/>
      <c r="G17" s="364"/>
      <c r="H17" s="364"/>
      <c r="I17" s="364"/>
      <c r="J17" s="364"/>
      <c r="K17" s="364"/>
      <c r="L17" s="364"/>
      <c r="M17" s="364"/>
      <c r="N17" s="365">
        <f>$B17*(SUMPRODUCT(N$30:N$32,$C$26:$C$28))/2</f>
        <v>10261.993208609056</v>
      </c>
      <c r="O17" s="378">
        <f>$B17*(SUMPRODUCT(O$30:O$32,$C$26:$C$28))</f>
        <v>21123.138514799444</v>
      </c>
      <c r="P17" s="379">
        <f t="shared" si="1"/>
        <v>18463.278976373047</v>
      </c>
      <c r="Q17" s="379">
        <f t="shared" si="1"/>
        <v>19389.772707754913</v>
      </c>
      <c r="R17" s="379">
        <f t="shared" si="1"/>
        <v>17670.811602707981</v>
      </c>
      <c r="S17" s="379">
        <f t="shared" si="1"/>
        <v>16574.384140513852</v>
      </c>
      <c r="T17" s="379">
        <f t="shared" si="1"/>
        <v>14301.990209443185</v>
      </c>
      <c r="U17" s="379">
        <f t="shared" si="1"/>
        <v>14167.54632413225</v>
      </c>
      <c r="V17" s="379">
        <f t="shared" si="1"/>
        <v>14731.417340009319</v>
      </c>
      <c r="W17" s="379">
        <f t="shared" si="1"/>
        <v>15405.098113143449</v>
      </c>
      <c r="X17" s="379">
        <f t="shared" si="1"/>
        <v>17648.682640218914</v>
      </c>
      <c r="Y17" s="379">
        <f t="shared" si="1"/>
        <v>18763.690080351982</v>
      </c>
      <c r="Z17" s="380">
        <f t="shared" si="1"/>
        <v>20523.986417218111</v>
      </c>
      <c r="AA17" s="363">
        <f>$B17*(SUMPRODUCT(AA$30:AA$32,$C$26:$C$28))</f>
        <v>21123.138514799444</v>
      </c>
      <c r="AB17" s="364">
        <f t="shared" si="2"/>
        <v>18463.278976373047</v>
      </c>
      <c r="AC17" s="364">
        <f t="shared" si="2"/>
        <v>19389.772707754913</v>
      </c>
      <c r="AD17" s="364">
        <f t="shared" si="2"/>
        <v>17670.811602707981</v>
      </c>
      <c r="AE17" s="364">
        <f t="shared" si="2"/>
        <v>16574.384140513852</v>
      </c>
      <c r="AF17" s="364">
        <f t="shared" si="2"/>
        <v>14301.990209443185</v>
      </c>
      <c r="AG17" s="364">
        <f t="shared" si="2"/>
        <v>14167.54632413225</v>
      </c>
      <c r="AH17" s="364">
        <f t="shared" si="2"/>
        <v>14731.417340009319</v>
      </c>
      <c r="AI17" s="364">
        <f t="shared" si="2"/>
        <v>15405.098113143449</v>
      </c>
      <c r="AJ17" s="364">
        <f t="shared" si="2"/>
        <v>17648.682640218914</v>
      </c>
      <c r="AK17" s="364">
        <f t="shared" si="2"/>
        <v>18763.690080351982</v>
      </c>
      <c r="AL17" s="364">
        <f t="shared" si="2"/>
        <v>20523.986417218111</v>
      </c>
      <c r="AM17" s="378">
        <f>$B17*(SUMPRODUCT(AM$30:AM$32,$C$26:$C$28))</f>
        <v>21123.138514799444</v>
      </c>
      <c r="AN17" s="379">
        <f t="shared" si="3"/>
        <v>18463.278976373047</v>
      </c>
      <c r="AO17" s="379">
        <f t="shared" si="3"/>
        <v>19389.772707754913</v>
      </c>
      <c r="AP17" s="379">
        <f t="shared" si="3"/>
        <v>17670.811602707981</v>
      </c>
      <c r="AQ17" s="379">
        <f t="shared" si="3"/>
        <v>16574.384140513852</v>
      </c>
      <c r="AR17" s="379">
        <f t="shared" si="3"/>
        <v>14301.990209443185</v>
      </c>
      <c r="AS17" s="379">
        <f t="shared" si="3"/>
        <v>14167.54632413225</v>
      </c>
      <c r="AT17" s="379">
        <f t="shared" si="3"/>
        <v>14731.417340009319</v>
      </c>
      <c r="AU17" s="379">
        <f t="shared" si="3"/>
        <v>15405.098113143449</v>
      </c>
      <c r="AV17" s="379">
        <f t="shared" si="3"/>
        <v>17648.682640218914</v>
      </c>
      <c r="AW17" s="379">
        <f t="shared" si="3"/>
        <v>18763.690080351982</v>
      </c>
      <c r="AX17" s="379">
        <f t="shared" si="3"/>
        <v>20523.986417218111</v>
      </c>
      <c r="AY17" s="392">
        <f t="shared" si="4"/>
        <v>10261.993208609056</v>
      </c>
      <c r="AZ17" s="399">
        <f t="shared" si="5"/>
        <v>208763.79706666645</v>
      </c>
      <c r="BA17" s="399">
        <f t="shared" si="6"/>
        <v>208763.79706666645</v>
      </c>
      <c r="BB17" s="533">
        <f t="shared" si="7"/>
        <v>208763.79706666645</v>
      </c>
    </row>
    <row r="18" spans="1:54" x14ac:dyDescent="0.25">
      <c r="A18" s="18"/>
      <c r="B18" s="20"/>
      <c r="C18" s="363"/>
      <c r="D18" s="364"/>
      <c r="E18" s="364"/>
      <c r="F18" s="364"/>
      <c r="G18" s="364"/>
      <c r="H18" s="364"/>
      <c r="I18" s="364"/>
      <c r="J18" s="364"/>
      <c r="K18" s="364"/>
      <c r="L18" s="364"/>
      <c r="M18" s="364"/>
      <c r="N18" s="365"/>
      <c r="O18" s="378"/>
      <c r="P18" s="379"/>
      <c r="Q18" s="379"/>
      <c r="R18" s="379"/>
      <c r="S18" s="379"/>
      <c r="T18" s="379"/>
      <c r="U18" s="379"/>
      <c r="V18" s="379"/>
      <c r="W18" s="379"/>
      <c r="X18" s="379"/>
      <c r="Y18" s="379"/>
      <c r="Z18" s="380"/>
      <c r="AA18" s="363"/>
      <c r="AB18" s="364"/>
      <c r="AC18" s="364"/>
      <c r="AD18" s="364"/>
      <c r="AE18" s="364"/>
      <c r="AF18" s="364"/>
      <c r="AG18" s="364"/>
      <c r="AH18" s="364"/>
      <c r="AI18" s="364"/>
      <c r="AJ18" s="364"/>
      <c r="AK18" s="364"/>
      <c r="AL18" s="364"/>
      <c r="AM18" s="378"/>
      <c r="AN18" s="379"/>
      <c r="AO18" s="379"/>
      <c r="AP18" s="379"/>
      <c r="AQ18" s="379"/>
      <c r="AR18" s="379"/>
      <c r="AS18" s="379"/>
      <c r="AT18" s="379"/>
      <c r="AU18" s="379"/>
      <c r="AV18" s="379"/>
      <c r="AW18" s="379"/>
      <c r="AX18" s="379"/>
      <c r="AY18" s="392"/>
      <c r="AZ18" s="399"/>
      <c r="BA18" s="399"/>
      <c r="BB18" s="534"/>
    </row>
    <row r="19" spans="1:54" x14ac:dyDescent="0.25">
      <c r="A19" s="88" t="s">
        <v>35</v>
      </c>
      <c r="B19" s="20">
        <f>SUM(B6:B17)</f>
        <v>375142.27869999956</v>
      </c>
      <c r="C19" s="447">
        <f t="shared" ref="C19:N19" si="8">SUM(C6:C17)</f>
        <v>0</v>
      </c>
      <c r="D19" s="448">
        <f t="shared" si="8"/>
        <v>0</v>
      </c>
      <c r="E19" s="448">
        <f t="shared" si="8"/>
        <v>77.464181966666672</v>
      </c>
      <c r="F19" s="448">
        <f t="shared" si="8"/>
        <v>270.83578499999999</v>
      </c>
      <c r="G19" s="448">
        <f t="shared" si="8"/>
        <v>375.62945446666669</v>
      </c>
      <c r="H19" s="448">
        <f t="shared" si="8"/>
        <v>334.90820880000001</v>
      </c>
      <c r="I19" s="448">
        <f t="shared" si="8"/>
        <v>409.0072794666666</v>
      </c>
      <c r="J19" s="448">
        <f t="shared" si="8"/>
        <v>495.87363765225012</v>
      </c>
      <c r="K19" s="448">
        <f t="shared" si="8"/>
        <v>519.98117970559997</v>
      </c>
      <c r="L19" s="448">
        <f t="shared" si="8"/>
        <v>653.80033230936681</v>
      </c>
      <c r="M19" s="448">
        <f t="shared" si="8"/>
        <v>7855.4817823439917</v>
      </c>
      <c r="N19" s="449">
        <f t="shared" si="8"/>
        <v>26618.994494945302</v>
      </c>
      <c r="O19" s="425">
        <f t="shared" ref="O19:Z19" si="9">SUM(O6:O17)</f>
        <v>37957.64604342336</v>
      </c>
      <c r="P19" s="426">
        <f t="shared" si="9"/>
        <v>33177.958270506664</v>
      </c>
      <c r="Q19" s="426">
        <f t="shared" si="9"/>
        <v>34842.839703377264</v>
      </c>
      <c r="R19" s="426">
        <f t="shared" si="9"/>
        <v>31753.918180561464</v>
      </c>
      <c r="S19" s="426">
        <f t="shared" si="9"/>
        <v>29783.670932829071</v>
      </c>
      <c r="T19" s="426">
        <f t="shared" si="9"/>
        <v>25700.247229179571</v>
      </c>
      <c r="U19" s="426">
        <f t="shared" si="9"/>
        <v>25458.655601696766</v>
      </c>
      <c r="V19" s="426">
        <f t="shared" si="9"/>
        <v>26471.914896465471</v>
      </c>
      <c r="W19" s="426">
        <f t="shared" si="9"/>
        <v>27682.499029830367</v>
      </c>
      <c r="X19" s="426">
        <f t="shared" si="9"/>
        <v>31714.153099019262</v>
      </c>
      <c r="Y19" s="426">
        <f t="shared" si="9"/>
        <v>33717.788009555967</v>
      </c>
      <c r="Z19" s="427">
        <f t="shared" si="9"/>
        <v>36880.987703554361</v>
      </c>
      <c r="AA19" s="447">
        <f t="shared" ref="AA19:BA19" si="10">SUM(AA6:AA17)</f>
        <v>37957.64604342336</v>
      </c>
      <c r="AB19" s="448">
        <f t="shared" si="10"/>
        <v>33177.958270506664</v>
      </c>
      <c r="AC19" s="448">
        <f t="shared" si="10"/>
        <v>34842.839703377264</v>
      </c>
      <c r="AD19" s="448">
        <f t="shared" si="10"/>
        <v>31753.918180561464</v>
      </c>
      <c r="AE19" s="448">
        <f t="shared" si="10"/>
        <v>29783.670932829071</v>
      </c>
      <c r="AF19" s="448">
        <f t="shared" si="10"/>
        <v>25700.247229179571</v>
      </c>
      <c r="AG19" s="448">
        <f t="shared" si="10"/>
        <v>25458.655601696766</v>
      </c>
      <c r="AH19" s="448">
        <f t="shared" si="10"/>
        <v>26471.914896465471</v>
      </c>
      <c r="AI19" s="448">
        <f t="shared" si="10"/>
        <v>27682.499029830367</v>
      </c>
      <c r="AJ19" s="448">
        <f t="shared" si="10"/>
        <v>31714.153099019262</v>
      </c>
      <c r="AK19" s="448">
        <f t="shared" si="10"/>
        <v>33717.788009555967</v>
      </c>
      <c r="AL19" s="448">
        <f t="shared" si="10"/>
        <v>36880.987703554361</v>
      </c>
      <c r="AM19" s="425">
        <f t="shared" ref="AM19:AX19" si="11">SUM(AM6:AM17)</f>
        <v>37957.64604342336</v>
      </c>
      <c r="AN19" s="426">
        <f t="shared" si="11"/>
        <v>33177.958270506664</v>
      </c>
      <c r="AO19" s="426">
        <f t="shared" si="11"/>
        <v>34842.839703377264</v>
      </c>
      <c r="AP19" s="426">
        <f t="shared" si="11"/>
        <v>31753.918180561464</v>
      </c>
      <c r="AQ19" s="426">
        <f t="shared" si="11"/>
        <v>29783.670932829071</v>
      </c>
      <c r="AR19" s="426">
        <f t="shared" si="11"/>
        <v>25700.247229179571</v>
      </c>
      <c r="AS19" s="426">
        <f t="shared" si="11"/>
        <v>25458.655601696766</v>
      </c>
      <c r="AT19" s="426">
        <f t="shared" si="11"/>
        <v>26471.914896465471</v>
      </c>
      <c r="AU19" s="426">
        <f t="shared" si="11"/>
        <v>27682.499029830367</v>
      </c>
      <c r="AV19" s="426">
        <f t="shared" si="11"/>
        <v>31714.153099019262</v>
      </c>
      <c r="AW19" s="426">
        <f t="shared" si="11"/>
        <v>33717.788009555967</v>
      </c>
      <c r="AX19" s="426">
        <f t="shared" si="11"/>
        <v>36880.987703554361</v>
      </c>
      <c r="AY19" s="397">
        <f t="shared" ref="AY19" si="12">SUM(AY6:AY17)</f>
        <v>37611.976336656517</v>
      </c>
      <c r="AZ19" s="411">
        <f t="shared" si="10"/>
        <v>375142.27869999956</v>
      </c>
      <c r="BA19" s="398">
        <f t="shared" si="10"/>
        <v>375142.27869999956</v>
      </c>
      <c r="BB19" s="535">
        <f t="shared" ref="BB19" si="13">SUM(BB6:BB17)</f>
        <v>375142.27869999956</v>
      </c>
    </row>
    <row r="20" spans="1:54" x14ac:dyDescent="0.25">
      <c r="A20" s="88" t="s">
        <v>38</v>
      </c>
      <c r="B20" s="733">
        <v>0.82499999999999996</v>
      </c>
      <c r="C20" s="366"/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8"/>
      <c r="O20" s="381"/>
      <c r="P20" s="382"/>
      <c r="Q20" s="382"/>
      <c r="R20" s="382"/>
      <c r="S20" s="382"/>
      <c r="T20" s="382"/>
      <c r="U20" s="382"/>
      <c r="V20" s="382"/>
      <c r="W20" s="382"/>
      <c r="X20" s="382"/>
      <c r="Y20" s="382"/>
      <c r="Z20" s="383"/>
      <c r="AA20" s="366"/>
      <c r="AB20" s="367"/>
      <c r="AC20" s="367"/>
      <c r="AD20" s="367"/>
      <c r="AE20" s="367"/>
      <c r="AF20" s="367"/>
      <c r="AG20" s="367"/>
      <c r="AH20" s="367"/>
      <c r="AI20" s="367"/>
      <c r="AJ20" s="367"/>
      <c r="AK20" s="367"/>
      <c r="AL20" s="367"/>
      <c r="AM20" s="381"/>
      <c r="AN20" s="382"/>
      <c r="AO20" s="382"/>
      <c r="AP20" s="382"/>
      <c r="AQ20" s="382"/>
      <c r="AR20" s="382"/>
      <c r="AS20" s="382"/>
      <c r="AT20" s="382"/>
      <c r="AU20" s="382"/>
      <c r="AV20" s="382"/>
      <c r="AW20" s="382"/>
      <c r="AX20" s="382"/>
      <c r="AY20" s="393"/>
      <c r="AZ20" s="400"/>
      <c r="BA20" s="394"/>
      <c r="BB20" s="394"/>
    </row>
    <row r="21" spans="1:54" x14ac:dyDescent="0.25">
      <c r="A21" s="88" t="s">
        <v>36</v>
      </c>
      <c r="B21" s="20"/>
      <c r="C21" s="369">
        <f>$E$38</f>
        <v>7.7550000000000008E-2</v>
      </c>
      <c r="D21" s="360">
        <f>$E$38</f>
        <v>7.7550000000000008E-2</v>
      </c>
      <c r="E21" s="360">
        <f>$E$38</f>
        <v>7.7550000000000008E-2</v>
      </c>
      <c r="F21" s="360">
        <f>$E$38</f>
        <v>7.7550000000000008E-2</v>
      </c>
      <c r="G21" s="360">
        <f>$E$38</f>
        <v>7.7550000000000008E-2</v>
      </c>
      <c r="H21" s="406">
        <f>E38*0.5+J37*0.5</f>
        <v>0.10233500000000001</v>
      </c>
      <c r="I21" s="360">
        <f>$J$37</f>
        <v>0.12712000000000001</v>
      </c>
      <c r="J21" s="360">
        <f>$J$37</f>
        <v>0.12712000000000001</v>
      </c>
      <c r="K21" s="360">
        <f>$J$37</f>
        <v>0.12712000000000001</v>
      </c>
      <c r="L21" s="406">
        <f>J37*0.5+J38*0.5</f>
        <v>0.1139</v>
      </c>
      <c r="M21" s="360">
        <f t="shared" ref="M21:S21" si="14">$P$38</f>
        <v>0.10241358634724779</v>
      </c>
      <c r="N21" s="370">
        <f t="shared" si="14"/>
        <v>0.10241358634724779</v>
      </c>
      <c r="O21" s="384">
        <f t="shared" si="14"/>
        <v>0.10241358634724779</v>
      </c>
      <c r="P21" s="374">
        <f t="shared" si="14"/>
        <v>0.10241358634724779</v>
      </c>
      <c r="Q21" s="374">
        <f t="shared" si="14"/>
        <v>0.10241358634724779</v>
      </c>
      <c r="R21" s="374">
        <f t="shared" si="14"/>
        <v>0.10241358634724779</v>
      </c>
      <c r="S21" s="374">
        <f t="shared" si="14"/>
        <v>0.10241358634724779</v>
      </c>
      <c r="T21" s="374">
        <f>P37*0.5+P38*0.5</f>
        <v>0.11431358634724779</v>
      </c>
      <c r="U21" s="374">
        <f>$P$37</f>
        <v>0.1262135863472478</v>
      </c>
      <c r="V21" s="374">
        <f>$P$37</f>
        <v>0.1262135863472478</v>
      </c>
      <c r="W21" s="374">
        <f>$P$37</f>
        <v>0.1262135863472478</v>
      </c>
      <c r="X21" s="374">
        <f>P37*0.5+P38*0.5</f>
        <v>0.11431358634724779</v>
      </c>
      <c r="Y21" s="374">
        <f>$P$38</f>
        <v>0.10241358634724779</v>
      </c>
      <c r="Z21" s="385">
        <f>$P$38</f>
        <v>0.10241358634724779</v>
      </c>
      <c r="AA21" s="369">
        <f t="shared" ref="AA21:AE21" si="15">$P$38</f>
        <v>0.10241358634724779</v>
      </c>
      <c r="AB21" s="360">
        <f t="shared" si="15"/>
        <v>0.10241358634724779</v>
      </c>
      <c r="AC21" s="360">
        <f t="shared" si="15"/>
        <v>0.10241358634724779</v>
      </c>
      <c r="AD21" s="360">
        <f t="shared" si="15"/>
        <v>0.10241358634724779</v>
      </c>
      <c r="AE21" s="360">
        <f t="shared" si="15"/>
        <v>0.10241358634724779</v>
      </c>
      <c r="AF21" s="360">
        <f>$P$37*0.5+$P$38*0.5</f>
        <v>0.11431358634724779</v>
      </c>
      <c r="AG21" s="360">
        <f>$P$37</f>
        <v>0.1262135863472478</v>
      </c>
      <c r="AH21" s="360">
        <f>$P$37</f>
        <v>0.1262135863472478</v>
      </c>
      <c r="AI21" s="360">
        <f>$P$37</f>
        <v>0.1262135863472478</v>
      </c>
      <c r="AJ21" s="360">
        <f>$P$37*0.5+$P$38*0.5</f>
        <v>0.11431358634724779</v>
      </c>
      <c r="AK21" s="360">
        <f>$P$38</f>
        <v>0.10241358634724779</v>
      </c>
      <c r="AL21" s="360">
        <f>$P$38</f>
        <v>0.10241358634724779</v>
      </c>
      <c r="AM21" s="384">
        <f t="shared" ref="AM21:AQ21" si="16">$P$38</f>
        <v>0.10241358634724779</v>
      </c>
      <c r="AN21" s="374">
        <f t="shared" si="16"/>
        <v>0.10241358634724779</v>
      </c>
      <c r="AO21" s="374">
        <f t="shared" si="16"/>
        <v>0.10241358634724779</v>
      </c>
      <c r="AP21" s="374">
        <f t="shared" si="16"/>
        <v>0.10241358634724779</v>
      </c>
      <c r="AQ21" s="374">
        <f t="shared" si="16"/>
        <v>0.10241358634724779</v>
      </c>
      <c r="AR21" s="374">
        <f>$P$37*0.5+$P$38*0.5</f>
        <v>0.11431358634724779</v>
      </c>
      <c r="AS21" s="374">
        <f>$P$37</f>
        <v>0.1262135863472478</v>
      </c>
      <c r="AT21" s="374">
        <f>$P$37</f>
        <v>0.1262135863472478</v>
      </c>
      <c r="AU21" s="374">
        <f>$P$37</f>
        <v>0.1262135863472478</v>
      </c>
      <c r="AV21" s="374">
        <f>$P$37*0.5+$P$38*0.5</f>
        <v>0.11431358634724779</v>
      </c>
      <c r="AW21" s="374">
        <f>$P$38</f>
        <v>0.10241358634724779</v>
      </c>
      <c r="AX21" s="374">
        <f>$P$38</f>
        <v>0.10241358634724779</v>
      </c>
      <c r="AY21" s="395"/>
      <c r="AZ21" s="401"/>
      <c r="BA21" s="396"/>
      <c r="BB21" s="396"/>
    </row>
    <row r="22" spans="1:54" x14ac:dyDescent="0.25">
      <c r="A22" s="354" t="s">
        <v>37</v>
      </c>
      <c r="B22" s="21"/>
      <c r="C22" s="371">
        <f t="shared" ref="C22:N22" si="17">C19*$B$20*C21</f>
        <v>0</v>
      </c>
      <c r="D22" s="372">
        <f t="shared" si="17"/>
        <v>0</v>
      </c>
      <c r="E22" s="372">
        <f t="shared" si="17"/>
        <v>4.9560615319998762</v>
      </c>
      <c r="F22" s="372">
        <f t="shared" si="17"/>
        <v>17.327734979568749</v>
      </c>
      <c r="G22" s="372">
        <f t="shared" si="17"/>
        <v>24.032302959959253</v>
      </c>
      <c r="H22" s="372">
        <f t="shared" si="17"/>
        <v>28.275086026727102</v>
      </c>
      <c r="I22" s="372">
        <f t="shared" si="17"/>
        <v>42.894229426787192</v>
      </c>
      <c r="J22" s="372">
        <f t="shared" si="17"/>
        <v>52.004251875142081</v>
      </c>
      <c r="K22" s="372">
        <f t="shared" si="17"/>
        <v>54.532506240445088</v>
      </c>
      <c r="L22" s="372">
        <f t="shared" si="17"/>
        <v>61.435982726280415</v>
      </c>
      <c r="M22" s="372">
        <f t="shared" si="17"/>
        <v>663.7191509976376</v>
      </c>
      <c r="N22" s="373">
        <f t="shared" si="17"/>
        <v>2249.07102022762</v>
      </c>
      <c r="O22" s="386">
        <f t="shared" ref="O22:Z22" si="18">O19*$B$20*O21</f>
        <v>3207.0873950002851</v>
      </c>
      <c r="P22" s="387">
        <f t="shared" si="18"/>
        <v>2803.2457976835826</v>
      </c>
      <c r="Q22" s="387">
        <f t="shared" si="18"/>
        <v>2943.9136423497412</v>
      </c>
      <c r="R22" s="387">
        <f t="shared" si="18"/>
        <v>2682.9269291949076</v>
      </c>
      <c r="S22" s="387">
        <f t="shared" si="18"/>
        <v>2516.4583577242756</v>
      </c>
      <c r="T22" s="387">
        <f t="shared" si="18"/>
        <v>2423.7571303922086</v>
      </c>
      <c r="U22" s="387">
        <f t="shared" si="18"/>
        <v>2650.9132873324188</v>
      </c>
      <c r="V22" s="387">
        <f t="shared" si="18"/>
        <v>2756.4201361636829</v>
      </c>
      <c r="W22" s="387">
        <f t="shared" si="18"/>
        <v>2882.4736723275059</v>
      </c>
      <c r="X22" s="387">
        <f t="shared" si="18"/>
        <v>2990.9208274395241</v>
      </c>
      <c r="Y22" s="387">
        <f t="shared" si="18"/>
        <v>2848.8566648477563</v>
      </c>
      <c r="Z22" s="388">
        <f t="shared" si="18"/>
        <v>3116.1192304685424</v>
      </c>
      <c r="AA22" s="371">
        <f t="shared" ref="AA22:AL22" si="19">AA19*$B$20*AA21</f>
        <v>3207.0873950002851</v>
      </c>
      <c r="AB22" s="372">
        <f t="shared" si="19"/>
        <v>2803.2457976835826</v>
      </c>
      <c r="AC22" s="372">
        <f t="shared" si="19"/>
        <v>2943.9136423497412</v>
      </c>
      <c r="AD22" s="372">
        <f t="shared" si="19"/>
        <v>2682.9269291949076</v>
      </c>
      <c r="AE22" s="372">
        <f t="shared" si="19"/>
        <v>2516.4583577242756</v>
      </c>
      <c r="AF22" s="372">
        <f t="shared" si="19"/>
        <v>2423.7571303922086</v>
      </c>
      <c r="AG22" s="372">
        <f t="shared" si="19"/>
        <v>2650.9132873324188</v>
      </c>
      <c r="AH22" s="372">
        <f t="shared" si="19"/>
        <v>2756.4201361636829</v>
      </c>
      <c r="AI22" s="372">
        <f t="shared" si="19"/>
        <v>2882.4736723275059</v>
      </c>
      <c r="AJ22" s="372">
        <f t="shared" si="19"/>
        <v>2990.9208274395241</v>
      </c>
      <c r="AK22" s="372">
        <f t="shared" si="19"/>
        <v>2848.8566648477563</v>
      </c>
      <c r="AL22" s="372">
        <f t="shared" si="19"/>
        <v>3116.1192304685424</v>
      </c>
      <c r="AM22" s="386">
        <f t="shared" ref="AM22:AX22" si="20">AM19*$B$20*AM21</f>
        <v>3207.0873950002851</v>
      </c>
      <c r="AN22" s="387">
        <f t="shared" si="20"/>
        <v>2803.2457976835826</v>
      </c>
      <c r="AO22" s="387">
        <f t="shared" si="20"/>
        <v>2943.9136423497412</v>
      </c>
      <c r="AP22" s="387">
        <f t="shared" si="20"/>
        <v>2682.9269291949076</v>
      </c>
      <c r="AQ22" s="387">
        <f t="shared" si="20"/>
        <v>2516.4583577242756</v>
      </c>
      <c r="AR22" s="387">
        <f t="shared" si="20"/>
        <v>2423.7571303922086</v>
      </c>
      <c r="AS22" s="387">
        <f t="shared" si="20"/>
        <v>2650.9132873324188</v>
      </c>
      <c r="AT22" s="387">
        <f t="shared" si="20"/>
        <v>2756.4201361636829</v>
      </c>
      <c r="AU22" s="387">
        <f t="shared" si="20"/>
        <v>2882.4736723275059</v>
      </c>
      <c r="AV22" s="387">
        <f t="shared" si="20"/>
        <v>2990.9208274395241</v>
      </c>
      <c r="AW22" s="387">
        <f t="shared" si="20"/>
        <v>2848.8566648477563</v>
      </c>
      <c r="AX22" s="387">
        <f t="shared" si="20"/>
        <v>3116.1192304685424</v>
      </c>
      <c r="AY22" s="397">
        <f t="shared" ref="AY22" si="21">SUM(C22:N22)</f>
        <v>3198.2483269921677</v>
      </c>
      <c r="AZ22" s="411">
        <f t="shared" ref="AZ22" si="22">SUM(O22:Z22)</f>
        <v>33823.093070924435</v>
      </c>
      <c r="BA22" s="398">
        <f t="shared" ref="BA22" si="23">SUM(AA22:AL22)</f>
        <v>33823.093070924435</v>
      </c>
      <c r="BB22" s="398">
        <f>SUM(AM22:AX22)</f>
        <v>33823.093070924435</v>
      </c>
    </row>
    <row r="23" spans="1:54" x14ac:dyDescent="0.25">
      <c r="A23" s="88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</row>
    <row r="24" spans="1:54" x14ac:dyDescent="0.25">
      <c r="A24" s="88"/>
    </row>
    <row r="25" spans="1:54" x14ac:dyDescent="0.25">
      <c r="A25" s="355" t="s">
        <v>39</v>
      </c>
      <c r="B25" s="284"/>
      <c r="C25" s="264"/>
      <c r="I25" s="23"/>
    </row>
    <row r="26" spans="1:54" x14ac:dyDescent="0.25">
      <c r="A26" s="356" t="s">
        <v>298</v>
      </c>
      <c r="B26" s="262"/>
      <c r="C26" s="263">
        <v>1</v>
      </c>
      <c r="I26" s="23"/>
    </row>
    <row r="27" spans="1:54" x14ac:dyDescent="0.25">
      <c r="A27" s="357" t="s">
        <v>299</v>
      </c>
      <c r="B27" s="261"/>
      <c r="C27" s="256">
        <v>0</v>
      </c>
      <c r="I27" s="23"/>
    </row>
    <row r="28" spans="1:54" x14ac:dyDescent="0.25">
      <c r="A28" s="358" t="s">
        <v>300</v>
      </c>
      <c r="B28" s="257"/>
      <c r="C28" s="258">
        <v>0</v>
      </c>
    </row>
    <row r="29" spans="1:54" x14ac:dyDescent="0.25">
      <c r="A29" s="88"/>
      <c r="C29" s="27"/>
    </row>
    <row r="30" spans="1:54" x14ac:dyDescent="0.25">
      <c r="A30" s="88" t="s">
        <v>33</v>
      </c>
      <c r="C30" s="72">
        <f t="array" ref="C30:N32">TRANSPOSE('8. Load Shapes'!B4:D15)</f>
        <v>0.10118199999999999</v>
      </c>
      <c r="D30" s="73">
        <v>8.8441000000000006E-2</v>
      </c>
      <c r="E30" s="73">
        <v>9.2879000000000003E-2</v>
      </c>
      <c r="F30" s="73">
        <v>8.4644999999999998E-2</v>
      </c>
      <c r="G30" s="73">
        <v>7.9393000000000005E-2</v>
      </c>
      <c r="H30" s="73">
        <v>6.8507999999999999E-2</v>
      </c>
      <c r="I30" s="74">
        <v>6.7863999999999994E-2</v>
      </c>
      <c r="J30" s="74">
        <v>7.0565000000000003E-2</v>
      </c>
      <c r="K30" s="74">
        <v>7.3791999999999996E-2</v>
      </c>
      <c r="L30" s="74">
        <v>8.4539000000000003E-2</v>
      </c>
      <c r="M30" s="74">
        <v>8.9880000000000002E-2</v>
      </c>
      <c r="N30" s="74">
        <v>9.8311999999999997E-2</v>
      </c>
      <c r="O30" s="224">
        <f>C30</f>
        <v>0.10118199999999999</v>
      </c>
      <c r="P30" s="224">
        <f t="shared" ref="P30:Z32" si="24">D30</f>
        <v>8.8441000000000006E-2</v>
      </c>
      <c r="Q30" s="224">
        <f t="shared" si="24"/>
        <v>9.2879000000000003E-2</v>
      </c>
      <c r="R30" s="224">
        <f t="shared" si="24"/>
        <v>8.4644999999999998E-2</v>
      </c>
      <c r="S30" s="224">
        <f t="shared" si="24"/>
        <v>7.9393000000000005E-2</v>
      </c>
      <c r="T30" s="224">
        <f t="shared" si="24"/>
        <v>6.8507999999999999E-2</v>
      </c>
      <c r="U30" s="224">
        <f t="shared" si="24"/>
        <v>6.7863999999999994E-2</v>
      </c>
      <c r="V30" s="224">
        <f t="shared" si="24"/>
        <v>7.0565000000000003E-2</v>
      </c>
      <c r="W30" s="224">
        <f t="shared" si="24"/>
        <v>7.3791999999999996E-2</v>
      </c>
      <c r="X30" s="224">
        <f t="shared" si="24"/>
        <v>8.4539000000000003E-2</v>
      </c>
      <c r="Y30" s="224">
        <f t="shared" si="24"/>
        <v>8.9880000000000002E-2</v>
      </c>
      <c r="Z30" s="224">
        <f t="shared" si="24"/>
        <v>9.8311999999999997E-2</v>
      </c>
      <c r="AA30" s="224">
        <f t="shared" ref="AA30:AA32" si="25">O30</f>
        <v>0.10118199999999999</v>
      </c>
      <c r="AB30" s="224">
        <f t="shared" ref="AB30:AB32" si="26">P30</f>
        <v>8.8441000000000006E-2</v>
      </c>
      <c r="AC30" s="224">
        <f t="shared" ref="AC30:AC32" si="27">Q30</f>
        <v>9.2879000000000003E-2</v>
      </c>
      <c r="AD30" s="224">
        <f t="shared" ref="AD30:AD32" si="28">R30</f>
        <v>8.4644999999999998E-2</v>
      </c>
      <c r="AE30" s="224">
        <f t="shared" ref="AE30:AE32" si="29">S30</f>
        <v>7.9393000000000005E-2</v>
      </c>
      <c r="AF30" s="224">
        <f t="shared" ref="AF30:AF32" si="30">T30</f>
        <v>6.8507999999999999E-2</v>
      </c>
      <c r="AG30" s="224">
        <f t="shared" ref="AG30:AG32" si="31">U30</f>
        <v>6.7863999999999994E-2</v>
      </c>
      <c r="AH30" s="224">
        <f t="shared" ref="AH30:AH32" si="32">V30</f>
        <v>7.0565000000000003E-2</v>
      </c>
      <c r="AI30" s="224">
        <f t="shared" ref="AI30:AI32" si="33">W30</f>
        <v>7.3791999999999996E-2</v>
      </c>
      <c r="AJ30" s="224">
        <f t="shared" ref="AJ30:AJ32" si="34">X30</f>
        <v>8.4539000000000003E-2</v>
      </c>
      <c r="AK30" s="224">
        <f t="shared" ref="AK30:AK32" si="35">Y30</f>
        <v>8.9880000000000002E-2</v>
      </c>
      <c r="AL30" s="407">
        <f t="shared" ref="AL30:AL32" si="36">Z30</f>
        <v>9.8311999999999997E-2</v>
      </c>
      <c r="AM30" s="224">
        <f t="shared" ref="AM30:AM32" si="37">AA30</f>
        <v>0.10118199999999999</v>
      </c>
      <c r="AN30" s="224">
        <f t="shared" ref="AN30:AN32" si="38">AB30</f>
        <v>8.8441000000000006E-2</v>
      </c>
      <c r="AO30" s="224">
        <f t="shared" ref="AO30:AO32" si="39">AC30</f>
        <v>9.2879000000000003E-2</v>
      </c>
      <c r="AP30" s="224">
        <f t="shared" ref="AP30:AP32" si="40">AD30</f>
        <v>8.4644999999999998E-2</v>
      </c>
      <c r="AQ30" s="224">
        <f t="shared" ref="AQ30:AQ32" si="41">AE30</f>
        <v>7.9393000000000005E-2</v>
      </c>
      <c r="AR30" s="224">
        <f t="shared" ref="AR30:AR32" si="42">AF30</f>
        <v>6.8507999999999999E-2</v>
      </c>
      <c r="AS30" s="224">
        <f t="shared" ref="AS30:AS32" si="43">AG30</f>
        <v>6.7863999999999994E-2</v>
      </c>
      <c r="AT30" s="224">
        <f t="shared" ref="AT30:AT32" si="44">AH30</f>
        <v>7.0565000000000003E-2</v>
      </c>
      <c r="AU30" s="224">
        <f t="shared" ref="AU30:AU32" si="45">AI30</f>
        <v>7.3791999999999996E-2</v>
      </c>
      <c r="AV30" s="224">
        <f t="shared" ref="AV30:AV32" si="46">AJ30</f>
        <v>8.4539000000000003E-2</v>
      </c>
      <c r="AW30" s="224">
        <f t="shared" ref="AW30:AW32" si="47">AK30</f>
        <v>8.9880000000000002E-2</v>
      </c>
      <c r="AX30" s="407">
        <f t="shared" ref="AX30:AX32" si="48">AL30</f>
        <v>9.8311999999999997E-2</v>
      </c>
      <c r="AY30" s="412"/>
    </row>
    <row r="31" spans="1:54" x14ac:dyDescent="0.25">
      <c r="A31" s="88" t="s">
        <v>40</v>
      </c>
      <c r="C31" s="76">
        <v>0.21790599999999999</v>
      </c>
      <c r="D31" s="77">
        <v>0.18213499999999999</v>
      </c>
      <c r="E31" s="77">
        <v>0.13483300000000001</v>
      </c>
      <c r="F31" s="77">
        <v>5.8486000000000003E-2</v>
      </c>
      <c r="G31" s="77">
        <v>1.7144E-2</v>
      </c>
      <c r="H31" s="77">
        <v>5.1000000000000004E-4</v>
      </c>
      <c r="I31" s="78">
        <v>6.0000000000000002E-6</v>
      </c>
      <c r="J31" s="78">
        <v>9.0000000000000002E-6</v>
      </c>
      <c r="K31" s="78">
        <v>8.8090000000000009E-3</v>
      </c>
      <c r="L31" s="78">
        <v>5.4961999999999997E-2</v>
      </c>
      <c r="M31" s="78">
        <v>0.115899</v>
      </c>
      <c r="N31" s="78">
        <v>0.20930099999999999</v>
      </c>
      <c r="O31" s="228">
        <f t="shared" ref="O31:O32" si="49">C31</f>
        <v>0.21790599999999999</v>
      </c>
      <c r="P31" s="228">
        <f t="shared" si="24"/>
        <v>0.18213499999999999</v>
      </c>
      <c r="Q31" s="228">
        <f t="shared" si="24"/>
        <v>0.13483300000000001</v>
      </c>
      <c r="R31" s="228">
        <f t="shared" si="24"/>
        <v>5.8486000000000003E-2</v>
      </c>
      <c r="S31" s="228">
        <f t="shared" si="24"/>
        <v>1.7144E-2</v>
      </c>
      <c r="T31" s="228">
        <f t="shared" si="24"/>
        <v>5.1000000000000004E-4</v>
      </c>
      <c r="U31" s="228">
        <f t="shared" si="24"/>
        <v>6.0000000000000002E-6</v>
      </c>
      <c r="V31" s="228">
        <f t="shared" si="24"/>
        <v>9.0000000000000002E-6</v>
      </c>
      <c r="W31" s="228">
        <f t="shared" si="24"/>
        <v>8.8090000000000009E-3</v>
      </c>
      <c r="X31" s="228">
        <f t="shared" si="24"/>
        <v>5.4961999999999997E-2</v>
      </c>
      <c r="Y31" s="228">
        <f t="shared" si="24"/>
        <v>0.115899</v>
      </c>
      <c r="Z31" s="228">
        <f t="shared" si="24"/>
        <v>0.20930099999999999</v>
      </c>
      <c r="AA31" s="228">
        <f t="shared" si="25"/>
        <v>0.21790599999999999</v>
      </c>
      <c r="AB31" s="228">
        <f t="shared" si="26"/>
        <v>0.18213499999999999</v>
      </c>
      <c r="AC31" s="228">
        <f t="shared" si="27"/>
        <v>0.13483300000000001</v>
      </c>
      <c r="AD31" s="228">
        <f t="shared" si="28"/>
        <v>5.8486000000000003E-2</v>
      </c>
      <c r="AE31" s="228">
        <f t="shared" si="29"/>
        <v>1.7144E-2</v>
      </c>
      <c r="AF31" s="228">
        <f t="shared" si="30"/>
        <v>5.1000000000000004E-4</v>
      </c>
      <c r="AG31" s="228">
        <f t="shared" si="31"/>
        <v>6.0000000000000002E-6</v>
      </c>
      <c r="AH31" s="228">
        <f t="shared" si="32"/>
        <v>9.0000000000000002E-6</v>
      </c>
      <c r="AI31" s="228">
        <f t="shared" si="33"/>
        <v>8.8090000000000009E-3</v>
      </c>
      <c r="AJ31" s="228">
        <f t="shared" si="34"/>
        <v>5.4961999999999997E-2</v>
      </c>
      <c r="AK31" s="228">
        <f t="shared" si="35"/>
        <v>0.115899</v>
      </c>
      <c r="AL31" s="408">
        <f t="shared" si="36"/>
        <v>0.20930099999999999</v>
      </c>
      <c r="AM31" s="228">
        <f t="shared" si="37"/>
        <v>0.21790599999999999</v>
      </c>
      <c r="AN31" s="228">
        <f t="shared" si="38"/>
        <v>0.18213499999999999</v>
      </c>
      <c r="AO31" s="228">
        <f t="shared" si="39"/>
        <v>0.13483300000000001</v>
      </c>
      <c r="AP31" s="228">
        <f t="shared" si="40"/>
        <v>5.8486000000000003E-2</v>
      </c>
      <c r="AQ31" s="228">
        <f t="shared" si="41"/>
        <v>1.7144E-2</v>
      </c>
      <c r="AR31" s="228">
        <f t="shared" si="42"/>
        <v>5.1000000000000004E-4</v>
      </c>
      <c r="AS31" s="228">
        <f t="shared" si="43"/>
        <v>6.0000000000000002E-6</v>
      </c>
      <c r="AT31" s="228">
        <f t="shared" si="44"/>
        <v>9.0000000000000002E-6</v>
      </c>
      <c r="AU31" s="228">
        <f t="shared" si="45"/>
        <v>8.8090000000000009E-3</v>
      </c>
      <c r="AV31" s="228">
        <f t="shared" si="46"/>
        <v>5.4961999999999997E-2</v>
      </c>
      <c r="AW31" s="228">
        <f t="shared" si="47"/>
        <v>0.115899</v>
      </c>
      <c r="AX31" s="408">
        <f t="shared" si="48"/>
        <v>0.20930099999999999</v>
      </c>
      <c r="AY31" s="412"/>
    </row>
    <row r="32" spans="1:54" x14ac:dyDescent="0.25">
      <c r="A32" s="88" t="s">
        <v>41</v>
      </c>
      <c r="C32" s="80">
        <v>1.1999999999999999E-3</v>
      </c>
      <c r="D32" s="81">
        <v>1.1000000000000001E-3</v>
      </c>
      <c r="E32" s="81">
        <v>3.13E-3</v>
      </c>
      <c r="F32" s="81">
        <v>1.5047E-2</v>
      </c>
      <c r="G32" s="81">
        <v>6.5409999999999996E-2</v>
      </c>
      <c r="H32" s="81">
        <v>0.21082300000000001</v>
      </c>
      <c r="I32" s="82">
        <v>0.28478100000000001</v>
      </c>
      <c r="J32" s="82">
        <v>0.27076600000000001</v>
      </c>
      <c r="K32" s="82">
        <v>0.126605</v>
      </c>
      <c r="L32" s="82">
        <v>1.8471999999999999E-2</v>
      </c>
      <c r="M32" s="82">
        <v>1.444E-3</v>
      </c>
      <c r="N32" s="82">
        <v>1.222E-3</v>
      </c>
      <c r="O32" s="232">
        <f t="shared" si="49"/>
        <v>1.1999999999999999E-3</v>
      </c>
      <c r="P32" s="232">
        <f t="shared" si="24"/>
        <v>1.1000000000000001E-3</v>
      </c>
      <c r="Q32" s="232">
        <f t="shared" si="24"/>
        <v>3.13E-3</v>
      </c>
      <c r="R32" s="232">
        <f t="shared" si="24"/>
        <v>1.5047E-2</v>
      </c>
      <c r="S32" s="232">
        <f t="shared" si="24"/>
        <v>6.5409999999999996E-2</v>
      </c>
      <c r="T32" s="232">
        <f t="shared" si="24"/>
        <v>0.21082300000000001</v>
      </c>
      <c r="U32" s="232">
        <f t="shared" si="24"/>
        <v>0.28478100000000001</v>
      </c>
      <c r="V32" s="232">
        <f t="shared" si="24"/>
        <v>0.27076600000000001</v>
      </c>
      <c r="W32" s="232">
        <f t="shared" si="24"/>
        <v>0.126605</v>
      </c>
      <c r="X32" s="232">
        <f t="shared" si="24"/>
        <v>1.8471999999999999E-2</v>
      </c>
      <c r="Y32" s="232">
        <f t="shared" si="24"/>
        <v>1.444E-3</v>
      </c>
      <c r="Z32" s="232">
        <f t="shared" si="24"/>
        <v>1.222E-3</v>
      </c>
      <c r="AA32" s="232">
        <f t="shared" si="25"/>
        <v>1.1999999999999999E-3</v>
      </c>
      <c r="AB32" s="232">
        <f t="shared" si="26"/>
        <v>1.1000000000000001E-3</v>
      </c>
      <c r="AC32" s="232">
        <f t="shared" si="27"/>
        <v>3.13E-3</v>
      </c>
      <c r="AD32" s="232">
        <f t="shared" si="28"/>
        <v>1.5047E-2</v>
      </c>
      <c r="AE32" s="232">
        <f t="shared" si="29"/>
        <v>6.5409999999999996E-2</v>
      </c>
      <c r="AF32" s="232">
        <f t="shared" si="30"/>
        <v>0.21082300000000001</v>
      </c>
      <c r="AG32" s="232">
        <f t="shared" si="31"/>
        <v>0.28478100000000001</v>
      </c>
      <c r="AH32" s="232">
        <f t="shared" si="32"/>
        <v>0.27076600000000001</v>
      </c>
      <c r="AI32" s="232">
        <f t="shared" si="33"/>
        <v>0.126605</v>
      </c>
      <c r="AJ32" s="232">
        <f t="shared" si="34"/>
        <v>1.8471999999999999E-2</v>
      </c>
      <c r="AK32" s="232">
        <f t="shared" si="35"/>
        <v>1.444E-3</v>
      </c>
      <c r="AL32" s="409">
        <f t="shared" si="36"/>
        <v>1.222E-3</v>
      </c>
      <c r="AM32" s="232">
        <f t="shared" si="37"/>
        <v>1.1999999999999999E-3</v>
      </c>
      <c r="AN32" s="232">
        <f t="shared" si="38"/>
        <v>1.1000000000000001E-3</v>
      </c>
      <c r="AO32" s="232">
        <f t="shared" si="39"/>
        <v>3.13E-3</v>
      </c>
      <c r="AP32" s="232">
        <f t="shared" si="40"/>
        <v>1.5047E-2</v>
      </c>
      <c r="AQ32" s="232">
        <f t="shared" si="41"/>
        <v>6.5409999999999996E-2</v>
      </c>
      <c r="AR32" s="232">
        <f t="shared" si="42"/>
        <v>0.21082300000000001</v>
      </c>
      <c r="AS32" s="232">
        <f t="shared" si="43"/>
        <v>0.28478100000000001</v>
      </c>
      <c r="AT32" s="232">
        <f t="shared" si="44"/>
        <v>0.27076600000000001</v>
      </c>
      <c r="AU32" s="232">
        <f t="shared" si="45"/>
        <v>0.126605</v>
      </c>
      <c r="AV32" s="232">
        <f t="shared" si="46"/>
        <v>1.8471999999999999E-2</v>
      </c>
      <c r="AW32" s="232">
        <f t="shared" si="47"/>
        <v>1.444E-3</v>
      </c>
      <c r="AX32" s="409">
        <f t="shared" si="48"/>
        <v>1.222E-3</v>
      </c>
      <c r="AY32" s="412"/>
    </row>
    <row r="33" spans="1:17" x14ac:dyDescent="0.25">
      <c r="A33" s="88"/>
    </row>
    <row r="34" spans="1:17" x14ac:dyDescent="0.25">
      <c r="A34" s="88"/>
      <c r="B34" s="194"/>
      <c r="C34" s="195"/>
      <c r="I34" s="23"/>
    </row>
    <row r="35" spans="1:17" x14ac:dyDescent="0.25">
      <c r="A35" s="355" t="s">
        <v>150</v>
      </c>
      <c r="B35" s="761" t="s">
        <v>148</v>
      </c>
      <c r="C35" s="761"/>
      <c r="D35" s="761"/>
      <c r="E35" s="762"/>
      <c r="G35" s="763" t="s">
        <v>149</v>
      </c>
      <c r="H35" s="761"/>
      <c r="I35" s="761"/>
      <c r="J35" s="762"/>
      <c r="L35" s="763" t="s">
        <v>248</v>
      </c>
      <c r="M35" s="761"/>
      <c r="N35" s="761"/>
      <c r="O35" s="761"/>
      <c r="P35" s="761"/>
      <c r="Q35" s="762"/>
    </row>
    <row r="36" spans="1:17" x14ac:dyDescent="0.25">
      <c r="A36" s="87"/>
      <c r="B36" s="157" t="s">
        <v>147</v>
      </c>
      <c r="C36" s="157" t="s">
        <v>42</v>
      </c>
      <c r="D36" s="157" t="s">
        <v>43</v>
      </c>
      <c r="E36" s="158" t="s">
        <v>44</v>
      </c>
      <c r="G36" s="156" t="s">
        <v>147</v>
      </c>
      <c r="H36" s="157" t="s">
        <v>42</v>
      </c>
      <c r="I36" s="157" t="s">
        <v>43</v>
      </c>
      <c r="J36" s="158" t="s">
        <v>44</v>
      </c>
      <c r="L36" s="156" t="s">
        <v>147</v>
      </c>
      <c r="M36" s="157" t="s">
        <v>42</v>
      </c>
      <c r="N36" s="157" t="s">
        <v>43</v>
      </c>
      <c r="O36" s="157" t="s">
        <v>132</v>
      </c>
      <c r="P36" s="157" t="s">
        <v>44</v>
      </c>
      <c r="Q36" s="158"/>
    </row>
    <row r="37" spans="1:17" x14ac:dyDescent="0.25">
      <c r="A37" s="359" t="s">
        <v>45</v>
      </c>
      <c r="B37" s="281">
        <v>0.12534999999999999</v>
      </c>
      <c r="C37" s="282">
        <v>0.12534999999999999</v>
      </c>
      <c r="D37" s="283">
        <v>2.3380000000000001E-2</v>
      </c>
      <c r="E37" s="28">
        <f>SUMPRODUCT(B37:C37,B40:C40)-D37</f>
        <v>0.10196999999999999</v>
      </c>
      <c r="G37" s="281">
        <v>0.13582</v>
      </c>
      <c r="H37" s="282">
        <v>0.13582</v>
      </c>
      <c r="I37" s="283">
        <v>8.6999999999999994E-3</v>
      </c>
      <c r="J37" s="28">
        <f>SUMPRODUCT(G37:H37,G40:H40)-I37</f>
        <v>0.12712000000000001</v>
      </c>
      <c r="L37" s="281">
        <v>0.14030999999999999</v>
      </c>
      <c r="M37" s="282">
        <v>0.14030999999999999</v>
      </c>
      <c r="N37" s="282">
        <f>I37</f>
        <v>8.6999999999999994E-3</v>
      </c>
      <c r="O37" s="283">
        <v>0.02</v>
      </c>
      <c r="P37" s="28">
        <f>SUMPRODUCT(L37:M37,L40:M40)-N37-O37*$O$40</f>
        <v>0.1262135863472478</v>
      </c>
      <c r="Q37" s="60"/>
    </row>
    <row r="38" spans="1:17" x14ac:dyDescent="0.25">
      <c r="A38" s="359" t="s">
        <v>46</v>
      </c>
      <c r="B38" s="266">
        <f>+B37</f>
        <v>0.12534999999999999</v>
      </c>
      <c r="C38" s="267">
        <v>0.10093000000000001</v>
      </c>
      <c r="D38" s="275">
        <f>+D37</f>
        <v>2.3380000000000001E-2</v>
      </c>
      <c r="E38" s="28">
        <f>SUMPRODUCT(B38:C38,B40:C40)-D38</f>
        <v>7.7550000000000008E-2</v>
      </c>
      <c r="G38" s="266">
        <v>0.13582</v>
      </c>
      <c r="H38" s="267">
        <v>0.10938000000000001</v>
      </c>
      <c r="I38" s="275">
        <f>+I37</f>
        <v>8.6999999999999994E-3</v>
      </c>
      <c r="J38" s="28">
        <f>SUMPRODUCT(G38:H38,G40:H40)-I38</f>
        <v>0.10068000000000001</v>
      </c>
      <c r="L38" s="266">
        <v>0.14030999999999999</v>
      </c>
      <c r="M38" s="267">
        <v>0.11651</v>
      </c>
      <c r="N38" s="274">
        <f>I38</f>
        <v>8.6999999999999994E-3</v>
      </c>
      <c r="O38" s="275">
        <f>+O37</f>
        <v>0.02</v>
      </c>
      <c r="P38" s="28">
        <f>SUMPRODUCT(L38:M38,L40:M40)-N38-O38*$O$40</f>
        <v>0.10241358634724779</v>
      </c>
      <c r="Q38" s="60"/>
    </row>
    <row r="39" spans="1:17" x14ac:dyDescent="0.25">
      <c r="A39" s="88"/>
      <c r="B39" s="17"/>
    </row>
    <row r="40" spans="1:17" x14ac:dyDescent="0.25">
      <c r="A40" s="88"/>
      <c r="B40" s="279">
        <f t="array" ref="B40:C40">TRANSPOSE('Step Adjustments'!C12:C13)</f>
        <v>0</v>
      </c>
      <c r="C40" s="280">
        <v>1</v>
      </c>
      <c r="G40" s="279">
        <f>B40</f>
        <v>0</v>
      </c>
      <c r="H40" s="280">
        <f>C40</f>
        <v>1</v>
      </c>
      <c r="L40" s="279">
        <f>B40</f>
        <v>0</v>
      </c>
      <c r="M40" s="280">
        <f>C40</f>
        <v>1</v>
      </c>
      <c r="O40" s="253">
        <v>0.26982068263761072</v>
      </c>
    </row>
    <row r="41" spans="1:17" x14ac:dyDescent="0.25">
      <c r="A41" s="88"/>
    </row>
    <row r="42" spans="1:17" x14ac:dyDescent="0.25">
      <c r="A42" s="88"/>
    </row>
    <row r="43" spans="1:17" x14ac:dyDescent="0.25">
      <c r="A43" s="88"/>
    </row>
    <row r="44" spans="1:17" x14ac:dyDescent="0.25">
      <c r="A44" s="88"/>
    </row>
    <row r="45" spans="1:17" x14ac:dyDescent="0.25">
      <c r="A45" s="88"/>
    </row>
    <row r="46" spans="1:17" x14ac:dyDescent="0.25">
      <c r="A46" s="88"/>
    </row>
    <row r="47" spans="1:17" x14ac:dyDescent="0.25">
      <c r="A47" s="88"/>
    </row>
    <row r="48" spans="1:17" x14ac:dyDescent="0.25">
      <c r="A48" s="88"/>
    </row>
    <row r="49" spans="1:1" x14ac:dyDescent="0.25">
      <c r="A49" s="88"/>
    </row>
    <row r="50" spans="1:1" x14ac:dyDescent="0.25">
      <c r="A50" s="88"/>
    </row>
    <row r="51" spans="1:1" x14ac:dyDescent="0.25">
      <c r="A51" s="88"/>
    </row>
    <row r="52" spans="1:1" x14ac:dyDescent="0.25">
      <c r="A52" s="88"/>
    </row>
    <row r="53" spans="1:1" x14ac:dyDescent="0.25">
      <c r="A53" s="88"/>
    </row>
    <row r="54" spans="1:1" x14ac:dyDescent="0.25">
      <c r="A54" s="88"/>
    </row>
    <row r="55" spans="1:1" x14ac:dyDescent="0.25">
      <c r="A55" s="88"/>
    </row>
    <row r="56" spans="1:1" x14ac:dyDescent="0.25">
      <c r="A56" s="88"/>
    </row>
    <row r="57" spans="1:1" x14ac:dyDescent="0.25">
      <c r="A57" s="88"/>
    </row>
    <row r="58" spans="1:1" x14ac:dyDescent="0.25">
      <c r="A58" s="88"/>
    </row>
    <row r="59" spans="1:1" x14ac:dyDescent="0.25">
      <c r="A59" s="88"/>
    </row>
    <row r="60" spans="1:1" x14ac:dyDescent="0.25">
      <c r="A60" s="88"/>
    </row>
    <row r="61" spans="1:1" x14ac:dyDescent="0.25">
      <c r="A61" s="88"/>
    </row>
    <row r="62" spans="1:1" x14ac:dyDescent="0.25">
      <c r="A62" s="88"/>
    </row>
    <row r="63" spans="1:1" x14ac:dyDescent="0.25">
      <c r="A63" s="88"/>
    </row>
    <row r="64" spans="1:1" x14ac:dyDescent="0.25">
      <c r="A64" s="88"/>
    </row>
    <row r="65" spans="1:1" x14ac:dyDescent="0.25">
      <c r="A65" s="88"/>
    </row>
    <row r="66" spans="1:1" x14ac:dyDescent="0.25">
      <c r="A66" s="88"/>
    </row>
  </sheetData>
  <mergeCells count="7">
    <mergeCell ref="AM1:AX1"/>
    <mergeCell ref="AA1:AL1"/>
    <mergeCell ref="B35:E35"/>
    <mergeCell ref="G35:J35"/>
    <mergeCell ref="L35:Q35"/>
    <mergeCell ref="C1:N1"/>
    <mergeCell ref="O1:Z1"/>
  </mergeCells>
  <phoneticPr fontId="30" type="noConversion"/>
  <pageMargins left="0.7" right="0.7" top="0.75" bottom="0.75" header="0.3" footer="0.3"/>
  <pageSetup orientation="portrait" r:id="rId1"/>
  <ignoredErrors>
    <ignoredError sqref="AZ2:BA3 AY2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96058-40A7-409B-AA50-4B30F398D9FE}">
  <sheetPr codeName="Sheet7"/>
  <dimension ref="A1:BB111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12.7109375" defaultRowHeight="13.1" x14ac:dyDescent="0.25"/>
  <cols>
    <col min="1" max="1" width="30.7109375" style="22" customWidth="1"/>
    <col min="2" max="2" width="12.7109375" style="22"/>
    <col min="3" max="16384" width="12.7109375" style="17"/>
  </cols>
  <sheetData>
    <row r="1" spans="1:54" x14ac:dyDescent="0.25">
      <c r="A1" s="168" t="str">
        <f>Company_Filing</f>
        <v>2025 MEEIA Filing</v>
      </c>
      <c r="B1" s="272"/>
      <c r="C1" s="760" t="s">
        <v>226</v>
      </c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760" t="s">
        <v>227</v>
      </c>
      <c r="P1" s="760"/>
      <c r="Q1" s="760"/>
      <c r="R1" s="760"/>
      <c r="S1" s="760"/>
      <c r="T1" s="760"/>
      <c r="U1" s="760"/>
      <c r="V1" s="760"/>
      <c r="W1" s="760"/>
      <c r="X1" s="760"/>
      <c r="Y1" s="760"/>
      <c r="Z1" s="760"/>
      <c r="AA1" s="760" t="s">
        <v>244</v>
      </c>
      <c r="AB1" s="760"/>
      <c r="AC1" s="760"/>
      <c r="AD1" s="760"/>
      <c r="AE1" s="760"/>
      <c r="AF1" s="760"/>
      <c r="AG1" s="760"/>
      <c r="AH1" s="760"/>
      <c r="AI1" s="760"/>
      <c r="AJ1" s="760"/>
      <c r="AK1" s="760"/>
      <c r="AL1" s="760"/>
      <c r="AM1" s="760" t="s">
        <v>245</v>
      </c>
      <c r="AN1" s="760"/>
      <c r="AO1" s="760"/>
      <c r="AP1" s="760"/>
      <c r="AQ1" s="760"/>
      <c r="AR1" s="760"/>
      <c r="AS1" s="760"/>
      <c r="AT1" s="760"/>
      <c r="AU1" s="760"/>
      <c r="AV1" s="760"/>
      <c r="AW1" s="760"/>
      <c r="AX1" s="760"/>
      <c r="AY1" s="313" t="s">
        <v>221</v>
      </c>
      <c r="AZ1" s="313" t="s">
        <v>221</v>
      </c>
      <c r="BA1" s="313" t="s">
        <v>221</v>
      </c>
      <c r="BB1" s="389" t="s">
        <v>222</v>
      </c>
    </row>
    <row r="2" spans="1:54" x14ac:dyDescent="0.25">
      <c r="A2" s="87" t="s">
        <v>184</v>
      </c>
      <c r="B2" s="273"/>
      <c r="C2" s="215">
        <v>44562</v>
      </c>
      <c r="D2" s="215">
        <v>44593</v>
      </c>
      <c r="E2" s="215">
        <v>44621</v>
      </c>
      <c r="F2" s="215">
        <v>44652</v>
      </c>
      <c r="G2" s="215">
        <v>44682</v>
      </c>
      <c r="H2" s="215">
        <v>44713</v>
      </c>
      <c r="I2" s="215">
        <v>44743</v>
      </c>
      <c r="J2" s="215">
        <v>44774</v>
      </c>
      <c r="K2" s="215">
        <v>44805</v>
      </c>
      <c r="L2" s="215">
        <v>44835</v>
      </c>
      <c r="M2" s="215">
        <v>44866</v>
      </c>
      <c r="N2" s="215">
        <v>44896</v>
      </c>
      <c r="O2" s="215">
        <v>44927</v>
      </c>
      <c r="P2" s="215">
        <v>44958</v>
      </c>
      <c r="Q2" s="215">
        <v>44986</v>
      </c>
      <c r="R2" s="215">
        <v>45017</v>
      </c>
      <c r="S2" s="215">
        <v>45047</v>
      </c>
      <c r="T2" s="215">
        <v>45078</v>
      </c>
      <c r="U2" s="215">
        <v>45108</v>
      </c>
      <c r="V2" s="215">
        <v>45139</v>
      </c>
      <c r="W2" s="215">
        <v>45170</v>
      </c>
      <c r="X2" s="215">
        <v>45200</v>
      </c>
      <c r="Y2" s="215">
        <v>45231</v>
      </c>
      <c r="Z2" s="215">
        <v>45261</v>
      </c>
      <c r="AA2" s="215">
        <v>45292</v>
      </c>
      <c r="AB2" s="215">
        <v>45323</v>
      </c>
      <c r="AC2" s="215">
        <v>45352</v>
      </c>
      <c r="AD2" s="215">
        <v>45383</v>
      </c>
      <c r="AE2" s="215">
        <v>45413</v>
      </c>
      <c r="AF2" s="215">
        <v>45444</v>
      </c>
      <c r="AG2" s="215">
        <v>45474</v>
      </c>
      <c r="AH2" s="215">
        <v>45505</v>
      </c>
      <c r="AI2" s="215">
        <v>45536</v>
      </c>
      <c r="AJ2" s="215">
        <v>45566</v>
      </c>
      <c r="AK2" s="215">
        <v>45597</v>
      </c>
      <c r="AL2" s="215">
        <v>45627</v>
      </c>
      <c r="AM2" s="215">
        <v>45658</v>
      </c>
      <c r="AN2" s="215">
        <v>45689</v>
      </c>
      <c r="AO2" s="215">
        <v>45717</v>
      </c>
      <c r="AP2" s="215">
        <v>45748</v>
      </c>
      <c r="AQ2" s="215">
        <v>45778</v>
      </c>
      <c r="AR2" s="215">
        <v>45809</v>
      </c>
      <c r="AS2" s="215">
        <v>45839</v>
      </c>
      <c r="AT2" s="215">
        <v>45870</v>
      </c>
      <c r="AU2" s="215">
        <v>45901</v>
      </c>
      <c r="AV2" s="215">
        <v>45931</v>
      </c>
      <c r="AW2" s="215">
        <v>45962</v>
      </c>
      <c r="AX2" s="215">
        <v>45992</v>
      </c>
      <c r="AY2" s="402" t="s">
        <v>182</v>
      </c>
      <c r="AZ2" s="402" t="s">
        <v>180</v>
      </c>
      <c r="BA2" s="390" t="s">
        <v>181</v>
      </c>
      <c r="BB2" s="390" t="s">
        <v>246</v>
      </c>
    </row>
    <row r="3" spans="1:54" x14ac:dyDescent="0.25">
      <c r="A3" s="88"/>
    </row>
    <row r="4" spans="1:54" x14ac:dyDescent="0.25">
      <c r="A4" s="353" t="s">
        <v>229</v>
      </c>
      <c r="B4" s="271" t="s">
        <v>69</v>
      </c>
    </row>
    <row r="6" spans="1:54" x14ac:dyDescent="0.25">
      <c r="A6" s="18">
        <v>44562</v>
      </c>
      <c r="B6" s="93">
        <f>SUM('6. 2022 Installed kWh Savings'!E6:G6,'6. 2022 Installed kWh Savings'!J6)</f>
        <v>64963.436226571801</v>
      </c>
      <c r="C6" s="361">
        <f>$B6*(SUMPRODUCT(C$30:C$32,$C$26:$C$28))/2</f>
        <v>3558.4696644648102</v>
      </c>
      <c r="D6" s="361">
        <f t="shared" ref="D6:AA17" si="0">$B6*(SUMPRODUCT(D$30:D$32,$C$26:$C$28))</f>
        <v>5951.7876184879415</v>
      </c>
      <c r="E6" s="361">
        <f t="shared" si="0"/>
        <v>4481.2752760632629</v>
      </c>
      <c r="F6" s="361">
        <f t="shared" si="0"/>
        <v>2388.478178024252</v>
      </c>
      <c r="G6" s="361">
        <f t="shared" si="0"/>
        <v>2681.4957571242039</v>
      </c>
      <c r="H6" s="361">
        <f t="shared" si="0"/>
        <v>6864.4589340350503</v>
      </c>
      <c r="I6" s="361">
        <f t="shared" si="0"/>
        <v>9250.371056328353</v>
      </c>
      <c r="J6" s="361">
        <f t="shared" si="0"/>
        <v>8795.2372221249898</v>
      </c>
      <c r="K6" s="361">
        <f t="shared" si="0"/>
        <v>4398.4793765924969</v>
      </c>
      <c r="L6" s="361">
        <f t="shared" si="0"/>
        <v>2385.262487931037</v>
      </c>
      <c r="M6" s="361">
        <f t="shared" si="0"/>
        <v>3811.5022485673076</v>
      </c>
      <c r="N6" s="362">
        <f t="shared" si="0"/>
        <v>6838.1487423632871</v>
      </c>
      <c r="O6" s="375">
        <f t="shared" si="0"/>
        <v>7116.9393289296204</v>
      </c>
      <c r="P6" s="376">
        <f t="shared" si="0"/>
        <v>5951.7876184879415</v>
      </c>
      <c r="Q6" s="376">
        <f t="shared" si="0"/>
        <v>4481.2752760632629</v>
      </c>
      <c r="R6" s="376">
        <f t="shared" si="0"/>
        <v>2388.478178024252</v>
      </c>
      <c r="S6" s="376">
        <f t="shared" si="0"/>
        <v>2681.4957571242039</v>
      </c>
      <c r="T6" s="376">
        <f t="shared" si="0"/>
        <v>6864.4589340350503</v>
      </c>
      <c r="U6" s="376">
        <f t="shared" si="0"/>
        <v>9250.371056328353</v>
      </c>
      <c r="V6" s="376">
        <f t="shared" si="0"/>
        <v>8795.2372221249898</v>
      </c>
      <c r="W6" s="376">
        <f t="shared" si="0"/>
        <v>4398.4793765924969</v>
      </c>
      <c r="X6" s="376">
        <f t="shared" si="0"/>
        <v>2385.262487931037</v>
      </c>
      <c r="Y6" s="376">
        <f t="shared" si="0"/>
        <v>3811.5022485673076</v>
      </c>
      <c r="Z6" s="377">
        <f t="shared" si="0"/>
        <v>6838.1487423632871</v>
      </c>
      <c r="AA6" s="531">
        <f t="shared" si="0"/>
        <v>7116.9393289296204</v>
      </c>
      <c r="AB6" s="361">
        <f t="shared" ref="AA6:AP17" si="1">$B6*(SUMPRODUCT(AB$30:AB$32,$C$26:$C$28))</f>
        <v>5951.7876184879415</v>
      </c>
      <c r="AC6" s="361">
        <f t="shared" si="1"/>
        <v>4481.2752760632629</v>
      </c>
      <c r="AD6" s="361">
        <f t="shared" si="1"/>
        <v>2388.478178024252</v>
      </c>
      <c r="AE6" s="361">
        <f t="shared" si="1"/>
        <v>2681.4957571242039</v>
      </c>
      <c r="AF6" s="361">
        <f t="shared" si="1"/>
        <v>6864.4589340350503</v>
      </c>
      <c r="AG6" s="361">
        <f t="shared" si="1"/>
        <v>9250.371056328353</v>
      </c>
      <c r="AH6" s="361">
        <f t="shared" si="1"/>
        <v>8795.2372221249898</v>
      </c>
      <c r="AI6" s="361">
        <f t="shared" si="1"/>
        <v>4398.4793765924969</v>
      </c>
      <c r="AJ6" s="361">
        <f t="shared" si="1"/>
        <v>2385.262487931037</v>
      </c>
      <c r="AK6" s="361">
        <f t="shared" si="1"/>
        <v>3811.5022485673076</v>
      </c>
      <c r="AL6" s="361">
        <f t="shared" si="1"/>
        <v>6838.1487423632871</v>
      </c>
      <c r="AM6" s="375">
        <f t="shared" si="1"/>
        <v>7116.9393289296204</v>
      </c>
      <c r="AN6" s="376">
        <f t="shared" si="1"/>
        <v>5951.7876184879415</v>
      </c>
      <c r="AO6" s="376">
        <f t="shared" si="1"/>
        <v>4481.2752760632629</v>
      </c>
      <c r="AP6" s="376">
        <f t="shared" si="1"/>
        <v>2388.478178024252</v>
      </c>
      <c r="AQ6" s="376">
        <f t="shared" ref="AM6:AX17" si="2">$B6*(SUMPRODUCT(AQ$30:AQ$32,$C$26:$C$28))</f>
        <v>2681.4957571242039</v>
      </c>
      <c r="AR6" s="376">
        <f t="shared" si="2"/>
        <v>6864.4589340350503</v>
      </c>
      <c r="AS6" s="376">
        <f t="shared" si="2"/>
        <v>9250.371056328353</v>
      </c>
      <c r="AT6" s="376">
        <f t="shared" si="2"/>
        <v>8795.2372221249898</v>
      </c>
      <c r="AU6" s="376">
        <f t="shared" si="2"/>
        <v>4398.4793765924969</v>
      </c>
      <c r="AV6" s="376">
        <f t="shared" si="2"/>
        <v>2385.262487931037</v>
      </c>
      <c r="AW6" s="376">
        <f t="shared" si="2"/>
        <v>3811.5022485673076</v>
      </c>
      <c r="AX6" s="376">
        <f t="shared" si="2"/>
        <v>6838.1487423632871</v>
      </c>
      <c r="AY6" s="391">
        <f>SUM(C6:N6)</f>
        <v>61404.966562106994</v>
      </c>
      <c r="AZ6" s="410">
        <f>SUM(O6:Z6)</f>
        <v>64963.436226571815</v>
      </c>
      <c r="BA6" s="410">
        <f>SUM(AA6:AL6)</f>
        <v>64963.436226571815</v>
      </c>
      <c r="BB6" s="532">
        <f>SUM(AM6:AX6)</f>
        <v>64963.436226571815</v>
      </c>
    </row>
    <row r="7" spans="1:54" x14ac:dyDescent="0.25">
      <c r="A7" s="18">
        <v>44593</v>
      </c>
      <c r="B7" s="94">
        <f>SUM('6. 2022 Installed kWh Savings'!E7:G7,'6. 2022 Installed kWh Savings'!J7)</f>
        <v>0</v>
      </c>
      <c r="C7" s="364"/>
      <c r="D7" s="364">
        <f>$B7*(SUMPRODUCT(D$30:D$32,$C$26:$C$28))/2</f>
        <v>0</v>
      </c>
      <c r="E7" s="364">
        <f t="shared" ref="E7:N7" si="3">$B7*(SUMPRODUCT(E$30:E$32,$C$26:$C$28))</f>
        <v>0</v>
      </c>
      <c r="F7" s="364">
        <f t="shared" si="3"/>
        <v>0</v>
      </c>
      <c r="G7" s="364">
        <f t="shared" si="3"/>
        <v>0</v>
      </c>
      <c r="H7" s="364">
        <f t="shared" si="3"/>
        <v>0</v>
      </c>
      <c r="I7" s="364">
        <f t="shared" si="3"/>
        <v>0</v>
      </c>
      <c r="J7" s="364">
        <f t="shared" si="3"/>
        <v>0</v>
      </c>
      <c r="K7" s="364">
        <f t="shared" si="3"/>
        <v>0</v>
      </c>
      <c r="L7" s="364">
        <f t="shared" si="3"/>
        <v>0</v>
      </c>
      <c r="M7" s="364">
        <f t="shared" si="3"/>
        <v>0</v>
      </c>
      <c r="N7" s="365">
        <f t="shared" si="3"/>
        <v>0</v>
      </c>
      <c r="O7" s="378">
        <f t="shared" si="0"/>
        <v>0</v>
      </c>
      <c r="P7" s="379">
        <f t="shared" si="0"/>
        <v>0</v>
      </c>
      <c r="Q7" s="379">
        <f t="shared" si="0"/>
        <v>0</v>
      </c>
      <c r="R7" s="379">
        <f t="shared" si="0"/>
        <v>0</v>
      </c>
      <c r="S7" s="379">
        <f t="shared" si="0"/>
        <v>0</v>
      </c>
      <c r="T7" s="379">
        <f t="shared" si="0"/>
        <v>0</v>
      </c>
      <c r="U7" s="379">
        <f t="shared" si="0"/>
        <v>0</v>
      </c>
      <c r="V7" s="379">
        <f t="shared" si="0"/>
        <v>0</v>
      </c>
      <c r="W7" s="379">
        <f t="shared" si="0"/>
        <v>0</v>
      </c>
      <c r="X7" s="379">
        <f t="shared" si="0"/>
        <v>0</v>
      </c>
      <c r="Y7" s="379">
        <f t="shared" si="0"/>
        <v>0</v>
      </c>
      <c r="Z7" s="380">
        <f t="shared" si="0"/>
        <v>0</v>
      </c>
      <c r="AA7" s="363">
        <f t="shared" si="1"/>
        <v>0</v>
      </c>
      <c r="AB7" s="364">
        <f t="shared" si="1"/>
        <v>0</v>
      </c>
      <c r="AC7" s="364">
        <f t="shared" si="1"/>
        <v>0</v>
      </c>
      <c r="AD7" s="364">
        <f t="shared" si="1"/>
        <v>0</v>
      </c>
      <c r="AE7" s="364">
        <f t="shared" si="1"/>
        <v>0</v>
      </c>
      <c r="AF7" s="364">
        <f t="shared" si="1"/>
        <v>0</v>
      </c>
      <c r="AG7" s="364">
        <f t="shared" si="1"/>
        <v>0</v>
      </c>
      <c r="AH7" s="364">
        <f t="shared" si="1"/>
        <v>0</v>
      </c>
      <c r="AI7" s="364">
        <f t="shared" si="1"/>
        <v>0</v>
      </c>
      <c r="AJ7" s="364">
        <f t="shared" si="1"/>
        <v>0</v>
      </c>
      <c r="AK7" s="364">
        <f t="shared" si="1"/>
        <v>0</v>
      </c>
      <c r="AL7" s="364">
        <f t="shared" si="1"/>
        <v>0</v>
      </c>
      <c r="AM7" s="378">
        <f t="shared" si="2"/>
        <v>0</v>
      </c>
      <c r="AN7" s="379">
        <f t="shared" si="2"/>
        <v>0</v>
      </c>
      <c r="AO7" s="379">
        <f t="shared" si="2"/>
        <v>0</v>
      </c>
      <c r="AP7" s="379">
        <f t="shared" si="2"/>
        <v>0</v>
      </c>
      <c r="AQ7" s="379">
        <f t="shared" si="2"/>
        <v>0</v>
      </c>
      <c r="AR7" s="379">
        <f t="shared" si="2"/>
        <v>0</v>
      </c>
      <c r="AS7" s="379">
        <f t="shared" si="2"/>
        <v>0</v>
      </c>
      <c r="AT7" s="379">
        <f t="shared" si="2"/>
        <v>0</v>
      </c>
      <c r="AU7" s="379">
        <f t="shared" si="2"/>
        <v>0</v>
      </c>
      <c r="AV7" s="379">
        <f t="shared" si="2"/>
        <v>0</v>
      </c>
      <c r="AW7" s="379">
        <f t="shared" si="2"/>
        <v>0</v>
      </c>
      <c r="AX7" s="379">
        <f t="shared" si="2"/>
        <v>0</v>
      </c>
      <c r="AY7" s="392">
        <f t="shared" ref="AY7:AY17" si="4">SUM(C7:N7)</f>
        <v>0</v>
      </c>
      <c r="AZ7" s="399">
        <f t="shared" ref="AZ7:AZ17" si="5">SUM(O7:Z7)</f>
        <v>0</v>
      </c>
      <c r="BA7" s="399">
        <f t="shared" ref="BA7:BA17" si="6">SUM(AA7:AL7)</f>
        <v>0</v>
      </c>
      <c r="BB7" s="533">
        <f t="shared" ref="BB7:BB17" si="7">SUM(AM7:AX7)</f>
        <v>0</v>
      </c>
    </row>
    <row r="8" spans="1:54" x14ac:dyDescent="0.25">
      <c r="A8" s="18">
        <v>44621</v>
      </c>
      <c r="B8" s="94">
        <f>SUM('6. 2022 Installed kWh Savings'!E8:G8,'6. 2022 Installed kWh Savings'!J8)</f>
        <v>39120.134952156281</v>
      </c>
      <c r="C8" s="364"/>
      <c r="D8" s="364"/>
      <c r="E8" s="364">
        <f>$B8*(SUMPRODUCT(E$30:E$32,$C$26:$C$28))/2</f>
        <v>1349.2827946010843</v>
      </c>
      <c r="F8" s="364">
        <f t="shared" ref="F8:N8" si="8">$B8*(SUMPRODUCT(F$30:F$32,$C$26:$C$28))</f>
        <v>1438.3104417184538</v>
      </c>
      <c r="G8" s="364">
        <f t="shared" si="8"/>
        <v>1614.7618104201545</v>
      </c>
      <c r="H8" s="364">
        <f t="shared" si="8"/>
        <v>4133.687739922022</v>
      </c>
      <c r="I8" s="364">
        <f t="shared" si="8"/>
        <v>5570.4529363098654</v>
      </c>
      <c r="J8" s="364">
        <f t="shared" si="8"/>
        <v>5296.377270835058</v>
      </c>
      <c r="K8" s="364">
        <f t="shared" si="8"/>
        <v>2648.7069772056452</v>
      </c>
      <c r="L8" s="364">
        <f t="shared" si="8"/>
        <v>1436.3739950383222</v>
      </c>
      <c r="M8" s="364">
        <f t="shared" si="8"/>
        <v>2295.2369978454371</v>
      </c>
      <c r="N8" s="365">
        <f t="shared" si="8"/>
        <v>4117.844085266398</v>
      </c>
      <c r="O8" s="378">
        <f t="shared" si="0"/>
        <v>4285.728144413577</v>
      </c>
      <c r="P8" s="379">
        <f t="shared" si="0"/>
        <v>3584.0889639791776</v>
      </c>
      <c r="Q8" s="379">
        <f t="shared" si="0"/>
        <v>2698.5655892021687</v>
      </c>
      <c r="R8" s="379">
        <f t="shared" si="0"/>
        <v>1438.3104417184538</v>
      </c>
      <c r="S8" s="379">
        <f t="shared" si="0"/>
        <v>1614.7618104201545</v>
      </c>
      <c r="T8" s="379">
        <f t="shared" si="0"/>
        <v>4133.687739922022</v>
      </c>
      <c r="U8" s="379">
        <f t="shared" si="0"/>
        <v>5570.4529363098654</v>
      </c>
      <c r="V8" s="379">
        <f t="shared" si="0"/>
        <v>5296.377270835058</v>
      </c>
      <c r="W8" s="379">
        <f t="shared" si="0"/>
        <v>2648.7069772056452</v>
      </c>
      <c r="X8" s="379">
        <f t="shared" si="0"/>
        <v>1436.3739950383222</v>
      </c>
      <c r="Y8" s="379">
        <f t="shared" si="0"/>
        <v>2295.2369978454371</v>
      </c>
      <c r="Z8" s="380">
        <f t="shared" si="0"/>
        <v>4117.844085266398</v>
      </c>
      <c r="AA8" s="363">
        <f t="shared" si="1"/>
        <v>4285.728144413577</v>
      </c>
      <c r="AB8" s="364">
        <f t="shared" si="1"/>
        <v>3584.0889639791776</v>
      </c>
      <c r="AC8" s="364">
        <f t="shared" si="1"/>
        <v>2698.5655892021687</v>
      </c>
      <c r="AD8" s="364">
        <f t="shared" si="1"/>
        <v>1438.3104417184538</v>
      </c>
      <c r="AE8" s="364">
        <f t="shared" si="1"/>
        <v>1614.7618104201545</v>
      </c>
      <c r="AF8" s="364">
        <f t="shared" si="1"/>
        <v>4133.687739922022</v>
      </c>
      <c r="AG8" s="364">
        <f t="shared" si="1"/>
        <v>5570.4529363098654</v>
      </c>
      <c r="AH8" s="364">
        <f t="shared" si="1"/>
        <v>5296.377270835058</v>
      </c>
      <c r="AI8" s="364">
        <f t="shared" si="1"/>
        <v>2648.7069772056452</v>
      </c>
      <c r="AJ8" s="364">
        <f t="shared" si="1"/>
        <v>1436.3739950383222</v>
      </c>
      <c r="AK8" s="364">
        <f t="shared" si="1"/>
        <v>2295.2369978454371</v>
      </c>
      <c r="AL8" s="364">
        <f t="shared" si="1"/>
        <v>4117.844085266398</v>
      </c>
      <c r="AM8" s="378">
        <f t="shared" si="2"/>
        <v>4285.728144413577</v>
      </c>
      <c r="AN8" s="379">
        <f t="shared" si="2"/>
        <v>3584.0889639791776</v>
      </c>
      <c r="AO8" s="379">
        <f t="shared" si="2"/>
        <v>2698.5655892021687</v>
      </c>
      <c r="AP8" s="379">
        <f t="shared" si="2"/>
        <v>1438.3104417184538</v>
      </c>
      <c r="AQ8" s="379">
        <f t="shared" si="2"/>
        <v>1614.7618104201545</v>
      </c>
      <c r="AR8" s="379">
        <f t="shared" si="2"/>
        <v>4133.687739922022</v>
      </c>
      <c r="AS8" s="379">
        <f t="shared" si="2"/>
        <v>5570.4529363098654</v>
      </c>
      <c r="AT8" s="379">
        <f t="shared" si="2"/>
        <v>5296.377270835058</v>
      </c>
      <c r="AU8" s="379">
        <f t="shared" si="2"/>
        <v>2648.7069772056452</v>
      </c>
      <c r="AV8" s="379">
        <f t="shared" si="2"/>
        <v>1436.3739950383222</v>
      </c>
      <c r="AW8" s="379">
        <f t="shared" si="2"/>
        <v>2295.2369978454371</v>
      </c>
      <c r="AX8" s="379">
        <f t="shared" si="2"/>
        <v>4117.844085266398</v>
      </c>
      <c r="AY8" s="392">
        <f t="shared" si="4"/>
        <v>29901.035049162441</v>
      </c>
      <c r="AZ8" s="399">
        <f t="shared" si="5"/>
        <v>39120.134952156281</v>
      </c>
      <c r="BA8" s="399">
        <f t="shared" si="6"/>
        <v>39120.134952156281</v>
      </c>
      <c r="BB8" s="533">
        <f t="shared" si="7"/>
        <v>39120.134952156281</v>
      </c>
    </row>
    <row r="9" spans="1:54" x14ac:dyDescent="0.25">
      <c r="A9" s="18">
        <v>44652</v>
      </c>
      <c r="B9" s="94">
        <f>SUM('6. 2022 Installed kWh Savings'!E9:G9,'6. 2022 Installed kWh Savings'!J9)</f>
        <v>27318.812889171713</v>
      </c>
      <c r="C9" s="364"/>
      <c r="D9" s="364"/>
      <c r="E9" s="364"/>
      <c r="F9" s="364">
        <f>$B9*(SUMPRODUCT(F$30:F$32,$C$26:$C$28))/2</f>
        <v>502.2085670448659</v>
      </c>
      <c r="G9" s="364">
        <f t="shared" ref="G9:N9" si="9">$B9*(SUMPRODUCT(G$30:G$32,$C$26:$C$28))</f>
        <v>1127.6386396263406</v>
      </c>
      <c r="H9" s="364">
        <f t="shared" si="9"/>
        <v>2886.683342153663</v>
      </c>
      <c r="I9" s="364">
        <f t="shared" si="9"/>
        <v>3890.0213831342726</v>
      </c>
      <c r="J9" s="364">
        <f t="shared" si="9"/>
        <v>3698.6257800327353</v>
      </c>
      <c r="K9" s="364">
        <f t="shared" si="9"/>
        <v>1849.6748642871494</v>
      </c>
      <c r="L9" s="364">
        <f t="shared" si="9"/>
        <v>1003.0648528517178</v>
      </c>
      <c r="M9" s="364">
        <f t="shared" si="9"/>
        <v>1602.8357304270382</v>
      </c>
      <c r="N9" s="365">
        <f t="shared" si="9"/>
        <v>2875.6192229335479</v>
      </c>
      <c r="O9" s="378">
        <f t="shared" si="0"/>
        <v>2992.8579084474286</v>
      </c>
      <c r="P9" s="379">
        <f t="shared" si="0"/>
        <v>2502.8813398736893</v>
      </c>
      <c r="Q9" s="379">
        <f t="shared" si="0"/>
        <v>1884.4926913143986</v>
      </c>
      <c r="R9" s="379">
        <f t="shared" si="0"/>
        <v>1004.4171340897318</v>
      </c>
      <c r="S9" s="379">
        <f t="shared" si="0"/>
        <v>1127.6386396263406</v>
      </c>
      <c r="T9" s="379">
        <f t="shared" si="0"/>
        <v>2886.683342153663</v>
      </c>
      <c r="U9" s="379">
        <f t="shared" si="0"/>
        <v>3890.0213831342726</v>
      </c>
      <c r="V9" s="379">
        <f t="shared" si="0"/>
        <v>3698.6257800327353</v>
      </c>
      <c r="W9" s="379">
        <f t="shared" si="0"/>
        <v>1849.6748642871494</v>
      </c>
      <c r="X9" s="379">
        <f t="shared" si="0"/>
        <v>1003.0648528517178</v>
      </c>
      <c r="Y9" s="379">
        <f t="shared" si="0"/>
        <v>1602.8357304270382</v>
      </c>
      <c r="Z9" s="380">
        <f t="shared" si="0"/>
        <v>2875.6192229335479</v>
      </c>
      <c r="AA9" s="363">
        <f t="shared" si="1"/>
        <v>2992.8579084474286</v>
      </c>
      <c r="AB9" s="364">
        <f t="shared" si="1"/>
        <v>2502.8813398736893</v>
      </c>
      <c r="AC9" s="364">
        <f t="shared" si="1"/>
        <v>1884.4926913143986</v>
      </c>
      <c r="AD9" s="364">
        <f t="shared" si="1"/>
        <v>1004.4171340897318</v>
      </c>
      <c r="AE9" s="364">
        <f t="shared" si="1"/>
        <v>1127.6386396263406</v>
      </c>
      <c r="AF9" s="364">
        <f t="shared" si="1"/>
        <v>2886.683342153663</v>
      </c>
      <c r="AG9" s="364">
        <f t="shared" si="1"/>
        <v>3890.0213831342726</v>
      </c>
      <c r="AH9" s="364">
        <f t="shared" si="1"/>
        <v>3698.6257800327353</v>
      </c>
      <c r="AI9" s="364">
        <f t="shared" si="1"/>
        <v>1849.6748642871494</v>
      </c>
      <c r="AJ9" s="364">
        <f t="shared" si="1"/>
        <v>1003.0648528517178</v>
      </c>
      <c r="AK9" s="364">
        <f t="shared" si="1"/>
        <v>1602.8357304270382</v>
      </c>
      <c r="AL9" s="364">
        <f t="shared" si="1"/>
        <v>2875.6192229335479</v>
      </c>
      <c r="AM9" s="378">
        <f t="shared" si="2"/>
        <v>2992.8579084474286</v>
      </c>
      <c r="AN9" s="379">
        <f t="shared" si="2"/>
        <v>2502.8813398736893</v>
      </c>
      <c r="AO9" s="379">
        <f t="shared" si="2"/>
        <v>1884.4926913143986</v>
      </c>
      <c r="AP9" s="379">
        <f t="shared" si="2"/>
        <v>1004.4171340897318</v>
      </c>
      <c r="AQ9" s="379">
        <f t="shared" si="2"/>
        <v>1127.6386396263406</v>
      </c>
      <c r="AR9" s="379">
        <f t="shared" si="2"/>
        <v>2886.683342153663</v>
      </c>
      <c r="AS9" s="379">
        <f t="shared" si="2"/>
        <v>3890.0213831342726</v>
      </c>
      <c r="AT9" s="379">
        <f t="shared" si="2"/>
        <v>3698.6257800327353</v>
      </c>
      <c r="AU9" s="379">
        <f t="shared" si="2"/>
        <v>1849.6748642871494</v>
      </c>
      <c r="AV9" s="379">
        <f t="shared" si="2"/>
        <v>1003.0648528517178</v>
      </c>
      <c r="AW9" s="379">
        <f t="shared" si="2"/>
        <v>1602.8357304270382</v>
      </c>
      <c r="AX9" s="379">
        <f t="shared" si="2"/>
        <v>2875.6192229335479</v>
      </c>
      <c r="AY9" s="392">
        <f t="shared" si="4"/>
        <v>19436.372382491329</v>
      </c>
      <c r="AZ9" s="399">
        <f t="shared" si="5"/>
        <v>27318.812889171717</v>
      </c>
      <c r="BA9" s="399">
        <f t="shared" si="6"/>
        <v>27318.812889171717</v>
      </c>
      <c r="BB9" s="533">
        <f t="shared" si="7"/>
        <v>27318.812889171717</v>
      </c>
    </row>
    <row r="10" spans="1:54" x14ac:dyDescent="0.25">
      <c r="A10" s="18">
        <v>44682</v>
      </c>
      <c r="B10" s="94">
        <f>SUM('6. 2022 Installed kWh Savings'!E10:G10,'6. 2022 Installed kWh Savings'!J10)</f>
        <v>66466.399660671654</v>
      </c>
      <c r="C10" s="364"/>
      <c r="D10" s="364"/>
      <c r="E10" s="364"/>
      <c r="F10" s="364"/>
      <c r="G10" s="364">
        <f>$B10*(SUMPRODUCT(G$30:G$32,$C$26:$C$28))/2</f>
        <v>1371.7667893967716</v>
      </c>
      <c r="H10" s="364">
        <f t="shared" ref="H10:N10" si="10">$B10*(SUMPRODUCT(H$30:H$32,$C$26:$C$28))</f>
        <v>7023.2718197443619</v>
      </c>
      <c r="I10" s="364">
        <f t="shared" si="10"/>
        <v>9464.3832800818491</v>
      </c>
      <c r="J10" s="364">
        <f t="shared" si="10"/>
        <v>8998.7196840591823</v>
      </c>
      <c r="K10" s="364">
        <f t="shared" si="10"/>
        <v>4500.240521825096</v>
      </c>
      <c r="L10" s="364">
        <f t="shared" si="10"/>
        <v>2440.4467963408811</v>
      </c>
      <c r="M10" s="364">
        <f t="shared" si="10"/>
        <v>3899.6833676910969</v>
      </c>
      <c r="N10" s="365">
        <f t="shared" si="10"/>
        <v>6996.3529278817887</v>
      </c>
      <c r="O10" s="378">
        <f t="shared" si="0"/>
        <v>7281.5934820255616</v>
      </c>
      <c r="P10" s="379">
        <f t="shared" si="0"/>
        <v>6089.4853709115851</v>
      </c>
      <c r="Q10" s="379">
        <f t="shared" si="0"/>
        <v>4584.9519481926218</v>
      </c>
      <c r="R10" s="379">
        <f t="shared" si="0"/>
        <v>2443.7368831240842</v>
      </c>
      <c r="S10" s="379">
        <f t="shared" si="0"/>
        <v>2743.5335787935433</v>
      </c>
      <c r="T10" s="379">
        <f t="shared" si="0"/>
        <v>7023.2718197443619</v>
      </c>
      <c r="U10" s="379">
        <f t="shared" si="0"/>
        <v>9464.3832800818491</v>
      </c>
      <c r="V10" s="379">
        <f t="shared" si="0"/>
        <v>8998.7196840591823</v>
      </c>
      <c r="W10" s="379">
        <f t="shared" si="0"/>
        <v>4500.240521825096</v>
      </c>
      <c r="X10" s="379">
        <f t="shared" si="0"/>
        <v>2440.4467963408811</v>
      </c>
      <c r="Y10" s="379">
        <f t="shared" si="0"/>
        <v>3899.6833676910969</v>
      </c>
      <c r="Z10" s="380">
        <f t="shared" si="0"/>
        <v>6996.3529278817887</v>
      </c>
      <c r="AA10" s="363">
        <f t="shared" si="1"/>
        <v>7281.5934820255616</v>
      </c>
      <c r="AB10" s="364">
        <f t="shared" si="1"/>
        <v>6089.4853709115851</v>
      </c>
      <c r="AC10" s="364">
        <f t="shared" si="1"/>
        <v>4584.9519481926218</v>
      </c>
      <c r="AD10" s="364">
        <f t="shared" si="1"/>
        <v>2443.7368831240842</v>
      </c>
      <c r="AE10" s="364">
        <f t="shared" si="1"/>
        <v>2743.5335787935433</v>
      </c>
      <c r="AF10" s="364">
        <f t="shared" si="1"/>
        <v>7023.2718197443619</v>
      </c>
      <c r="AG10" s="364">
        <f t="shared" si="1"/>
        <v>9464.3832800818491</v>
      </c>
      <c r="AH10" s="364">
        <f t="shared" si="1"/>
        <v>8998.7196840591823</v>
      </c>
      <c r="AI10" s="364">
        <f t="shared" si="1"/>
        <v>4500.240521825096</v>
      </c>
      <c r="AJ10" s="364">
        <f t="shared" si="1"/>
        <v>2440.4467963408811</v>
      </c>
      <c r="AK10" s="364">
        <f t="shared" si="1"/>
        <v>3899.6833676910969</v>
      </c>
      <c r="AL10" s="364">
        <f t="shared" si="1"/>
        <v>6996.3529278817887</v>
      </c>
      <c r="AM10" s="378">
        <f t="shared" si="2"/>
        <v>7281.5934820255616</v>
      </c>
      <c r="AN10" s="379">
        <f t="shared" si="2"/>
        <v>6089.4853709115851</v>
      </c>
      <c r="AO10" s="379">
        <f t="shared" si="2"/>
        <v>4584.9519481926218</v>
      </c>
      <c r="AP10" s="379">
        <f t="shared" si="2"/>
        <v>2443.7368831240842</v>
      </c>
      <c r="AQ10" s="379">
        <f t="shared" si="2"/>
        <v>2743.5335787935433</v>
      </c>
      <c r="AR10" s="379">
        <f t="shared" si="2"/>
        <v>7023.2718197443619</v>
      </c>
      <c r="AS10" s="379">
        <f t="shared" si="2"/>
        <v>9464.3832800818491</v>
      </c>
      <c r="AT10" s="379">
        <f t="shared" si="2"/>
        <v>8998.7196840591823</v>
      </c>
      <c r="AU10" s="379">
        <f t="shared" si="2"/>
        <v>4500.240521825096</v>
      </c>
      <c r="AV10" s="379">
        <f t="shared" si="2"/>
        <v>2440.4467963408811</v>
      </c>
      <c r="AW10" s="379">
        <f t="shared" si="2"/>
        <v>3899.6833676910969</v>
      </c>
      <c r="AX10" s="379">
        <f t="shared" si="2"/>
        <v>6996.3529278817887</v>
      </c>
      <c r="AY10" s="392">
        <f t="shared" si="4"/>
        <v>44694.865187021031</v>
      </c>
      <c r="AZ10" s="399">
        <f t="shared" si="5"/>
        <v>66466.399660671654</v>
      </c>
      <c r="BA10" s="399">
        <f t="shared" si="6"/>
        <v>66466.399660671654</v>
      </c>
      <c r="BB10" s="533">
        <f t="shared" si="7"/>
        <v>66466.399660671654</v>
      </c>
    </row>
    <row r="11" spans="1:54" x14ac:dyDescent="0.25">
      <c r="A11" s="18">
        <v>44713</v>
      </c>
      <c r="B11" s="94">
        <f>SUM('6. 2022 Installed kWh Savings'!E11:G11,'6. 2022 Installed kWh Savings'!J11)</f>
        <v>37336.472614285711</v>
      </c>
      <c r="C11" s="364"/>
      <c r="D11" s="364"/>
      <c r="E11" s="364"/>
      <c r="F11" s="364"/>
      <c r="G11" s="364"/>
      <c r="H11" s="364">
        <f>$B11*(SUMPRODUCT(H$30:H$32,$C$26:$C$28))/2</f>
        <v>1972.6071917487106</v>
      </c>
      <c r="I11" s="364">
        <f t="shared" ref="I11:N11" si="11">$B11*(SUMPRODUCT(I$30:I$32,$C$26:$C$28))</f>
        <v>5316.4710132022929</v>
      </c>
      <c r="J11" s="364">
        <f t="shared" si="11"/>
        <v>5054.8916860666068</v>
      </c>
      <c r="K11" s="364">
        <f t="shared" si="11"/>
        <v>2527.9405512954427</v>
      </c>
      <c r="L11" s="364">
        <f t="shared" si="11"/>
        <v>1370.8832649787284</v>
      </c>
      <c r="M11" s="364">
        <f t="shared" si="11"/>
        <v>2190.586852989064</v>
      </c>
      <c r="N11" s="365">
        <f t="shared" si="11"/>
        <v>3930.0931120886353</v>
      </c>
      <c r="O11" s="378">
        <f t="shared" si="0"/>
        <v>4090.3225843128425</v>
      </c>
      <c r="P11" s="379">
        <f t="shared" si="0"/>
        <v>3420.6742797393208</v>
      </c>
      <c r="Q11" s="379">
        <f t="shared" si="0"/>
        <v>2575.5258856423497</v>
      </c>
      <c r="R11" s="379">
        <f t="shared" si="0"/>
        <v>1372.7314203731355</v>
      </c>
      <c r="S11" s="379">
        <f t="shared" si="0"/>
        <v>1541.137580099871</v>
      </c>
      <c r="T11" s="379">
        <f t="shared" si="0"/>
        <v>3945.2143834974213</v>
      </c>
      <c r="U11" s="379">
        <f t="shared" si="0"/>
        <v>5316.4710132022929</v>
      </c>
      <c r="V11" s="379">
        <f t="shared" si="0"/>
        <v>5054.8916860666068</v>
      </c>
      <c r="W11" s="379">
        <f t="shared" si="0"/>
        <v>2527.9405512954427</v>
      </c>
      <c r="X11" s="379">
        <f t="shared" si="0"/>
        <v>1370.8832649787284</v>
      </c>
      <c r="Y11" s="379">
        <f t="shared" si="0"/>
        <v>2190.586852989064</v>
      </c>
      <c r="Z11" s="380">
        <f t="shared" si="0"/>
        <v>3930.0931120886353</v>
      </c>
      <c r="AA11" s="363">
        <f t="shared" si="1"/>
        <v>4090.3225843128425</v>
      </c>
      <c r="AB11" s="364">
        <f t="shared" si="1"/>
        <v>3420.6742797393208</v>
      </c>
      <c r="AC11" s="364">
        <f t="shared" si="1"/>
        <v>2575.5258856423497</v>
      </c>
      <c r="AD11" s="364">
        <f t="shared" si="1"/>
        <v>1372.7314203731355</v>
      </c>
      <c r="AE11" s="364">
        <f t="shared" si="1"/>
        <v>1541.137580099871</v>
      </c>
      <c r="AF11" s="364">
        <f t="shared" si="1"/>
        <v>3945.2143834974213</v>
      </c>
      <c r="AG11" s="364">
        <f t="shared" si="1"/>
        <v>5316.4710132022929</v>
      </c>
      <c r="AH11" s="364">
        <f t="shared" si="1"/>
        <v>5054.8916860666068</v>
      </c>
      <c r="AI11" s="364">
        <f t="shared" si="1"/>
        <v>2527.9405512954427</v>
      </c>
      <c r="AJ11" s="364">
        <f t="shared" si="1"/>
        <v>1370.8832649787284</v>
      </c>
      <c r="AK11" s="364">
        <f t="shared" si="1"/>
        <v>2190.586852989064</v>
      </c>
      <c r="AL11" s="364">
        <f t="shared" si="1"/>
        <v>3930.0931120886353</v>
      </c>
      <c r="AM11" s="378">
        <f t="shared" si="2"/>
        <v>4090.3225843128425</v>
      </c>
      <c r="AN11" s="379">
        <f t="shared" si="2"/>
        <v>3420.6742797393208</v>
      </c>
      <c r="AO11" s="379">
        <f t="shared" si="2"/>
        <v>2575.5258856423497</v>
      </c>
      <c r="AP11" s="379">
        <f t="shared" si="2"/>
        <v>1372.7314203731355</v>
      </c>
      <c r="AQ11" s="379">
        <f t="shared" si="2"/>
        <v>1541.137580099871</v>
      </c>
      <c r="AR11" s="379">
        <f t="shared" si="2"/>
        <v>3945.2143834974213</v>
      </c>
      <c r="AS11" s="379">
        <f t="shared" si="2"/>
        <v>5316.4710132022929</v>
      </c>
      <c r="AT11" s="379">
        <f t="shared" si="2"/>
        <v>5054.8916860666068</v>
      </c>
      <c r="AU11" s="379">
        <f t="shared" si="2"/>
        <v>2527.9405512954427</v>
      </c>
      <c r="AV11" s="379">
        <f t="shared" si="2"/>
        <v>1370.8832649787284</v>
      </c>
      <c r="AW11" s="379">
        <f t="shared" si="2"/>
        <v>2190.586852989064</v>
      </c>
      <c r="AX11" s="379">
        <f t="shared" si="2"/>
        <v>3930.0931120886353</v>
      </c>
      <c r="AY11" s="392">
        <f t="shared" si="4"/>
        <v>22363.47367236948</v>
      </c>
      <c r="AZ11" s="399">
        <f t="shared" si="5"/>
        <v>37336.472614285711</v>
      </c>
      <c r="BA11" s="399">
        <f t="shared" si="6"/>
        <v>37336.472614285711</v>
      </c>
      <c r="BB11" s="533">
        <f t="shared" si="7"/>
        <v>37336.472614285711</v>
      </c>
    </row>
    <row r="12" spans="1:54" x14ac:dyDescent="0.25">
      <c r="A12" s="18">
        <v>44743</v>
      </c>
      <c r="B12" s="94">
        <f>SUM('6. 2022 Installed kWh Savings'!E12:G12,'6. 2022 Installed kWh Savings'!J12)</f>
        <v>137869.90801428573</v>
      </c>
      <c r="C12" s="364"/>
      <c r="D12" s="364"/>
      <c r="E12" s="364"/>
      <c r="F12" s="364"/>
      <c r="G12" s="364"/>
      <c r="H12" s="364"/>
      <c r="I12" s="364">
        <f>$B12*(SUMPRODUCT(I$30:I$32,$C$26:$C$28))/2</f>
        <v>9815.8893734160974</v>
      </c>
      <c r="J12" s="364">
        <f>$B12*(SUMPRODUCT(J$30:J$32,$C$26:$C$28))</f>
        <v>18665.862171284109</v>
      </c>
      <c r="K12" s="364">
        <f>$B12*(SUMPRODUCT(K$30:K$32,$C$26:$C$28))</f>
        <v>9334.7578619232445</v>
      </c>
      <c r="L12" s="364">
        <f>$B12*(SUMPRODUCT(L$30:L$32,$C$26:$C$28))</f>
        <v>5062.1694125605291</v>
      </c>
      <c r="M12" s="364">
        <f>$B12*(SUMPRODUCT(M$30:M$32,$C$26:$C$28))</f>
        <v>8089.0343080601651</v>
      </c>
      <c r="N12" s="365">
        <f>$B12*(SUMPRODUCT(N$30:N$32,$C$26:$C$28))</f>
        <v>14512.393322445736</v>
      </c>
      <c r="O12" s="378">
        <f t="shared" si="0"/>
        <v>15104.062032689044</v>
      </c>
      <c r="P12" s="379">
        <f t="shared" si="0"/>
        <v>12631.296297498822</v>
      </c>
      <c r="Q12" s="379">
        <f t="shared" si="0"/>
        <v>9510.4730596874506</v>
      </c>
      <c r="R12" s="379">
        <f t="shared" si="0"/>
        <v>5068.9939730072365</v>
      </c>
      <c r="S12" s="379">
        <f t="shared" si="0"/>
        <v>5690.8561931056711</v>
      </c>
      <c r="T12" s="379">
        <f t="shared" si="0"/>
        <v>14568.230635191525</v>
      </c>
      <c r="U12" s="379">
        <f t="shared" si="0"/>
        <v>19631.778746832195</v>
      </c>
      <c r="V12" s="379">
        <f t="shared" si="0"/>
        <v>18665.862171284109</v>
      </c>
      <c r="W12" s="379">
        <f t="shared" si="0"/>
        <v>9334.7578619232445</v>
      </c>
      <c r="X12" s="379">
        <f t="shared" si="0"/>
        <v>5062.1694125605291</v>
      </c>
      <c r="Y12" s="379">
        <f t="shared" si="0"/>
        <v>8089.0343080601651</v>
      </c>
      <c r="Z12" s="380">
        <f t="shared" si="0"/>
        <v>14512.393322445736</v>
      </c>
      <c r="AA12" s="363">
        <f t="shared" si="1"/>
        <v>15104.062032689044</v>
      </c>
      <c r="AB12" s="364">
        <f t="shared" si="1"/>
        <v>12631.296297498822</v>
      </c>
      <c r="AC12" s="364">
        <f t="shared" si="1"/>
        <v>9510.4730596874506</v>
      </c>
      <c r="AD12" s="364">
        <f t="shared" si="1"/>
        <v>5068.9939730072365</v>
      </c>
      <c r="AE12" s="364">
        <f t="shared" si="1"/>
        <v>5690.8561931056711</v>
      </c>
      <c r="AF12" s="364">
        <f t="shared" si="1"/>
        <v>14568.230635191525</v>
      </c>
      <c r="AG12" s="364">
        <f t="shared" si="1"/>
        <v>19631.778746832195</v>
      </c>
      <c r="AH12" s="364">
        <f t="shared" si="1"/>
        <v>18665.862171284109</v>
      </c>
      <c r="AI12" s="364">
        <f t="shared" si="1"/>
        <v>9334.7578619232445</v>
      </c>
      <c r="AJ12" s="364">
        <f t="shared" si="1"/>
        <v>5062.1694125605291</v>
      </c>
      <c r="AK12" s="364">
        <f t="shared" si="1"/>
        <v>8089.0343080601651</v>
      </c>
      <c r="AL12" s="364">
        <f t="shared" si="1"/>
        <v>14512.393322445736</v>
      </c>
      <c r="AM12" s="378">
        <f t="shared" si="2"/>
        <v>15104.062032689044</v>
      </c>
      <c r="AN12" s="379">
        <f t="shared" si="2"/>
        <v>12631.296297498822</v>
      </c>
      <c r="AO12" s="379">
        <f t="shared" si="2"/>
        <v>9510.4730596874506</v>
      </c>
      <c r="AP12" s="379">
        <f t="shared" si="2"/>
        <v>5068.9939730072365</v>
      </c>
      <c r="AQ12" s="379">
        <f t="shared" si="2"/>
        <v>5690.8561931056711</v>
      </c>
      <c r="AR12" s="379">
        <f t="shared" si="2"/>
        <v>14568.230635191525</v>
      </c>
      <c r="AS12" s="379">
        <f t="shared" si="2"/>
        <v>19631.778746832195</v>
      </c>
      <c r="AT12" s="379">
        <f t="shared" si="2"/>
        <v>18665.862171284109</v>
      </c>
      <c r="AU12" s="379">
        <f t="shared" si="2"/>
        <v>9334.7578619232445</v>
      </c>
      <c r="AV12" s="379">
        <f t="shared" si="2"/>
        <v>5062.1694125605291</v>
      </c>
      <c r="AW12" s="379">
        <f t="shared" si="2"/>
        <v>8089.0343080601651</v>
      </c>
      <c r="AX12" s="379">
        <f t="shared" si="2"/>
        <v>14512.393322445736</v>
      </c>
      <c r="AY12" s="392">
        <f t="shared" si="4"/>
        <v>65480.106449689883</v>
      </c>
      <c r="AZ12" s="399">
        <f t="shared" si="5"/>
        <v>137869.90801428573</v>
      </c>
      <c r="BA12" s="399">
        <f t="shared" si="6"/>
        <v>137869.90801428573</v>
      </c>
      <c r="BB12" s="533">
        <f t="shared" si="7"/>
        <v>137869.90801428573</v>
      </c>
    </row>
    <row r="13" spans="1:54" x14ac:dyDescent="0.25">
      <c r="A13" s="18">
        <v>44774</v>
      </c>
      <c r="B13" s="94">
        <f>SUM('6. 2022 Installed kWh Savings'!E13:G13,'6. 2022 Installed kWh Savings'!J13)</f>
        <v>17792.935128571429</v>
      </c>
      <c r="C13" s="364"/>
      <c r="D13" s="364"/>
      <c r="E13" s="364"/>
      <c r="F13" s="364"/>
      <c r="G13" s="364"/>
      <c r="H13" s="364"/>
      <c r="I13" s="364"/>
      <c r="J13" s="364">
        <f>$B13*(SUMPRODUCT(J$30:J$32,$C$26:$C$28))/2</f>
        <v>1204.4705023597321</v>
      </c>
      <c r="K13" s="364">
        <f>$B13*(SUMPRODUCT(K$30:K$32,$C$26:$C$28))</f>
        <v>1204.7062587501857</v>
      </c>
      <c r="L13" s="364">
        <f>$B13*(SUMPRODUCT(L$30:L$32,$C$26:$C$28))</f>
        <v>653.30319911575714</v>
      </c>
      <c r="M13" s="364">
        <f>$B13*(SUMPRODUCT(M$30:M$32,$C$26:$C$28))</f>
        <v>1043.9381933959787</v>
      </c>
      <c r="N13" s="365">
        <f>$B13*(SUMPRODUCT(N$30:N$32,$C$26:$C$28))</f>
        <v>1872.9110410361213</v>
      </c>
      <c r="O13" s="378">
        <f t="shared" si="0"/>
        <v>1949.2694221403858</v>
      </c>
      <c r="P13" s="379">
        <f t="shared" si="0"/>
        <v>1630.1442341418926</v>
      </c>
      <c r="Q13" s="379">
        <f t="shared" si="0"/>
        <v>1227.3833545715502</v>
      </c>
      <c r="R13" s="379">
        <f t="shared" si="0"/>
        <v>654.18394940462144</v>
      </c>
      <c r="S13" s="379">
        <f t="shared" si="0"/>
        <v>734.43898330204274</v>
      </c>
      <c r="T13" s="379">
        <f t="shared" si="0"/>
        <v>1880.117179763193</v>
      </c>
      <c r="U13" s="379">
        <f t="shared" si="0"/>
        <v>2533.5983082302359</v>
      </c>
      <c r="V13" s="379">
        <f t="shared" si="0"/>
        <v>2408.9410047194642</v>
      </c>
      <c r="W13" s="379">
        <f t="shared" si="0"/>
        <v>1204.7062587501857</v>
      </c>
      <c r="X13" s="379">
        <f t="shared" si="0"/>
        <v>653.30319911575714</v>
      </c>
      <c r="Y13" s="379">
        <f t="shared" si="0"/>
        <v>1043.9381933959787</v>
      </c>
      <c r="Z13" s="380">
        <f t="shared" si="0"/>
        <v>1872.9110410361213</v>
      </c>
      <c r="AA13" s="363">
        <f t="shared" si="1"/>
        <v>1949.2694221403858</v>
      </c>
      <c r="AB13" s="364">
        <f t="shared" si="1"/>
        <v>1630.1442341418926</v>
      </c>
      <c r="AC13" s="364">
        <f t="shared" si="1"/>
        <v>1227.3833545715502</v>
      </c>
      <c r="AD13" s="364">
        <f t="shared" si="1"/>
        <v>654.18394940462144</v>
      </c>
      <c r="AE13" s="364">
        <f t="shared" si="1"/>
        <v>734.43898330204274</v>
      </c>
      <c r="AF13" s="364">
        <f t="shared" si="1"/>
        <v>1880.117179763193</v>
      </c>
      <c r="AG13" s="364">
        <f t="shared" si="1"/>
        <v>2533.5983082302359</v>
      </c>
      <c r="AH13" s="364">
        <f t="shared" si="1"/>
        <v>2408.9410047194642</v>
      </c>
      <c r="AI13" s="364">
        <f t="shared" si="1"/>
        <v>1204.7062587501857</v>
      </c>
      <c r="AJ13" s="364">
        <f t="shared" si="1"/>
        <v>653.30319911575714</v>
      </c>
      <c r="AK13" s="364">
        <f t="shared" si="1"/>
        <v>1043.9381933959787</v>
      </c>
      <c r="AL13" s="364">
        <f t="shared" si="1"/>
        <v>1872.9110410361213</v>
      </c>
      <c r="AM13" s="378">
        <f t="shared" si="2"/>
        <v>1949.2694221403858</v>
      </c>
      <c r="AN13" s="379">
        <f t="shared" si="2"/>
        <v>1630.1442341418926</v>
      </c>
      <c r="AO13" s="379">
        <f t="shared" si="2"/>
        <v>1227.3833545715502</v>
      </c>
      <c r="AP13" s="379">
        <f t="shared" si="2"/>
        <v>654.18394940462144</v>
      </c>
      <c r="AQ13" s="379">
        <f t="shared" si="2"/>
        <v>734.43898330204274</v>
      </c>
      <c r="AR13" s="379">
        <f t="shared" si="2"/>
        <v>1880.117179763193</v>
      </c>
      <c r="AS13" s="379">
        <f t="shared" si="2"/>
        <v>2533.5983082302359</v>
      </c>
      <c r="AT13" s="379">
        <f t="shared" si="2"/>
        <v>2408.9410047194642</v>
      </c>
      <c r="AU13" s="379">
        <f t="shared" si="2"/>
        <v>1204.7062587501857</v>
      </c>
      <c r="AV13" s="379">
        <f t="shared" si="2"/>
        <v>653.30319911575714</v>
      </c>
      <c r="AW13" s="379">
        <f t="shared" si="2"/>
        <v>1043.9381933959787</v>
      </c>
      <c r="AX13" s="379">
        <f t="shared" si="2"/>
        <v>1872.9110410361213</v>
      </c>
      <c r="AY13" s="392">
        <f t="shared" si="4"/>
        <v>5979.3291946577756</v>
      </c>
      <c r="AZ13" s="399">
        <f t="shared" si="5"/>
        <v>17792.935128571429</v>
      </c>
      <c r="BA13" s="399">
        <f t="shared" si="6"/>
        <v>17792.935128571429</v>
      </c>
      <c r="BB13" s="533">
        <f t="shared" si="7"/>
        <v>17792.935128571429</v>
      </c>
    </row>
    <row r="14" spans="1:54" x14ac:dyDescent="0.25">
      <c r="A14" s="18">
        <v>44805</v>
      </c>
      <c r="B14" s="94">
        <f>SUM('6. 2022 Installed kWh Savings'!E14:G14,'6. 2022 Installed kWh Savings'!J14)</f>
        <v>53669.949528571415</v>
      </c>
      <c r="C14" s="364"/>
      <c r="D14" s="364"/>
      <c r="E14" s="364"/>
      <c r="F14" s="364"/>
      <c r="G14" s="364"/>
      <c r="H14" s="364"/>
      <c r="I14" s="364"/>
      <c r="J14" s="364"/>
      <c r="K14" s="364">
        <f>$B14*(SUMPRODUCT(K$30:K$32,$C$26:$C$28))/2</f>
        <v>1816.9156363654924</v>
      </c>
      <c r="L14" s="364">
        <f>$B14*(SUMPRODUCT(L$30:L$32,$C$26:$C$28))</f>
        <v>1970.5995368405565</v>
      </c>
      <c r="M14" s="364">
        <f>$B14*(SUMPRODUCT(M$30:M$32,$C$26:$C$28))</f>
        <v>3148.8964437655777</v>
      </c>
      <c r="N14" s="365">
        <f>$B14*(SUMPRODUCT(N$30:N$32,$C$26:$C$28))</f>
        <v>5649.3793923017192</v>
      </c>
      <c r="O14" s="378">
        <f t="shared" si="0"/>
        <v>5879.7039807035844</v>
      </c>
      <c r="P14" s="379">
        <f t="shared" si="0"/>
        <v>4917.1066009338911</v>
      </c>
      <c r="Q14" s="379">
        <f t="shared" si="0"/>
        <v>3702.233623405149</v>
      </c>
      <c r="R14" s="379">
        <f t="shared" si="0"/>
        <v>1973.256199342221</v>
      </c>
      <c r="S14" s="379">
        <f t="shared" si="0"/>
        <v>2215.3345066908419</v>
      </c>
      <c r="T14" s="379">
        <f t="shared" si="0"/>
        <v>5671.1157218607923</v>
      </c>
      <c r="U14" s="379">
        <f t="shared" si="0"/>
        <v>7642.2519581966344</v>
      </c>
      <c r="V14" s="379">
        <f t="shared" si="0"/>
        <v>7266.2402917994623</v>
      </c>
      <c r="W14" s="379">
        <f t="shared" si="0"/>
        <v>3633.8312727309849</v>
      </c>
      <c r="X14" s="379">
        <f t="shared" si="0"/>
        <v>1970.5995368405565</v>
      </c>
      <c r="Y14" s="379">
        <f t="shared" si="0"/>
        <v>3148.8964437655777</v>
      </c>
      <c r="Z14" s="380">
        <f t="shared" si="0"/>
        <v>5649.3793923017192</v>
      </c>
      <c r="AA14" s="363">
        <f t="shared" si="1"/>
        <v>5879.7039807035844</v>
      </c>
      <c r="AB14" s="364">
        <f t="shared" si="1"/>
        <v>4917.1066009338911</v>
      </c>
      <c r="AC14" s="364">
        <f t="shared" si="1"/>
        <v>3702.233623405149</v>
      </c>
      <c r="AD14" s="364">
        <f t="shared" si="1"/>
        <v>1973.256199342221</v>
      </c>
      <c r="AE14" s="364">
        <f t="shared" si="1"/>
        <v>2215.3345066908419</v>
      </c>
      <c r="AF14" s="364">
        <f t="shared" si="1"/>
        <v>5671.1157218607923</v>
      </c>
      <c r="AG14" s="364">
        <f t="shared" si="1"/>
        <v>7642.2519581966344</v>
      </c>
      <c r="AH14" s="364">
        <f t="shared" si="1"/>
        <v>7266.2402917994623</v>
      </c>
      <c r="AI14" s="364">
        <f t="shared" si="1"/>
        <v>3633.8312727309849</v>
      </c>
      <c r="AJ14" s="364">
        <f t="shared" si="1"/>
        <v>1970.5995368405565</v>
      </c>
      <c r="AK14" s="364">
        <f t="shared" si="1"/>
        <v>3148.8964437655777</v>
      </c>
      <c r="AL14" s="364">
        <f t="shared" si="1"/>
        <v>5649.3793923017192</v>
      </c>
      <c r="AM14" s="378">
        <f t="shared" si="2"/>
        <v>5879.7039807035844</v>
      </c>
      <c r="AN14" s="379">
        <f t="shared" si="2"/>
        <v>4917.1066009338911</v>
      </c>
      <c r="AO14" s="379">
        <f t="shared" si="2"/>
        <v>3702.233623405149</v>
      </c>
      <c r="AP14" s="379">
        <f t="shared" si="2"/>
        <v>1973.256199342221</v>
      </c>
      <c r="AQ14" s="379">
        <f t="shared" si="2"/>
        <v>2215.3345066908419</v>
      </c>
      <c r="AR14" s="379">
        <f t="shared" si="2"/>
        <v>5671.1157218607923</v>
      </c>
      <c r="AS14" s="379">
        <f t="shared" si="2"/>
        <v>7642.2519581966344</v>
      </c>
      <c r="AT14" s="379">
        <f t="shared" si="2"/>
        <v>7266.2402917994623</v>
      </c>
      <c r="AU14" s="379">
        <f t="shared" si="2"/>
        <v>3633.8312727309849</v>
      </c>
      <c r="AV14" s="379">
        <f t="shared" si="2"/>
        <v>1970.5995368405565</v>
      </c>
      <c r="AW14" s="379">
        <f t="shared" si="2"/>
        <v>3148.8964437655777</v>
      </c>
      <c r="AX14" s="379">
        <f t="shared" si="2"/>
        <v>5649.3793923017192</v>
      </c>
      <c r="AY14" s="392">
        <f t="shared" si="4"/>
        <v>12585.791009273347</v>
      </c>
      <c r="AZ14" s="399">
        <f t="shared" si="5"/>
        <v>53669.949528571407</v>
      </c>
      <c r="BA14" s="399">
        <f t="shared" si="6"/>
        <v>53669.949528571407</v>
      </c>
      <c r="BB14" s="533">
        <f t="shared" si="7"/>
        <v>53669.949528571407</v>
      </c>
    </row>
    <row r="15" spans="1:54" x14ac:dyDescent="0.25">
      <c r="A15" s="18">
        <v>44835</v>
      </c>
      <c r="B15" s="94">
        <f>SUM('6. 2022 Installed kWh Savings'!E15:G15,'6. 2022 Installed kWh Savings'!J15)</f>
        <v>47244.604057142853</v>
      </c>
      <c r="C15" s="364"/>
      <c r="D15" s="364"/>
      <c r="E15" s="364"/>
      <c r="F15" s="364"/>
      <c r="G15" s="364"/>
      <c r="H15" s="364"/>
      <c r="I15" s="364"/>
      <c r="J15" s="364"/>
      <c r="K15" s="364"/>
      <c r="L15" s="364">
        <f>$B15*(SUMPRODUCT(L$30:L$32,$C$26:$C$28))/2</f>
        <v>867.34006358305703</v>
      </c>
      <c r="M15" s="364">
        <f>$B15*(SUMPRODUCT(M$30:M$32,$C$26:$C$28))</f>
        <v>2771.9117869386569</v>
      </c>
      <c r="N15" s="365">
        <f>$B15*(SUMPRODUCT(N$30:N$32,$C$26:$C$28))</f>
        <v>4973.0378899609423</v>
      </c>
      <c r="O15" s="378">
        <f t="shared" si="0"/>
        <v>5175.7881082721706</v>
      </c>
      <c r="P15" s="379">
        <f t="shared" si="0"/>
        <v>4328.4325122052851</v>
      </c>
      <c r="Q15" s="379">
        <f t="shared" si="0"/>
        <v>3259.0036547677996</v>
      </c>
      <c r="R15" s="379">
        <f t="shared" si="0"/>
        <v>1737.0187350669428</v>
      </c>
      <c r="S15" s="379">
        <f t="shared" si="0"/>
        <v>1950.1155216666853</v>
      </c>
      <c r="T15" s="379">
        <f t="shared" si="0"/>
        <v>4992.1719546040858</v>
      </c>
      <c r="U15" s="379">
        <f t="shared" si="0"/>
        <v>6727.3245278107715</v>
      </c>
      <c r="V15" s="379">
        <f t="shared" si="0"/>
        <v>6396.3288317864281</v>
      </c>
      <c r="W15" s="379">
        <f t="shared" si="0"/>
        <v>3198.7904068969715</v>
      </c>
      <c r="X15" s="379">
        <f t="shared" si="0"/>
        <v>1734.6801271661141</v>
      </c>
      <c r="Y15" s="379">
        <f t="shared" si="0"/>
        <v>2771.9117869386569</v>
      </c>
      <c r="Z15" s="380">
        <f t="shared" si="0"/>
        <v>4973.0378899609423</v>
      </c>
      <c r="AA15" s="363">
        <f t="shared" si="1"/>
        <v>5175.7881082721706</v>
      </c>
      <c r="AB15" s="364">
        <f t="shared" si="1"/>
        <v>4328.4325122052851</v>
      </c>
      <c r="AC15" s="364">
        <f t="shared" si="1"/>
        <v>3259.0036547677996</v>
      </c>
      <c r="AD15" s="364">
        <f t="shared" si="1"/>
        <v>1737.0187350669428</v>
      </c>
      <c r="AE15" s="364">
        <f t="shared" si="1"/>
        <v>1950.1155216666853</v>
      </c>
      <c r="AF15" s="364">
        <f t="shared" si="1"/>
        <v>4992.1719546040858</v>
      </c>
      <c r="AG15" s="364">
        <f t="shared" si="1"/>
        <v>6727.3245278107715</v>
      </c>
      <c r="AH15" s="364">
        <f t="shared" si="1"/>
        <v>6396.3288317864281</v>
      </c>
      <c r="AI15" s="364">
        <f t="shared" si="1"/>
        <v>3198.7904068969715</v>
      </c>
      <c r="AJ15" s="364">
        <f t="shared" si="1"/>
        <v>1734.6801271661141</v>
      </c>
      <c r="AK15" s="364">
        <f t="shared" si="1"/>
        <v>2771.9117869386569</v>
      </c>
      <c r="AL15" s="364">
        <f t="shared" si="1"/>
        <v>4973.0378899609423</v>
      </c>
      <c r="AM15" s="378">
        <f t="shared" si="2"/>
        <v>5175.7881082721706</v>
      </c>
      <c r="AN15" s="379">
        <f t="shared" si="2"/>
        <v>4328.4325122052851</v>
      </c>
      <c r="AO15" s="379">
        <f t="shared" si="2"/>
        <v>3259.0036547677996</v>
      </c>
      <c r="AP15" s="379">
        <f t="shared" si="2"/>
        <v>1737.0187350669428</v>
      </c>
      <c r="AQ15" s="379">
        <f t="shared" si="2"/>
        <v>1950.1155216666853</v>
      </c>
      <c r="AR15" s="379">
        <f t="shared" si="2"/>
        <v>4992.1719546040858</v>
      </c>
      <c r="AS15" s="379">
        <f t="shared" si="2"/>
        <v>6727.3245278107715</v>
      </c>
      <c r="AT15" s="379">
        <f t="shared" si="2"/>
        <v>6396.3288317864281</v>
      </c>
      <c r="AU15" s="379">
        <f t="shared" si="2"/>
        <v>3198.7904068969715</v>
      </c>
      <c r="AV15" s="379">
        <f t="shared" si="2"/>
        <v>1734.6801271661141</v>
      </c>
      <c r="AW15" s="379">
        <f t="shared" si="2"/>
        <v>2771.9117869386569</v>
      </c>
      <c r="AX15" s="379">
        <f t="shared" si="2"/>
        <v>4973.0378899609423</v>
      </c>
      <c r="AY15" s="392">
        <f t="shared" si="4"/>
        <v>8612.2897404826563</v>
      </c>
      <c r="AZ15" s="399">
        <f t="shared" si="5"/>
        <v>47244.604057142853</v>
      </c>
      <c r="BA15" s="399">
        <f t="shared" si="6"/>
        <v>47244.604057142853</v>
      </c>
      <c r="BB15" s="533">
        <f t="shared" si="7"/>
        <v>47244.604057142853</v>
      </c>
    </row>
    <row r="16" spans="1:54" x14ac:dyDescent="0.25">
      <c r="A16" s="18">
        <v>44866</v>
      </c>
      <c r="B16" s="94">
        <f>SUM('6. 2022 Installed kWh Savings'!E16:G16,'6. 2022 Installed kWh Savings'!J16)</f>
        <v>90068.618642857153</v>
      </c>
      <c r="C16" s="364"/>
      <c r="D16" s="364"/>
      <c r="E16" s="364"/>
      <c r="F16" s="364"/>
      <c r="G16" s="364"/>
      <c r="H16" s="364"/>
      <c r="I16" s="364"/>
      <c r="J16" s="364"/>
      <c r="K16" s="364"/>
      <c r="L16" s="364"/>
      <c r="M16" s="364">
        <f>$B16*(SUMPRODUCT(M$30:M$32,$C$26:$C$28))/2</f>
        <v>2642.2304793521967</v>
      </c>
      <c r="N16" s="365">
        <f>$B16*(SUMPRODUCT(N$30:N$32,$C$26:$C$28))</f>
        <v>9480.7579012751085</v>
      </c>
      <c r="O16" s="378">
        <f t="shared" si="0"/>
        <v>9867.2873781809303</v>
      </c>
      <c r="P16" s="379">
        <f t="shared" si="0"/>
        <v>8251.861668511965</v>
      </c>
      <c r="Q16" s="379">
        <f t="shared" si="0"/>
        <v>6213.0684169122505</v>
      </c>
      <c r="R16" s="379">
        <f t="shared" si="0"/>
        <v>3311.5078673326075</v>
      </c>
      <c r="S16" s="379">
        <f t="shared" si="0"/>
        <v>3717.7623717212141</v>
      </c>
      <c r="T16" s="379">
        <f t="shared" si="0"/>
        <v>9517.2356918254663</v>
      </c>
      <c r="U16" s="379">
        <f t="shared" si="0"/>
        <v>12825.185848721681</v>
      </c>
      <c r="V16" s="379">
        <f t="shared" si="0"/>
        <v>12194.165106509823</v>
      </c>
      <c r="W16" s="379">
        <f t="shared" si="0"/>
        <v>6098.2759624519294</v>
      </c>
      <c r="X16" s="379">
        <f t="shared" si="0"/>
        <v>3307.049470709786</v>
      </c>
      <c r="Y16" s="379">
        <f t="shared" si="0"/>
        <v>5284.4609587043933</v>
      </c>
      <c r="Z16" s="380">
        <f t="shared" si="0"/>
        <v>9480.7579012751085</v>
      </c>
      <c r="AA16" s="363">
        <f t="shared" si="1"/>
        <v>9867.2873781809303</v>
      </c>
      <c r="AB16" s="364">
        <f t="shared" si="1"/>
        <v>8251.861668511965</v>
      </c>
      <c r="AC16" s="364">
        <f t="shared" si="1"/>
        <v>6213.0684169122505</v>
      </c>
      <c r="AD16" s="364">
        <f t="shared" si="1"/>
        <v>3311.5078673326075</v>
      </c>
      <c r="AE16" s="364">
        <f t="shared" si="1"/>
        <v>3717.7623717212141</v>
      </c>
      <c r="AF16" s="364">
        <f t="shared" si="1"/>
        <v>9517.2356918254663</v>
      </c>
      <c r="AG16" s="364">
        <f t="shared" si="1"/>
        <v>12825.185848721681</v>
      </c>
      <c r="AH16" s="364">
        <f t="shared" si="1"/>
        <v>12194.165106509823</v>
      </c>
      <c r="AI16" s="364">
        <f t="shared" si="1"/>
        <v>6098.2759624519294</v>
      </c>
      <c r="AJ16" s="364">
        <f t="shared" si="1"/>
        <v>3307.049470709786</v>
      </c>
      <c r="AK16" s="364">
        <f t="shared" si="1"/>
        <v>5284.4609587043933</v>
      </c>
      <c r="AL16" s="364">
        <f t="shared" si="1"/>
        <v>9480.7579012751085</v>
      </c>
      <c r="AM16" s="378">
        <f t="shared" si="2"/>
        <v>9867.2873781809303</v>
      </c>
      <c r="AN16" s="379">
        <f t="shared" si="2"/>
        <v>8251.861668511965</v>
      </c>
      <c r="AO16" s="379">
        <f t="shared" si="2"/>
        <v>6213.0684169122505</v>
      </c>
      <c r="AP16" s="379">
        <f t="shared" si="2"/>
        <v>3311.5078673326075</v>
      </c>
      <c r="AQ16" s="379">
        <f t="shared" si="2"/>
        <v>3717.7623717212141</v>
      </c>
      <c r="AR16" s="379">
        <f t="shared" si="2"/>
        <v>9517.2356918254663</v>
      </c>
      <c r="AS16" s="379">
        <f t="shared" si="2"/>
        <v>12825.185848721681</v>
      </c>
      <c r="AT16" s="379">
        <f t="shared" si="2"/>
        <v>12194.165106509823</v>
      </c>
      <c r="AU16" s="379">
        <f t="shared" si="2"/>
        <v>6098.2759624519294</v>
      </c>
      <c r="AV16" s="379">
        <f t="shared" si="2"/>
        <v>3307.049470709786</v>
      </c>
      <c r="AW16" s="379">
        <f t="shared" si="2"/>
        <v>5284.4609587043933</v>
      </c>
      <c r="AX16" s="379">
        <f t="shared" si="2"/>
        <v>9480.7579012751085</v>
      </c>
      <c r="AY16" s="392">
        <f t="shared" si="4"/>
        <v>12122.988380627305</v>
      </c>
      <c r="AZ16" s="399">
        <f t="shared" si="5"/>
        <v>90068.618642857153</v>
      </c>
      <c r="BA16" s="399">
        <f t="shared" si="6"/>
        <v>90068.618642857153</v>
      </c>
      <c r="BB16" s="533">
        <f t="shared" si="7"/>
        <v>90068.618642857153</v>
      </c>
    </row>
    <row r="17" spans="1:54" x14ac:dyDescent="0.25">
      <c r="A17" s="18">
        <v>44896</v>
      </c>
      <c r="B17" s="95">
        <f>SUM('6. 2022 Installed kWh Savings'!E17:G17,'6. 2022 Installed kWh Savings'!J17)</f>
        <v>369553.20338571438</v>
      </c>
      <c r="C17" s="364"/>
      <c r="D17" s="364"/>
      <c r="E17" s="364"/>
      <c r="F17" s="364"/>
      <c r="G17" s="364"/>
      <c r="H17" s="364"/>
      <c r="I17" s="364"/>
      <c r="J17" s="364"/>
      <c r="K17" s="364"/>
      <c r="L17" s="364"/>
      <c r="M17" s="364"/>
      <c r="N17" s="365">
        <f>$B17*(SUMPRODUCT(N$30:N$32,$C$26:$C$28))/2</f>
        <v>19449.862259092686</v>
      </c>
      <c r="O17" s="378">
        <f>$B17*(SUMPRODUCT(O$30:O$32,$C$26:$C$28))</f>
        <v>40485.662090515165</v>
      </c>
      <c r="P17" s="379">
        <f t="shared" si="0"/>
        <v>33857.540611190685</v>
      </c>
      <c r="Q17" s="379">
        <f t="shared" si="0"/>
        <v>25492.334299351656</v>
      </c>
      <c r="R17" s="379">
        <f t="shared" si="0"/>
        <v>13587.177852280867</v>
      </c>
      <c r="S17" s="379">
        <f t="shared" si="0"/>
        <v>15254.04757615213</v>
      </c>
      <c r="T17" s="379">
        <f t="shared" si="0"/>
        <v>39049.393565556595</v>
      </c>
      <c r="U17" s="379">
        <f t="shared" si="0"/>
        <v>52621.974066303723</v>
      </c>
      <c r="V17" s="379">
        <f t="shared" si="0"/>
        <v>50032.884323383405</v>
      </c>
      <c r="W17" s="379">
        <f t="shared" si="0"/>
        <v>25021.338741636566</v>
      </c>
      <c r="X17" s="379">
        <f t="shared" si="0"/>
        <v>13568.884968713275</v>
      </c>
      <c r="Y17" s="379">
        <f t="shared" si="0"/>
        <v>21682.24077244494</v>
      </c>
      <c r="Z17" s="380">
        <f t="shared" si="0"/>
        <v>38899.724518185372</v>
      </c>
      <c r="AA17" s="363">
        <f>$B17*(SUMPRODUCT(AA$30:AA$32,$C$26:$C$28))</f>
        <v>40485.662090515165</v>
      </c>
      <c r="AB17" s="364">
        <f t="shared" si="1"/>
        <v>33857.540611190685</v>
      </c>
      <c r="AC17" s="364">
        <f t="shared" si="1"/>
        <v>25492.334299351656</v>
      </c>
      <c r="AD17" s="364">
        <f t="shared" si="1"/>
        <v>13587.177852280867</v>
      </c>
      <c r="AE17" s="364">
        <f t="shared" si="1"/>
        <v>15254.04757615213</v>
      </c>
      <c r="AF17" s="364">
        <f t="shared" si="1"/>
        <v>39049.393565556595</v>
      </c>
      <c r="AG17" s="364">
        <f t="shared" si="1"/>
        <v>52621.974066303723</v>
      </c>
      <c r="AH17" s="364">
        <f t="shared" si="1"/>
        <v>50032.884323383405</v>
      </c>
      <c r="AI17" s="364">
        <f t="shared" si="1"/>
        <v>25021.338741636566</v>
      </c>
      <c r="AJ17" s="364">
        <f t="shared" si="1"/>
        <v>13568.884968713275</v>
      </c>
      <c r="AK17" s="364">
        <f t="shared" si="1"/>
        <v>21682.24077244494</v>
      </c>
      <c r="AL17" s="364">
        <f t="shared" si="1"/>
        <v>38899.724518185372</v>
      </c>
      <c r="AM17" s="378">
        <f>$B17*(SUMPRODUCT(AM$30:AM$32,$C$26:$C$28))</f>
        <v>40485.662090515165</v>
      </c>
      <c r="AN17" s="379">
        <f t="shared" si="2"/>
        <v>33857.540611190685</v>
      </c>
      <c r="AO17" s="379">
        <f t="shared" si="2"/>
        <v>25492.334299351656</v>
      </c>
      <c r="AP17" s="379">
        <f t="shared" si="2"/>
        <v>13587.177852280867</v>
      </c>
      <c r="AQ17" s="379">
        <f t="shared" si="2"/>
        <v>15254.04757615213</v>
      </c>
      <c r="AR17" s="379">
        <f t="shared" si="2"/>
        <v>39049.393565556595</v>
      </c>
      <c r="AS17" s="379">
        <f t="shared" si="2"/>
        <v>52621.974066303723</v>
      </c>
      <c r="AT17" s="379">
        <f t="shared" si="2"/>
        <v>50032.884323383405</v>
      </c>
      <c r="AU17" s="379">
        <f t="shared" si="2"/>
        <v>25021.338741636566</v>
      </c>
      <c r="AV17" s="379">
        <f t="shared" si="2"/>
        <v>13568.884968713275</v>
      </c>
      <c r="AW17" s="379">
        <f t="shared" si="2"/>
        <v>21682.24077244494</v>
      </c>
      <c r="AX17" s="379">
        <f t="shared" si="2"/>
        <v>38899.724518185372</v>
      </c>
      <c r="AY17" s="392">
        <f t="shared" si="4"/>
        <v>19449.862259092686</v>
      </c>
      <c r="AZ17" s="399">
        <f t="shared" si="5"/>
        <v>369553.20338571433</v>
      </c>
      <c r="BA17" s="399">
        <f t="shared" si="6"/>
        <v>369553.20338571433</v>
      </c>
      <c r="BB17" s="533">
        <f t="shared" si="7"/>
        <v>369553.20338571433</v>
      </c>
    </row>
    <row r="18" spans="1:54" x14ac:dyDescent="0.25">
      <c r="A18" s="18"/>
      <c r="B18" s="20"/>
      <c r="C18" s="363"/>
      <c r="D18" s="364"/>
      <c r="E18" s="364"/>
      <c r="F18" s="364"/>
      <c r="G18" s="364"/>
      <c r="H18" s="364"/>
      <c r="I18" s="364"/>
      <c r="J18" s="364"/>
      <c r="K18" s="364"/>
      <c r="L18" s="364"/>
      <c r="M18" s="364"/>
      <c r="N18" s="365"/>
      <c r="O18" s="378"/>
      <c r="P18" s="379"/>
      <c r="Q18" s="379"/>
      <c r="R18" s="379"/>
      <c r="S18" s="379"/>
      <c r="T18" s="379"/>
      <c r="U18" s="379"/>
      <c r="V18" s="379"/>
      <c r="W18" s="379"/>
      <c r="X18" s="379"/>
      <c r="Y18" s="379"/>
      <c r="Z18" s="380"/>
      <c r="AA18" s="363"/>
      <c r="AB18" s="364"/>
      <c r="AC18" s="364"/>
      <c r="AD18" s="364"/>
      <c r="AE18" s="364"/>
      <c r="AF18" s="364"/>
      <c r="AG18" s="364"/>
      <c r="AH18" s="364"/>
      <c r="AI18" s="364"/>
      <c r="AJ18" s="364"/>
      <c r="AK18" s="364"/>
      <c r="AL18" s="364"/>
      <c r="AM18" s="378"/>
      <c r="AN18" s="379"/>
      <c r="AO18" s="379"/>
      <c r="AP18" s="379"/>
      <c r="AQ18" s="379"/>
      <c r="AR18" s="379"/>
      <c r="AS18" s="379"/>
      <c r="AT18" s="379"/>
      <c r="AU18" s="379"/>
      <c r="AV18" s="379"/>
      <c r="AW18" s="379"/>
      <c r="AX18" s="379"/>
      <c r="AY18" s="392"/>
      <c r="AZ18" s="399"/>
      <c r="BA18" s="399"/>
      <c r="BB18" s="534"/>
    </row>
    <row r="19" spans="1:54" x14ac:dyDescent="0.25">
      <c r="A19" s="18" t="s">
        <v>35</v>
      </c>
      <c r="B19" s="20">
        <f>SUM(B6:B17)</f>
        <v>951404.47510000016</v>
      </c>
      <c r="C19" s="447">
        <f t="shared" ref="C19:Z19" si="12">SUM(C6:C17)</f>
        <v>3558.4696644648102</v>
      </c>
      <c r="D19" s="448">
        <f t="shared" si="12"/>
        <v>5951.7876184879415</v>
      </c>
      <c r="E19" s="448">
        <f t="shared" si="12"/>
        <v>5830.5580706643468</v>
      </c>
      <c r="F19" s="448">
        <f t="shared" si="12"/>
        <v>4328.997186787572</v>
      </c>
      <c r="G19" s="448">
        <f t="shared" si="12"/>
        <v>6795.6629965674711</v>
      </c>
      <c r="H19" s="448">
        <f t="shared" si="12"/>
        <v>22880.709027603807</v>
      </c>
      <c r="I19" s="448">
        <f t="shared" si="12"/>
        <v>43307.589042472733</v>
      </c>
      <c r="J19" s="448">
        <f t="shared" si="12"/>
        <v>51714.184316762417</v>
      </c>
      <c r="K19" s="448">
        <f t="shared" si="12"/>
        <v>28281.422048244753</v>
      </c>
      <c r="L19" s="448">
        <f t="shared" si="12"/>
        <v>17189.443609240585</v>
      </c>
      <c r="M19" s="448">
        <f t="shared" si="12"/>
        <v>31495.85640903252</v>
      </c>
      <c r="N19" s="449">
        <f t="shared" si="12"/>
        <v>80696.399896645977</v>
      </c>
      <c r="O19" s="425">
        <f t="shared" si="12"/>
        <v>104229.21446063032</v>
      </c>
      <c r="P19" s="426">
        <f t="shared" si="12"/>
        <v>87165.299497474247</v>
      </c>
      <c r="Q19" s="426">
        <f t="shared" si="12"/>
        <v>65629.307799110655</v>
      </c>
      <c r="R19" s="426">
        <f t="shared" si="12"/>
        <v>34979.812633764152</v>
      </c>
      <c r="S19" s="426">
        <f t="shared" si="12"/>
        <v>39271.122518702701</v>
      </c>
      <c r="T19" s="426">
        <f t="shared" si="12"/>
        <v>100531.58096815417</v>
      </c>
      <c r="U19" s="426">
        <f t="shared" si="12"/>
        <v>135473.81312515188</v>
      </c>
      <c r="V19" s="426">
        <f t="shared" si="12"/>
        <v>128808.27337260127</v>
      </c>
      <c r="W19" s="426">
        <f t="shared" si="12"/>
        <v>64416.742795595717</v>
      </c>
      <c r="X19" s="426">
        <f t="shared" si="12"/>
        <v>34932.718112246701</v>
      </c>
      <c r="Y19" s="426">
        <f t="shared" si="12"/>
        <v>55820.327660829658</v>
      </c>
      <c r="Z19" s="427">
        <f t="shared" si="12"/>
        <v>100146.26215573866</v>
      </c>
      <c r="AA19" s="447">
        <f t="shared" ref="AA19:BA19" si="13">SUM(AA6:AA17)</f>
        <v>104229.21446063032</v>
      </c>
      <c r="AB19" s="448">
        <f t="shared" si="13"/>
        <v>87165.299497474247</v>
      </c>
      <c r="AC19" s="448">
        <f t="shared" si="13"/>
        <v>65629.307799110655</v>
      </c>
      <c r="AD19" s="448">
        <f t="shared" si="13"/>
        <v>34979.812633764152</v>
      </c>
      <c r="AE19" s="448">
        <f t="shared" si="13"/>
        <v>39271.122518702701</v>
      </c>
      <c r="AF19" s="448">
        <f t="shared" si="13"/>
        <v>100531.58096815417</v>
      </c>
      <c r="AG19" s="448">
        <f t="shared" si="13"/>
        <v>135473.81312515188</v>
      </c>
      <c r="AH19" s="448">
        <f t="shared" si="13"/>
        <v>128808.27337260127</v>
      </c>
      <c r="AI19" s="448">
        <f t="shared" si="13"/>
        <v>64416.742795595717</v>
      </c>
      <c r="AJ19" s="448">
        <f t="shared" si="13"/>
        <v>34932.718112246701</v>
      </c>
      <c r="AK19" s="448">
        <f t="shared" si="13"/>
        <v>55820.327660829658</v>
      </c>
      <c r="AL19" s="448">
        <f t="shared" si="13"/>
        <v>100146.26215573866</v>
      </c>
      <c r="AM19" s="425">
        <f t="shared" ref="AM19:AX19" si="14">SUM(AM6:AM17)</f>
        <v>104229.21446063032</v>
      </c>
      <c r="AN19" s="426">
        <f t="shared" si="14"/>
        <v>87165.299497474247</v>
      </c>
      <c r="AO19" s="426">
        <f t="shared" si="14"/>
        <v>65629.307799110655</v>
      </c>
      <c r="AP19" s="426">
        <f t="shared" si="14"/>
        <v>34979.812633764152</v>
      </c>
      <c r="AQ19" s="426">
        <f t="shared" si="14"/>
        <v>39271.122518702701</v>
      </c>
      <c r="AR19" s="426">
        <f t="shared" si="14"/>
        <v>100531.58096815417</v>
      </c>
      <c r="AS19" s="426">
        <f t="shared" si="14"/>
        <v>135473.81312515188</v>
      </c>
      <c r="AT19" s="426">
        <f t="shared" si="14"/>
        <v>128808.27337260127</v>
      </c>
      <c r="AU19" s="426">
        <f t="shared" si="14"/>
        <v>64416.742795595717</v>
      </c>
      <c r="AV19" s="426">
        <f t="shared" si="14"/>
        <v>34932.718112246701</v>
      </c>
      <c r="AW19" s="426">
        <f t="shared" si="14"/>
        <v>55820.327660829658</v>
      </c>
      <c r="AX19" s="426">
        <f t="shared" si="14"/>
        <v>100146.26215573866</v>
      </c>
      <c r="AY19" s="397">
        <f t="shared" si="13"/>
        <v>302031.07988697488</v>
      </c>
      <c r="AZ19" s="411">
        <f t="shared" si="13"/>
        <v>951404.47510000004</v>
      </c>
      <c r="BA19" s="398">
        <f t="shared" si="13"/>
        <v>951404.47510000004</v>
      </c>
      <c r="BB19" s="535">
        <f t="shared" ref="BB19" si="15">SUM(BB6:BB17)</f>
        <v>951404.47510000004</v>
      </c>
    </row>
    <row r="20" spans="1:54" x14ac:dyDescent="0.25">
      <c r="A20" s="22" t="s">
        <v>38</v>
      </c>
      <c r="B20" s="733">
        <v>0.82499999999999996</v>
      </c>
      <c r="C20" s="366"/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8"/>
      <c r="O20" s="381"/>
      <c r="P20" s="382"/>
      <c r="Q20" s="382"/>
      <c r="R20" s="382"/>
      <c r="S20" s="382"/>
      <c r="T20" s="382"/>
      <c r="U20" s="382"/>
      <c r="V20" s="382"/>
      <c r="W20" s="382"/>
      <c r="X20" s="382"/>
      <c r="Y20" s="382"/>
      <c r="Z20" s="383"/>
      <c r="AA20" s="366"/>
      <c r="AB20" s="367"/>
      <c r="AC20" s="367"/>
      <c r="AD20" s="367"/>
      <c r="AE20" s="367"/>
      <c r="AF20" s="367"/>
      <c r="AG20" s="367"/>
      <c r="AH20" s="367"/>
      <c r="AI20" s="367"/>
      <c r="AJ20" s="367"/>
      <c r="AK20" s="367"/>
      <c r="AL20" s="367"/>
      <c r="AM20" s="381"/>
      <c r="AN20" s="382"/>
      <c r="AO20" s="382"/>
      <c r="AP20" s="382"/>
      <c r="AQ20" s="382"/>
      <c r="AR20" s="382"/>
      <c r="AS20" s="382"/>
      <c r="AT20" s="382"/>
      <c r="AU20" s="382"/>
      <c r="AV20" s="382"/>
      <c r="AW20" s="382"/>
      <c r="AX20" s="382"/>
      <c r="AY20" s="393"/>
      <c r="AZ20" s="400"/>
      <c r="BA20" s="394"/>
      <c r="BB20" s="394"/>
    </row>
    <row r="21" spans="1:54" x14ac:dyDescent="0.25">
      <c r="A21" s="18" t="s">
        <v>36</v>
      </c>
      <c r="B21" s="20"/>
      <c r="C21" s="369">
        <f>$E$38</f>
        <v>7.7550000000000008E-2</v>
      </c>
      <c r="D21" s="360">
        <f>$E$38</f>
        <v>7.7550000000000008E-2</v>
      </c>
      <c r="E21" s="360">
        <f>$E$38</f>
        <v>7.7550000000000008E-2</v>
      </c>
      <c r="F21" s="360">
        <f>$E$38</f>
        <v>7.7550000000000008E-2</v>
      </c>
      <c r="G21" s="360">
        <f>$E$38</f>
        <v>7.7550000000000008E-2</v>
      </c>
      <c r="H21" s="406">
        <f>E38*0.5+J37*0.5</f>
        <v>0.10233500000000001</v>
      </c>
      <c r="I21" s="360">
        <f>$J$37</f>
        <v>0.12712000000000001</v>
      </c>
      <c r="J21" s="360">
        <f>$J$37</f>
        <v>0.12712000000000001</v>
      </c>
      <c r="K21" s="360">
        <f>$J$37</f>
        <v>0.12712000000000001</v>
      </c>
      <c r="L21" s="406">
        <f>J37*0.5+J38*0.5</f>
        <v>0.1139</v>
      </c>
      <c r="M21" s="360">
        <f t="shared" ref="M21:S21" si="16">$P$38</f>
        <v>0.10241358634724779</v>
      </c>
      <c r="N21" s="370">
        <f t="shared" si="16"/>
        <v>0.10241358634724779</v>
      </c>
      <c r="O21" s="384">
        <f t="shared" si="16"/>
        <v>0.10241358634724779</v>
      </c>
      <c r="P21" s="374">
        <f t="shared" si="16"/>
        <v>0.10241358634724779</v>
      </c>
      <c r="Q21" s="374">
        <f t="shared" si="16"/>
        <v>0.10241358634724779</v>
      </c>
      <c r="R21" s="374">
        <f t="shared" si="16"/>
        <v>0.10241358634724779</v>
      </c>
      <c r="S21" s="374">
        <f t="shared" si="16"/>
        <v>0.10241358634724779</v>
      </c>
      <c r="T21" s="374">
        <f>P37*0.5+P38*0.5</f>
        <v>0.11431358634724779</v>
      </c>
      <c r="U21" s="374">
        <f>$P$37</f>
        <v>0.1262135863472478</v>
      </c>
      <c r="V21" s="374">
        <f>$P$37</f>
        <v>0.1262135863472478</v>
      </c>
      <c r="W21" s="374">
        <f>$P$37</f>
        <v>0.1262135863472478</v>
      </c>
      <c r="X21" s="374">
        <f>P37*0.5+P38*0.5</f>
        <v>0.11431358634724779</v>
      </c>
      <c r="Y21" s="374">
        <f>$P$38</f>
        <v>0.10241358634724779</v>
      </c>
      <c r="Z21" s="385">
        <f>$P$38</f>
        <v>0.10241358634724779</v>
      </c>
      <c r="AA21" s="369">
        <f t="shared" ref="AA21:AE21" si="17">$P$38</f>
        <v>0.10241358634724779</v>
      </c>
      <c r="AB21" s="360">
        <f t="shared" si="17"/>
        <v>0.10241358634724779</v>
      </c>
      <c r="AC21" s="360">
        <f t="shared" si="17"/>
        <v>0.10241358634724779</v>
      </c>
      <c r="AD21" s="360">
        <f t="shared" si="17"/>
        <v>0.10241358634724779</v>
      </c>
      <c r="AE21" s="360">
        <f t="shared" si="17"/>
        <v>0.10241358634724779</v>
      </c>
      <c r="AF21" s="360">
        <f>$P$37*0.5+$P$38*0.5</f>
        <v>0.11431358634724779</v>
      </c>
      <c r="AG21" s="360">
        <f>$P$37</f>
        <v>0.1262135863472478</v>
      </c>
      <c r="AH21" s="360">
        <f>$P$37</f>
        <v>0.1262135863472478</v>
      </c>
      <c r="AI21" s="360">
        <f>$P$37</f>
        <v>0.1262135863472478</v>
      </c>
      <c r="AJ21" s="360">
        <f>$P$37*0.5+$P$38*0.5</f>
        <v>0.11431358634724779</v>
      </c>
      <c r="AK21" s="360">
        <f>$P$38</f>
        <v>0.10241358634724779</v>
      </c>
      <c r="AL21" s="360">
        <f>$P$38</f>
        <v>0.10241358634724779</v>
      </c>
      <c r="AM21" s="384">
        <f t="shared" ref="AM21:AQ21" si="18">$P$38</f>
        <v>0.10241358634724779</v>
      </c>
      <c r="AN21" s="374">
        <f t="shared" si="18"/>
        <v>0.10241358634724779</v>
      </c>
      <c r="AO21" s="374">
        <f t="shared" si="18"/>
        <v>0.10241358634724779</v>
      </c>
      <c r="AP21" s="374">
        <f t="shared" si="18"/>
        <v>0.10241358634724779</v>
      </c>
      <c r="AQ21" s="374">
        <f t="shared" si="18"/>
        <v>0.10241358634724779</v>
      </c>
      <c r="AR21" s="374">
        <f>$P$37*0.5+$P$38*0.5</f>
        <v>0.11431358634724779</v>
      </c>
      <c r="AS21" s="374">
        <f>$P$37</f>
        <v>0.1262135863472478</v>
      </c>
      <c r="AT21" s="374">
        <f>$P$37</f>
        <v>0.1262135863472478</v>
      </c>
      <c r="AU21" s="374">
        <f>$P$37</f>
        <v>0.1262135863472478</v>
      </c>
      <c r="AV21" s="374">
        <f>$P$37*0.5+$P$38*0.5</f>
        <v>0.11431358634724779</v>
      </c>
      <c r="AW21" s="374">
        <f>$P$38</f>
        <v>0.10241358634724779</v>
      </c>
      <c r="AX21" s="374">
        <f>$P$38</f>
        <v>0.10241358634724779</v>
      </c>
      <c r="AY21" s="395"/>
      <c r="AZ21" s="401"/>
      <c r="BA21" s="396"/>
      <c r="BB21" s="396"/>
    </row>
    <row r="22" spans="1:54" x14ac:dyDescent="0.25">
      <c r="A22" s="21" t="s">
        <v>37</v>
      </c>
      <c r="B22" s="21"/>
      <c r="C22" s="371">
        <f t="shared" ref="C22:Z22" si="19">C19*$B$20*C21</f>
        <v>227.66644104537801</v>
      </c>
      <c r="D22" s="372">
        <f t="shared" si="19"/>
        <v>380.7879320963354</v>
      </c>
      <c r="E22" s="372">
        <f t="shared" si="19"/>
        <v>373.03181716351662</v>
      </c>
      <c r="F22" s="372">
        <f t="shared" si="19"/>
        <v>276.96382876418539</v>
      </c>
      <c r="G22" s="372">
        <f t="shared" si="19"/>
        <v>434.7780239416411</v>
      </c>
      <c r="H22" s="372">
        <f t="shared" si="19"/>
        <v>1931.7353206303644</v>
      </c>
      <c r="I22" s="372">
        <f t="shared" si="19"/>
        <v>4541.8400932402856</v>
      </c>
      <c r="J22" s="372">
        <f t="shared" si="19"/>
        <v>5423.4733660361417</v>
      </c>
      <c r="K22" s="372">
        <f t="shared" si="19"/>
        <v>2965.9858558876203</v>
      </c>
      <c r="L22" s="372">
        <f t="shared" si="19"/>
        <v>1615.2490423513145</v>
      </c>
      <c r="M22" s="372">
        <f t="shared" si="19"/>
        <v>2661.12297818975</v>
      </c>
      <c r="N22" s="373">
        <f t="shared" si="19"/>
        <v>6818.1363679499309</v>
      </c>
      <c r="O22" s="386">
        <f t="shared" si="19"/>
        <v>8806.4523154323961</v>
      </c>
      <c r="P22" s="387">
        <f t="shared" si="19"/>
        <v>7364.7015144188417</v>
      </c>
      <c r="Q22" s="387">
        <f t="shared" si="19"/>
        <v>5545.0995444853152</v>
      </c>
      <c r="R22" s="387">
        <f t="shared" si="19"/>
        <v>2955.4866508023065</v>
      </c>
      <c r="S22" s="387">
        <f t="shared" si="19"/>
        <v>3318.0646100435674</v>
      </c>
      <c r="T22" s="387">
        <f t="shared" si="19"/>
        <v>9481.0035883434502</v>
      </c>
      <c r="U22" s="387">
        <f t="shared" si="19"/>
        <v>14106.374543796372</v>
      </c>
      <c r="V22" s="387">
        <f t="shared" si="19"/>
        <v>13412.317160180985</v>
      </c>
      <c r="W22" s="387">
        <f t="shared" si="19"/>
        <v>6707.4712064583073</v>
      </c>
      <c r="X22" s="387">
        <f t="shared" si="19"/>
        <v>3294.4595378214135</v>
      </c>
      <c r="Y22" s="387">
        <f t="shared" si="19"/>
        <v>4716.3269561298348</v>
      </c>
      <c r="Z22" s="388">
        <f t="shared" si="19"/>
        <v>8461.4787399787056</v>
      </c>
      <c r="AA22" s="371">
        <f t="shared" ref="AA22:AL22" si="20">AA19*$B$20*AA21</f>
        <v>8806.4523154323961</v>
      </c>
      <c r="AB22" s="372">
        <f t="shared" si="20"/>
        <v>7364.7015144188417</v>
      </c>
      <c r="AC22" s="372">
        <f t="shared" si="20"/>
        <v>5545.0995444853152</v>
      </c>
      <c r="AD22" s="372">
        <f t="shared" si="20"/>
        <v>2955.4866508023065</v>
      </c>
      <c r="AE22" s="372">
        <f t="shared" si="20"/>
        <v>3318.0646100435674</v>
      </c>
      <c r="AF22" s="372">
        <f t="shared" si="20"/>
        <v>9481.0035883434502</v>
      </c>
      <c r="AG22" s="372">
        <f t="shared" si="20"/>
        <v>14106.374543796372</v>
      </c>
      <c r="AH22" s="372">
        <f t="shared" si="20"/>
        <v>13412.317160180985</v>
      </c>
      <c r="AI22" s="372">
        <f t="shared" si="20"/>
        <v>6707.4712064583073</v>
      </c>
      <c r="AJ22" s="372">
        <f t="shared" si="20"/>
        <v>3294.4595378214135</v>
      </c>
      <c r="AK22" s="372">
        <f t="shared" si="20"/>
        <v>4716.3269561298348</v>
      </c>
      <c r="AL22" s="372">
        <f t="shared" si="20"/>
        <v>8461.4787399787056</v>
      </c>
      <c r="AM22" s="386">
        <f t="shared" ref="AM22:AX22" si="21">AM19*$B$20*AM21</f>
        <v>8806.4523154323961</v>
      </c>
      <c r="AN22" s="387">
        <f t="shared" si="21"/>
        <v>7364.7015144188417</v>
      </c>
      <c r="AO22" s="387">
        <f t="shared" si="21"/>
        <v>5545.0995444853152</v>
      </c>
      <c r="AP22" s="387">
        <f t="shared" si="21"/>
        <v>2955.4866508023065</v>
      </c>
      <c r="AQ22" s="387">
        <f t="shared" si="21"/>
        <v>3318.0646100435674</v>
      </c>
      <c r="AR22" s="387">
        <f t="shared" si="21"/>
        <v>9481.0035883434502</v>
      </c>
      <c r="AS22" s="387">
        <f t="shared" si="21"/>
        <v>14106.374543796372</v>
      </c>
      <c r="AT22" s="387">
        <f t="shared" si="21"/>
        <v>13412.317160180985</v>
      </c>
      <c r="AU22" s="387">
        <f t="shared" si="21"/>
        <v>6707.4712064583073</v>
      </c>
      <c r="AV22" s="387">
        <f t="shared" si="21"/>
        <v>3294.4595378214135</v>
      </c>
      <c r="AW22" s="387">
        <f t="shared" si="21"/>
        <v>4716.3269561298348</v>
      </c>
      <c r="AX22" s="387">
        <f t="shared" si="21"/>
        <v>8461.4787399787056</v>
      </c>
      <c r="AY22" s="397">
        <f t="shared" ref="AY22" si="22">SUM(C22:N22)</f>
        <v>27650.771067296464</v>
      </c>
      <c r="AZ22" s="411">
        <f t="shared" ref="AZ22" si="23">SUM(O22:Z22)</f>
        <v>88169.236367891499</v>
      </c>
      <c r="BA22" s="398">
        <f t="shared" ref="BA22" si="24">SUM(AA22:AL22)</f>
        <v>88169.236367891499</v>
      </c>
      <c r="BB22" s="398">
        <f>SUM(AM22:AX22)</f>
        <v>88169.236367891499</v>
      </c>
    </row>
    <row r="23" spans="1:54" x14ac:dyDescent="0.25"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AA23" s="89"/>
      <c r="AM23" s="89"/>
    </row>
    <row r="25" spans="1:54" x14ac:dyDescent="0.25">
      <c r="A25" s="355" t="s">
        <v>39</v>
      </c>
      <c r="B25" s="276"/>
      <c r="C25" s="277"/>
      <c r="I25" s="23"/>
    </row>
    <row r="26" spans="1:54" x14ac:dyDescent="0.25">
      <c r="A26" s="356" t="s">
        <v>298</v>
      </c>
      <c r="B26" s="262"/>
      <c r="C26" s="263">
        <v>0</v>
      </c>
      <c r="I26" s="23"/>
    </row>
    <row r="27" spans="1:54" x14ac:dyDescent="0.25">
      <c r="A27" s="357" t="s">
        <v>299</v>
      </c>
      <c r="B27" s="261"/>
      <c r="C27" s="256">
        <v>0.5</v>
      </c>
      <c r="I27" s="23"/>
    </row>
    <row r="28" spans="1:54" x14ac:dyDescent="0.25">
      <c r="A28" s="358" t="s">
        <v>300</v>
      </c>
      <c r="B28" s="257"/>
      <c r="C28" s="258">
        <v>0.5</v>
      </c>
    </row>
    <row r="29" spans="1:54" x14ac:dyDescent="0.25">
      <c r="A29" s="88"/>
      <c r="C29" s="27"/>
    </row>
    <row r="30" spans="1:54" x14ac:dyDescent="0.25">
      <c r="A30" s="88" t="s">
        <v>33</v>
      </c>
      <c r="C30" s="72">
        <f t="array" ref="C30:N32">TRANSPOSE('8. Load Shapes'!B4:D15)</f>
        <v>0.10118199999999999</v>
      </c>
      <c r="D30" s="73">
        <v>8.8441000000000006E-2</v>
      </c>
      <c r="E30" s="73">
        <v>9.2879000000000003E-2</v>
      </c>
      <c r="F30" s="73">
        <v>8.4644999999999998E-2</v>
      </c>
      <c r="G30" s="73">
        <v>7.9393000000000005E-2</v>
      </c>
      <c r="H30" s="73">
        <v>6.8507999999999999E-2</v>
      </c>
      <c r="I30" s="74">
        <v>6.7863999999999994E-2</v>
      </c>
      <c r="J30" s="74">
        <v>7.0565000000000003E-2</v>
      </c>
      <c r="K30" s="74">
        <v>7.3791999999999996E-2</v>
      </c>
      <c r="L30" s="74">
        <v>8.4539000000000003E-2</v>
      </c>
      <c r="M30" s="74">
        <v>8.9880000000000002E-2</v>
      </c>
      <c r="N30" s="74">
        <v>9.8311999999999997E-2</v>
      </c>
      <c r="O30" s="72">
        <f>C30</f>
        <v>0.10118199999999999</v>
      </c>
      <c r="P30" s="73">
        <f t="shared" ref="P30:Z30" si="25">D30</f>
        <v>8.8441000000000006E-2</v>
      </c>
      <c r="Q30" s="73">
        <f t="shared" si="25"/>
        <v>9.2879000000000003E-2</v>
      </c>
      <c r="R30" s="73">
        <f t="shared" si="25"/>
        <v>8.4644999999999998E-2</v>
      </c>
      <c r="S30" s="73">
        <f t="shared" si="25"/>
        <v>7.9393000000000005E-2</v>
      </c>
      <c r="T30" s="73">
        <f t="shared" si="25"/>
        <v>6.8507999999999999E-2</v>
      </c>
      <c r="U30" s="73">
        <f t="shared" si="25"/>
        <v>6.7863999999999994E-2</v>
      </c>
      <c r="V30" s="73">
        <f t="shared" si="25"/>
        <v>7.0565000000000003E-2</v>
      </c>
      <c r="W30" s="73">
        <f t="shared" si="25"/>
        <v>7.3791999999999996E-2</v>
      </c>
      <c r="X30" s="73">
        <f t="shared" si="25"/>
        <v>8.4539000000000003E-2</v>
      </c>
      <c r="Y30" s="73">
        <f t="shared" si="25"/>
        <v>8.9880000000000002E-2</v>
      </c>
      <c r="Z30" s="191">
        <f t="shared" si="25"/>
        <v>9.8311999999999997E-2</v>
      </c>
      <c r="AA30" s="72">
        <f>O30</f>
        <v>0.10118199999999999</v>
      </c>
      <c r="AB30" s="73">
        <f t="shared" ref="AB30:AB32" si="26">P30</f>
        <v>8.8441000000000006E-2</v>
      </c>
      <c r="AC30" s="73">
        <f t="shared" ref="AC30:AC32" si="27">Q30</f>
        <v>9.2879000000000003E-2</v>
      </c>
      <c r="AD30" s="73">
        <f t="shared" ref="AD30:AD32" si="28">R30</f>
        <v>8.4644999999999998E-2</v>
      </c>
      <c r="AE30" s="73">
        <f t="shared" ref="AE30:AE32" si="29">S30</f>
        <v>7.9393000000000005E-2</v>
      </c>
      <c r="AF30" s="73">
        <f t="shared" ref="AF30:AF32" si="30">T30</f>
        <v>6.8507999999999999E-2</v>
      </c>
      <c r="AG30" s="73">
        <f t="shared" ref="AG30:AG32" si="31">U30</f>
        <v>6.7863999999999994E-2</v>
      </c>
      <c r="AH30" s="73">
        <f t="shared" ref="AH30:AH32" si="32">V30</f>
        <v>7.0565000000000003E-2</v>
      </c>
      <c r="AI30" s="73">
        <f t="shared" ref="AI30:AI32" si="33">W30</f>
        <v>7.3791999999999996E-2</v>
      </c>
      <c r="AJ30" s="73">
        <f t="shared" ref="AJ30:AJ32" si="34">X30</f>
        <v>8.4539000000000003E-2</v>
      </c>
      <c r="AK30" s="73">
        <f t="shared" ref="AK30:AK32" si="35">Y30</f>
        <v>8.9880000000000002E-2</v>
      </c>
      <c r="AL30" s="191">
        <f t="shared" ref="AL30:AL32" si="36">Z30</f>
        <v>9.8311999999999997E-2</v>
      </c>
      <c r="AM30" s="72">
        <f>AA30</f>
        <v>0.10118199999999999</v>
      </c>
      <c r="AN30" s="73">
        <f t="shared" ref="AN30:AN32" si="37">AB30</f>
        <v>8.8441000000000006E-2</v>
      </c>
      <c r="AO30" s="73">
        <f t="shared" ref="AO30:AO32" si="38">AC30</f>
        <v>9.2879000000000003E-2</v>
      </c>
      <c r="AP30" s="73">
        <f t="shared" ref="AP30:AP32" si="39">AD30</f>
        <v>8.4644999999999998E-2</v>
      </c>
      <c r="AQ30" s="73">
        <f t="shared" ref="AQ30:AQ32" si="40">AE30</f>
        <v>7.9393000000000005E-2</v>
      </c>
      <c r="AR30" s="73">
        <f t="shared" ref="AR30:AR32" si="41">AF30</f>
        <v>6.8507999999999999E-2</v>
      </c>
      <c r="AS30" s="73">
        <f t="shared" ref="AS30:AS32" si="42">AG30</f>
        <v>6.7863999999999994E-2</v>
      </c>
      <c r="AT30" s="73">
        <f t="shared" ref="AT30:AT32" si="43">AH30</f>
        <v>7.0565000000000003E-2</v>
      </c>
      <c r="AU30" s="73">
        <f t="shared" ref="AU30:AU32" si="44">AI30</f>
        <v>7.3791999999999996E-2</v>
      </c>
      <c r="AV30" s="73">
        <f t="shared" ref="AV30:AV32" si="45">AJ30</f>
        <v>8.4539000000000003E-2</v>
      </c>
      <c r="AW30" s="73">
        <f t="shared" ref="AW30:AW32" si="46">AK30</f>
        <v>8.9880000000000002E-2</v>
      </c>
      <c r="AX30" s="191">
        <f t="shared" ref="AX30:AX32" si="47">AL30</f>
        <v>9.8311999999999997E-2</v>
      </c>
      <c r="AY30" s="412"/>
      <c r="AZ30" s="412"/>
      <c r="BA30" s="412"/>
      <c r="BB30" s="412"/>
    </row>
    <row r="31" spans="1:54" x14ac:dyDescent="0.25">
      <c r="A31" s="88" t="s">
        <v>40</v>
      </c>
      <c r="C31" s="76">
        <v>0.21790599999999999</v>
      </c>
      <c r="D31" s="77">
        <v>0.18213499999999999</v>
      </c>
      <c r="E31" s="77">
        <v>0.13483300000000001</v>
      </c>
      <c r="F31" s="77">
        <v>5.8486000000000003E-2</v>
      </c>
      <c r="G31" s="77">
        <v>1.7144E-2</v>
      </c>
      <c r="H31" s="77">
        <v>5.1000000000000004E-4</v>
      </c>
      <c r="I31" s="78">
        <v>6.0000000000000002E-6</v>
      </c>
      <c r="J31" s="78">
        <v>9.0000000000000002E-6</v>
      </c>
      <c r="K31" s="78">
        <v>8.8090000000000009E-3</v>
      </c>
      <c r="L31" s="78">
        <v>5.4961999999999997E-2</v>
      </c>
      <c r="M31" s="78">
        <v>0.115899</v>
      </c>
      <c r="N31" s="78">
        <v>0.20930099999999999</v>
      </c>
      <c r="O31" s="76">
        <f t="shared" ref="O31:O32" si="48">C31</f>
        <v>0.21790599999999999</v>
      </c>
      <c r="P31" s="77">
        <f t="shared" ref="P31:P32" si="49">D31</f>
        <v>0.18213499999999999</v>
      </c>
      <c r="Q31" s="77">
        <f t="shared" ref="Q31:Q32" si="50">E31</f>
        <v>0.13483300000000001</v>
      </c>
      <c r="R31" s="77">
        <f t="shared" ref="R31:R32" si="51">F31</f>
        <v>5.8486000000000003E-2</v>
      </c>
      <c r="S31" s="77">
        <f t="shared" ref="S31:S32" si="52">G31</f>
        <v>1.7144E-2</v>
      </c>
      <c r="T31" s="77">
        <f t="shared" ref="T31:T32" si="53">H31</f>
        <v>5.1000000000000004E-4</v>
      </c>
      <c r="U31" s="77">
        <f t="shared" ref="U31:U32" si="54">I31</f>
        <v>6.0000000000000002E-6</v>
      </c>
      <c r="V31" s="77">
        <f t="shared" ref="V31:V32" si="55">J31</f>
        <v>9.0000000000000002E-6</v>
      </c>
      <c r="W31" s="77">
        <f t="shared" ref="W31:W32" si="56">K31</f>
        <v>8.8090000000000009E-3</v>
      </c>
      <c r="X31" s="77">
        <f t="shared" ref="X31:X32" si="57">L31</f>
        <v>5.4961999999999997E-2</v>
      </c>
      <c r="Y31" s="77">
        <f t="shared" ref="Y31:Y32" si="58">M31</f>
        <v>0.115899</v>
      </c>
      <c r="Z31" s="192">
        <f t="shared" ref="Z31:Z32" si="59">N31</f>
        <v>0.20930099999999999</v>
      </c>
      <c r="AA31" s="76">
        <f t="shared" ref="AA31:AA32" si="60">O31</f>
        <v>0.21790599999999999</v>
      </c>
      <c r="AB31" s="77">
        <f t="shared" si="26"/>
        <v>0.18213499999999999</v>
      </c>
      <c r="AC31" s="77">
        <f t="shared" si="27"/>
        <v>0.13483300000000001</v>
      </c>
      <c r="AD31" s="77">
        <f t="shared" si="28"/>
        <v>5.8486000000000003E-2</v>
      </c>
      <c r="AE31" s="77">
        <f t="shared" si="29"/>
        <v>1.7144E-2</v>
      </c>
      <c r="AF31" s="77">
        <f t="shared" si="30"/>
        <v>5.1000000000000004E-4</v>
      </c>
      <c r="AG31" s="77">
        <f t="shared" si="31"/>
        <v>6.0000000000000002E-6</v>
      </c>
      <c r="AH31" s="77">
        <f t="shared" si="32"/>
        <v>9.0000000000000002E-6</v>
      </c>
      <c r="AI31" s="77">
        <f t="shared" si="33"/>
        <v>8.8090000000000009E-3</v>
      </c>
      <c r="AJ31" s="77">
        <f t="shared" si="34"/>
        <v>5.4961999999999997E-2</v>
      </c>
      <c r="AK31" s="77">
        <f t="shared" si="35"/>
        <v>0.115899</v>
      </c>
      <c r="AL31" s="192">
        <f t="shared" si="36"/>
        <v>0.20930099999999999</v>
      </c>
      <c r="AM31" s="76">
        <f t="shared" ref="AM31:AM32" si="61">AA31</f>
        <v>0.21790599999999999</v>
      </c>
      <c r="AN31" s="77">
        <f t="shared" si="37"/>
        <v>0.18213499999999999</v>
      </c>
      <c r="AO31" s="77">
        <f t="shared" si="38"/>
        <v>0.13483300000000001</v>
      </c>
      <c r="AP31" s="77">
        <f t="shared" si="39"/>
        <v>5.8486000000000003E-2</v>
      </c>
      <c r="AQ31" s="77">
        <f t="shared" si="40"/>
        <v>1.7144E-2</v>
      </c>
      <c r="AR31" s="77">
        <f t="shared" si="41"/>
        <v>5.1000000000000004E-4</v>
      </c>
      <c r="AS31" s="77">
        <f t="shared" si="42"/>
        <v>6.0000000000000002E-6</v>
      </c>
      <c r="AT31" s="77">
        <f t="shared" si="43"/>
        <v>9.0000000000000002E-6</v>
      </c>
      <c r="AU31" s="77">
        <f t="shared" si="44"/>
        <v>8.8090000000000009E-3</v>
      </c>
      <c r="AV31" s="77">
        <f t="shared" si="45"/>
        <v>5.4961999999999997E-2</v>
      </c>
      <c r="AW31" s="77">
        <f t="shared" si="46"/>
        <v>0.115899</v>
      </c>
      <c r="AX31" s="192">
        <f t="shared" si="47"/>
        <v>0.20930099999999999</v>
      </c>
      <c r="AY31" s="412"/>
      <c r="AZ31" s="412"/>
      <c r="BA31" s="412"/>
      <c r="BB31" s="412"/>
    </row>
    <row r="32" spans="1:54" x14ac:dyDescent="0.25">
      <c r="A32" s="88" t="s">
        <v>41</v>
      </c>
      <c r="C32" s="80">
        <v>1.1999999999999999E-3</v>
      </c>
      <c r="D32" s="81">
        <v>1.1000000000000001E-3</v>
      </c>
      <c r="E32" s="81">
        <v>3.13E-3</v>
      </c>
      <c r="F32" s="81">
        <v>1.5047E-2</v>
      </c>
      <c r="G32" s="81">
        <v>6.5409999999999996E-2</v>
      </c>
      <c r="H32" s="81">
        <v>0.21082300000000001</v>
      </c>
      <c r="I32" s="82">
        <v>0.28478100000000001</v>
      </c>
      <c r="J32" s="82">
        <v>0.27076600000000001</v>
      </c>
      <c r="K32" s="82">
        <v>0.126605</v>
      </c>
      <c r="L32" s="82">
        <v>1.8471999999999999E-2</v>
      </c>
      <c r="M32" s="82">
        <v>1.444E-3</v>
      </c>
      <c r="N32" s="82">
        <v>1.222E-3</v>
      </c>
      <c r="O32" s="80">
        <f t="shared" si="48"/>
        <v>1.1999999999999999E-3</v>
      </c>
      <c r="P32" s="81">
        <f t="shared" si="49"/>
        <v>1.1000000000000001E-3</v>
      </c>
      <c r="Q32" s="81">
        <f t="shared" si="50"/>
        <v>3.13E-3</v>
      </c>
      <c r="R32" s="81">
        <f t="shared" si="51"/>
        <v>1.5047E-2</v>
      </c>
      <c r="S32" s="81">
        <f t="shared" si="52"/>
        <v>6.5409999999999996E-2</v>
      </c>
      <c r="T32" s="81">
        <f t="shared" si="53"/>
        <v>0.21082300000000001</v>
      </c>
      <c r="U32" s="81">
        <f t="shared" si="54"/>
        <v>0.28478100000000001</v>
      </c>
      <c r="V32" s="81">
        <f t="shared" si="55"/>
        <v>0.27076600000000001</v>
      </c>
      <c r="W32" s="81">
        <f t="shared" si="56"/>
        <v>0.126605</v>
      </c>
      <c r="X32" s="81">
        <f t="shared" si="57"/>
        <v>1.8471999999999999E-2</v>
      </c>
      <c r="Y32" s="81">
        <f t="shared" si="58"/>
        <v>1.444E-3</v>
      </c>
      <c r="Z32" s="193">
        <f t="shared" si="59"/>
        <v>1.222E-3</v>
      </c>
      <c r="AA32" s="80">
        <f t="shared" si="60"/>
        <v>1.1999999999999999E-3</v>
      </c>
      <c r="AB32" s="81">
        <f t="shared" si="26"/>
        <v>1.1000000000000001E-3</v>
      </c>
      <c r="AC32" s="81">
        <f t="shared" si="27"/>
        <v>3.13E-3</v>
      </c>
      <c r="AD32" s="81">
        <f t="shared" si="28"/>
        <v>1.5047E-2</v>
      </c>
      <c r="AE32" s="81">
        <f t="shared" si="29"/>
        <v>6.5409999999999996E-2</v>
      </c>
      <c r="AF32" s="81">
        <f t="shared" si="30"/>
        <v>0.21082300000000001</v>
      </c>
      <c r="AG32" s="81">
        <f t="shared" si="31"/>
        <v>0.28478100000000001</v>
      </c>
      <c r="AH32" s="81">
        <f t="shared" si="32"/>
        <v>0.27076600000000001</v>
      </c>
      <c r="AI32" s="81">
        <f t="shared" si="33"/>
        <v>0.126605</v>
      </c>
      <c r="AJ32" s="81">
        <f t="shared" si="34"/>
        <v>1.8471999999999999E-2</v>
      </c>
      <c r="AK32" s="81">
        <f t="shared" si="35"/>
        <v>1.444E-3</v>
      </c>
      <c r="AL32" s="193">
        <f t="shared" si="36"/>
        <v>1.222E-3</v>
      </c>
      <c r="AM32" s="80">
        <f t="shared" si="61"/>
        <v>1.1999999999999999E-3</v>
      </c>
      <c r="AN32" s="81">
        <f t="shared" si="37"/>
        <v>1.1000000000000001E-3</v>
      </c>
      <c r="AO32" s="81">
        <f t="shared" si="38"/>
        <v>3.13E-3</v>
      </c>
      <c r="AP32" s="81">
        <f t="shared" si="39"/>
        <v>1.5047E-2</v>
      </c>
      <c r="AQ32" s="81">
        <f t="shared" si="40"/>
        <v>6.5409999999999996E-2</v>
      </c>
      <c r="AR32" s="81">
        <f t="shared" si="41"/>
        <v>0.21082300000000001</v>
      </c>
      <c r="AS32" s="81">
        <f t="shared" si="42"/>
        <v>0.28478100000000001</v>
      </c>
      <c r="AT32" s="81">
        <f t="shared" si="43"/>
        <v>0.27076600000000001</v>
      </c>
      <c r="AU32" s="81">
        <f t="shared" si="44"/>
        <v>0.126605</v>
      </c>
      <c r="AV32" s="81">
        <f t="shared" si="45"/>
        <v>1.8471999999999999E-2</v>
      </c>
      <c r="AW32" s="81">
        <f t="shared" si="46"/>
        <v>1.444E-3</v>
      </c>
      <c r="AX32" s="193">
        <f t="shared" si="47"/>
        <v>1.222E-3</v>
      </c>
      <c r="AY32" s="412"/>
      <c r="AZ32" s="412"/>
      <c r="BA32" s="412"/>
      <c r="BB32" s="412"/>
    </row>
    <row r="33" spans="1:17" x14ac:dyDescent="0.25">
      <c r="A33" s="88"/>
    </row>
    <row r="34" spans="1:17" x14ac:dyDescent="0.25">
      <c r="A34" s="88"/>
      <c r="C34" s="24"/>
      <c r="D34" s="24"/>
      <c r="E34" s="24"/>
      <c r="F34" s="24"/>
      <c r="G34" s="24"/>
      <c r="H34" s="24"/>
      <c r="O34" s="25"/>
    </row>
    <row r="35" spans="1:17" x14ac:dyDescent="0.25">
      <c r="A35" s="355" t="s">
        <v>150</v>
      </c>
      <c r="B35" s="761" t="s">
        <v>148</v>
      </c>
      <c r="C35" s="761"/>
      <c r="D35" s="761"/>
      <c r="E35" s="762"/>
      <c r="G35" s="763" t="s">
        <v>149</v>
      </c>
      <c r="H35" s="761"/>
      <c r="I35" s="761"/>
      <c r="J35" s="762"/>
      <c r="L35" s="763" t="s">
        <v>248</v>
      </c>
      <c r="M35" s="761"/>
      <c r="N35" s="761"/>
      <c r="O35" s="761"/>
      <c r="P35" s="761"/>
      <c r="Q35" s="762"/>
    </row>
    <row r="36" spans="1:17" x14ac:dyDescent="0.25">
      <c r="A36" s="87"/>
      <c r="B36" s="248" t="s">
        <v>147</v>
      </c>
      <c r="C36" s="248" t="s">
        <v>42</v>
      </c>
      <c r="D36" s="248" t="s">
        <v>43</v>
      </c>
      <c r="E36" s="158" t="s">
        <v>44</v>
      </c>
      <c r="G36" s="278" t="s">
        <v>147</v>
      </c>
      <c r="H36" s="248" t="s">
        <v>42</v>
      </c>
      <c r="I36" s="248" t="s">
        <v>43</v>
      </c>
      <c r="J36" s="158" t="s">
        <v>44</v>
      </c>
      <c r="L36" s="278" t="s">
        <v>147</v>
      </c>
      <c r="M36" s="248" t="s">
        <v>42</v>
      </c>
      <c r="N36" s="248" t="s">
        <v>43</v>
      </c>
      <c r="O36" s="248" t="s">
        <v>132</v>
      </c>
      <c r="P36" s="157" t="s">
        <v>44</v>
      </c>
      <c r="Q36" s="158"/>
    </row>
    <row r="37" spans="1:17" x14ac:dyDescent="0.25">
      <c r="A37" s="359" t="s">
        <v>45</v>
      </c>
      <c r="B37" s="265">
        <v>0.12534999999999999</v>
      </c>
      <c r="C37" s="254">
        <v>0.12534999999999999</v>
      </c>
      <c r="D37" s="255">
        <v>2.3380000000000001E-2</v>
      </c>
      <c r="E37" s="28">
        <f>SUMPRODUCT(B37:C37,B40:C40)-D37</f>
        <v>0.10196999999999999</v>
      </c>
      <c r="G37" s="265">
        <v>0.13582</v>
      </c>
      <c r="H37" s="254">
        <v>0.13582</v>
      </c>
      <c r="I37" s="255">
        <v>8.6999999999999994E-3</v>
      </c>
      <c r="J37" s="28">
        <f>SUMPRODUCT(G37:H37,G40:H40)-I37</f>
        <v>0.12712000000000001</v>
      </c>
      <c r="L37" s="265">
        <v>0.14030999999999999</v>
      </c>
      <c r="M37" s="254">
        <v>0.14030999999999999</v>
      </c>
      <c r="N37" s="254">
        <f>I37</f>
        <v>8.6999999999999994E-3</v>
      </c>
      <c r="O37" s="255">
        <v>0.02</v>
      </c>
      <c r="P37" s="28">
        <f>SUMPRODUCT(L37:M37,L40:M40)-N37-O37*$O$40</f>
        <v>0.1262135863472478</v>
      </c>
      <c r="Q37" s="60"/>
    </row>
    <row r="38" spans="1:17" x14ac:dyDescent="0.25">
      <c r="A38" s="359" t="s">
        <v>46</v>
      </c>
      <c r="B38" s="266">
        <f>+B37</f>
        <v>0.12534999999999999</v>
      </c>
      <c r="C38" s="267">
        <v>0.10093000000000001</v>
      </c>
      <c r="D38" s="275">
        <f>+D37</f>
        <v>2.3380000000000001E-2</v>
      </c>
      <c r="E38" s="28">
        <f>SUMPRODUCT(B38:C38,B40:C40)-D38</f>
        <v>7.7550000000000008E-2</v>
      </c>
      <c r="G38" s="266">
        <v>0.13582</v>
      </c>
      <c r="H38" s="267">
        <v>0.10938000000000001</v>
      </c>
      <c r="I38" s="275">
        <f>+I37</f>
        <v>8.6999999999999994E-3</v>
      </c>
      <c r="J38" s="28">
        <f>SUMPRODUCT(G38:H38,G40:H40)-I38</f>
        <v>0.10068000000000001</v>
      </c>
      <c r="L38" s="266">
        <v>0.14030999999999999</v>
      </c>
      <c r="M38" s="267">
        <v>0.11651</v>
      </c>
      <c r="N38" s="274">
        <f>I38</f>
        <v>8.6999999999999994E-3</v>
      </c>
      <c r="O38" s="275">
        <f>+O37</f>
        <v>0.02</v>
      </c>
      <c r="P38" s="28">
        <f>SUMPRODUCT(L38:M38,L40:M40)-N38-O38*$O$40</f>
        <v>0.10241358634724779</v>
      </c>
      <c r="Q38" s="60"/>
    </row>
    <row r="39" spans="1:17" x14ac:dyDescent="0.25">
      <c r="A39" s="88"/>
      <c r="B39" s="17"/>
    </row>
    <row r="40" spans="1:17" x14ac:dyDescent="0.25">
      <c r="A40" s="88"/>
      <c r="B40" s="279">
        <f t="array" ref="B40:C40">TRANSPOSE('Step Adjustments'!C12:C13)</f>
        <v>0</v>
      </c>
      <c r="C40" s="280">
        <v>1</v>
      </c>
      <c r="G40" s="279">
        <f>B40</f>
        <v>0</v>
      </c>
      <c r="H40" s="280">
        <f>C40</f>
        <v>1</v>
      </c>
      <c r="L40" s="279">
        <f>B40</f>
        <v>0</v>
      </c>
      <c r="M40" s="280">
        <f>C40</f>
        <v>1</v>
      </c>
      <c r="O40" s="253">
        <f>'2. TD Res Lighting install 2022'!O40</f>
        <v>0.26982068263761072</v>
      </c>
    </row>
    <row r="41" spans="1:17" x14ac:dyDescent="0.25">
      <c r="A41" s="88"/>
    </row>
    <row r="42" spans="1:17" x14ac:dyDescent="0.25">
      <c r="A42" s="88"/>
    </row>
    <row r="43" spans="1:17" x14ac:dyDescent="0.25">
      <c r="A43" s="88"/>
    </row>
    <row r="44" spans="1:17" x14ac:dyDescent="0.25">
      <c r="A44" s="88"/>
    </row>
    <row r="45" spans="1:17" x14ac:dyDescent="0.25">
      <c r="A45" s="88"/>
    </row>
    <row r="46" spans="1:17" x14ac:dyDescent="0.25">
      <c r="A46" s="88"/>
    </row>
    <row r="47" spans="1:17" x14ac:dyDescent="0.25">
      <c r="A47" s="88"/>
    </row>
    <row r="48" spans="1:17" x14ac:dyDescent="0.25">
      <c r="A48" s="88"/>
    </row>
    <row r="49" spans="1:1" x14ac:dyDescent="0.25">
      <c r="A49" s="88"/>
    </row>
    <row r="50" spans="1:1" x14ac:dyDescent="0.25">
      <c r="A50" s="88"/>
    </row>
    <row r="51" spans="1:1" x14ac:dyDescent="0.25">
      <c r="A51" s="88"/>
    </row>
    <row r="52" spans="1:1" x14ac:dyDescent="0.25">
      <c r="A52" s="88"/>
    </row>
    <row r="53" spans="1:1" x14ac:dyDescent="0.25">
      <c r="A53" s="88"/>
    </row>
    <row r="54" spans="1:1" x14ac:dyDescent="0.25">
      <c r="A54" s="88"/>
    </row>
    <row r="55" spans="1:1" x14ac:dyDescent="0.25">
      <c r="A55" s="88"/>
    </row>
    <row r="56" spans="1:1" x14ac:dyDescent="0.25">
      <c r="A56" s="88"/>
    </row>
    <row r="57" spans="1:1" x14ac:dyDescent="0.25">
      <c r="A57" s="88"/>
    </row>
    <row r="58" spans="1:1" x14ac:dyDescent="0.25">
      <c r="A58" s="88"/>
    </row>
    <row r="59" spans="1:1" x14ac:dyDescent="0.25">
      <c r="A59" s="88"/>
    </row>
    <row r="60" spans="1:1" x14ac:dyDescent="0.25">
      <c r="A60" s="88"/>
    </row>
    <row r="61" spans="1:1" x14ac:dyDescent="0.25">
      <c r="A61" s="88"/>
    </row>
    <row r="62" spans="1:1" x14ac:dyDescent="0.25">
      <c r="A62" s="88"/>
    </row>
    <row r="63" spans="1:1" x14ac:dyDescent="0.25">
      <c r="A63" s="88"/>
    </row>
    <row r="64" spans="1:1" x14ac:dyDescent="0.25">
      <c r="A64" s="88"/>
    </row>
    <row r="65" spans="1:1" x14ac:dyDescent="0.25">
      <c r="A65" s="88"/>
    </row>
    <row r="66" spans="1:1" x14ac:dyDescent="0.25">
      <c r="A66" s="88"/>
    </row>
    <row r="67" spans="1:1" x14ac:dyDescent="0.25">
      <c r="A67" s="88"/>
    </row>
    <row r="68" spans="1:1" x14ac:dyDescent="0.25">
      <c r="A68" s="88"/>
    </row>
    <row r="69" spans="1:1" x14ac:dyDescent="0.25">
      <c r="A69" s="88"/>
    </row>
    <row r="70" spans="1:1" x14ac:dyDescent="0.25">
      <c r="A70" s="88"/>
    </row>
    <row r="71" spans="1:1" x14ac:dyDescent="0.25">
      <c r="A71" s="88"/>
    </row>
    <row r="72" spans="1:1" x14ac:dyDescent="0.25">
      <c r="A72" s="88"/>
    </row>
    <row r="73" spans="1:1" x14ac:dyDescent="0.25">
      <c r="A73" s="88"/>
    </row>
    <row r="74" spans="1:1" x14ac:dyDescent="0.25">
      <c r="A74" s="88"/>
    </row>
    <row r="75" spans="1:1" x14ac:dyDescent="0.25">
      <c r="A75" s="88"/>
    </row>
    <row r="76" spans="1:1" x14ac:dyDescent="0.25">
      <c r="A76" s="88"/>
    </row>
    <row r="77" spans="1:1" x14ac:dyDescent="0.25">
      <c r="A77" s="88"/>
    </row>
    <row r="78" spans="1:1" x14ac:dyDescent="0.25">
      <c r="A78" s="88"/>
    </row>
    <row r="79" spans="1:1" x14ac:dyDescent="0.25">
      <c r="A79" s="88"/>
    </row>
    <row r="80" spans="1:1" x14ac:dyDescent="0.25">
      <c r="A80" s="88"/>
    </row>
    <row r="81" spans="1:1" x14ac:dyDescent="0.25">
      <c r="A81" s="88"/>
    </row>
    <row r="82" spans="1:1" x14ac:dyDescent="0.25">
      <c r="A82" s="88"/>
    </row>
    <row r="83" spans="1:1" x14ac:dyDescent="0.25">
      <c r="A83" s="88"/>
    </row>
    <row r="84" spans="1:1" x14ac:dyDescent="0.25">
      <c r="A84" s="88"/>
    </row>
    <row r="85" spans="1:1" x14ac:dyDescent="0.25">
      <c r="A85" s="88"/>
    </row>
    <row r="86" spans="1:1" x14ac:dyDescent="0.25">
      <c r="A86" s="88"/>
    </row>
    <row r="87" spans="1:1" x14ac:dyDescent="0.25">
      <c r="A87" s="88"/>
    </row>
    <row r="88" spans="1:1" x14ac:dyDescent="0.25">
      <c r="A88" s="88"/>
    </row>
    <row r="89" spans="1:1" x14ac:dyDescent="0.25">
      <c r="A89" s="88"/>
    </row>
    <row r="90" spans="1:1" x14ac:dyDescent="0.25">
      <c r="A90" s="88"/>
    </row>
    <row r="91" spans="1:1" x14ac:dyDescent="0.25">
      <c r="A91" s="88"/>
    </row>
    <row r="92" spans="1:1" x14ac:dyDescent="0.25">
      <c r="A92" s="88"/>
    </row>
    <row r="93" spans="1:1" x14ac:dyDescent="0.25">
      <c r="A93" s="88"/>
    </row>
    <row r="94" spans="1:1" x14ac:dyDescent="0.25">
      <c r="A94" s="88"/>
    </row>
    <row r="95" spans="1:1" x14ac:dyDescent="0.25">
      <c r="A95" s="88"/>
    </row>
    <row r="96" spans="1:1" x14ac:dyDescent="0.25">
      <c r="A96" s="88"/>
    </row>
    <row r="97" spans="1:1" x14ac:dyDescent="0.25">
      <c r="A97" s="88"/>
    </row>
    <row r="98" spans="1:1" x14ac:dyDescent="0.25">
      <c r="A98" s="88"/>
    </row>
    <row r="99" spans="1:1" x14ac:dyDescent="0.25">
      <c r="A99" s="88"/>
    </row>
    <row r="100" spans="1:1" x14ac:dyDescent="0.25">
      <c r="A100" s="88"/>
    </row>
    <row r="101" spans="1:1" x14ac:dyDescent="0.25">
      <c r="A101" s="88"/>
    </row>
    <row r="102" spans="1:1" x14ac:dyDescent="0.25">
      <c r="A102" s="88"/>
    </row>
    <row r="103" spans="1:1" x14ac:dyDescent="0.25">
      <c r="A103" s="88"/>
    </row>
    <row r="104" spans="1:1" x14ac:dyDescent="0.25">
      <c r="A104" s="88"/>
    </row>
    <row r="105" spans="1:1" x14ac:dyDescent="0.25">
      <c r="A105" s="88"/>
    </row>
    <row r="106" spans="1:1" x14ac:dyDescent="0.25">
      <c r="A106" s="88"/>
    </row>
    <row r="107" spans="1:1" x14ac:dyDescent="0.25">
      <c r="A107" s="88"/>
    </row>
    <row r="108" spans="1:1" x14ac:dyDescent="0.25">
      <c r="A108" s="88"/>
    </row>
    <row r="109" spans="1:1" x14ac:dyDescent="0.25">
      <c r="A109" s="88"/>
    </row>
    <row r="110" spans="1:1" x14ac:dyDescent="0.25">
      <c r="A110" s="88"/>
    </row>
    <row r="111" spans="1:1" x14ac:dyDescent="0.25">
      <c r="A111" s="88"/>
    </row>
  </sheetData>
  <mergeCells count="7">
    <mergeCell ref="AM1:AX1"/>
    <mergeCell ref="AA1:AL1"/>
    <mergeCell ref="C1:N1"/>
    <mergeCell ref="B35:E35"/>
    <mergeCell ref="G35:J35"/>
    <mergeCell ref="L35:Q35"/>
    <mergeCell ref="O1:Z1"/>
  </mergeCells>
  <phoneticPr fontId="30" type="noConversion"/>
  <pageMargins left="0.7" right="0.7" top="0.75" bottom="0.75" header="0.3" footer="0.3"/>
  <pageSetup orientation="portrait" r:id="rId1"/>
  <ignoredErrors>
    <ignoredError sqref="BC2 AY2:BA2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47D51-9B71-4A9A-9823-7E4DA8A04EDD}">
  <sheetPr codeName="Sheet8"/>
  <dimension ref="A1:BB40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12.7109375" defaultRowHeight="13.1" x14ac:dyDescent="0.25"/>
  <cols>
    <col min="1" max="1" width="30.7109375" style="22" customWidth="1"/>
    <col min="2" max="2" width="12.7109375" style="22"/>
    <col min="3" max="16384" width="12.7109375" style="17"/>
  </cols>
  <sheetData>
    <row r="1" spans="1:54" x14ac:dyDescent="0.25">
      <c r="A1" s="168" t="str">
        <f>Company_Filing</f>
        <v>2025 MEEIA Filing</v>
      </c>
      <c r="B1" s="272"/>
      <c r="C1" s="760" t="s">
        <v>226</v>
      </c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760" t="s">
        <v>227</v>
      </c>
      <c r="P1" s="760"/>
      <c r="Q1" s="760"/>
      <c r="R1" s="760"/>
      <c r="S1" s="760"/>
      <c r="T1" s="760"/>
      <c r="U1" s="760"/>
      <c r="V1" s="760"/>
      <c r="W1" s="760"/>
      <c r="X1" s="760"/>
      <c r="Y1" s="760"/>
      <c r="Z1" s="760"/>
      <c r="AA1" s="760" t="s">
        <v>244</v>
      </c>
      <c r="AB1" s="760"/>
      <c r="AC1" s="760"/>
      <c r="AD1" s="760"/>
      <c r="AE1" s="760"/>
      <c r="AF1" s="760"/>
      <c r="AG1" s="760"/>
      <c r="AH1" s="760"/>
      <c r="AI1" s="760"/>
      <c r="AJ1" s="760"/>
      <c r="AK1" s="760"/>
      <c r="AL1" s="760"/>
      <c r="AM1" s="760" t="s">
        <v>245</v>
      </c>
      <c r="AN1" s="760"/>
      <c r="AO1" s="760"/>
      <c r="AP1" s="760"/>
      <c r="AQ1" s="760"/>
      <c r="AR1" s="760"/>
      <c r="AS1" s="760"/>
      <c r="AT1" s="760"/>
      <c r="AU1" s="760"/>
      <c r="AV1" s="760"/>
      <c r="AW1" s="760"/>
      <c r="AX1" s="760"/>
      <c r="AY1" s="313" t="s">
        <v>221</v>
      </c>
      <c r="AZ1" s="313" t="s">
        <v>221</v>
      </c>
      <c r="BA1" s="313" t="s">
        <v>221</v>
      </c>
      <c r="BB1" s="389" t="s">
        <v>222</v>
      </c>
    </row>
    <row r="2" spans="1:54" x14ac:dyDescent="0.25">
      <c r="A2" s="87" t="s">
        <v>185</v>
      </c>
      <c r="B2" s="273"/>
      <c r="C2" s="215">
        <v>44562</v>
      </c>
      <c r="D2" s="215">
        <v>44593</v>
      </c>
      <c r="E2" s="215">
        <v>44621</v>
      </c>
      <c r="F2" s="215">
        <v>44652</v>
      </c>
      <c r="G2" s="215">
        <v>44682</v>
      </c>
      <c r="H2" s="215">
        <v>44713</v>
      </c>
      <c r="I2" s="215">
        <v>44743</v>
      </c>
      <c r="J2" s="215">
        <v>44774</v>
      </c>
      <c r="K2" s="215">
        <v>44805</v>
      </c>
      <c r="L2" s="215">
        <v>44835</v>
      </c>
      <c r="M2" s="215">
        <v>44866</v>
      </c>
      <c r="N2" s="215">
        <v>44896</v>
      </c>
      <c r="O2" s="215">
        <v>44927</v>
      </c>
      <c r="P2" s="215">
        <v>44958</v>
      </c>
      <c r="Q2" s="215">
        <v>44986</v>
      </c>
      <c r="R2" s="215">
        <v>45017</v>
      </c>
      <c r="S2" s="215">
        <v>45047</v>
      </c>
      <c r="T2" s="215">
        <v>45078</v>
      </c>
      <c r="U2" s="215">
        <v>45108</v>
      </c>
      <c r="V2" s="215">
        <v>45139</v>
      </c>
      <c r="W2" s="215">
        <v>45170</v>
      </c>
      <c r="X2" s="215">
        <v>45200</v>
      </c>
      <c r="Y2" s="215">
        <v>45231</v>
      </c>
      <c r="Z2" s="215">
        <v>45261</v>
      </c>
      <c r="AA2" s="215">
        <v>45292</v>
      </c>
      <c r="AB2" s="215">
        <v>45323</v>
      </c>
      <c r="AC2" s="215">
        <v>45352</v>
      </c>
      <c r="AD2" s="215">
        <v>45383</v>
      </c>
      <c r="AE2" s="215">
        <v>45413</v>
      </c>
      <c r="AF2" s="215">
        <v>45444</v>
      </c>
      <c r="AG2" s="215">
        <v>45474</v>
      </c>
      <c r="AH2" s="215">
        <v>45505</v>
      </c>
      <c r="AI2" s="215">
        <v>45536</v>
      </c>
      <c r="AJ2" s="215">
        <v>45566</v>
      </c>
      <c r="AK2" s="215">
        <v>45597</v>
      </c>
      <c r="AL2" s="215">
        <v>45627</v>
      </c>
      <c r="AM2" s="215">
        <v>45292</v>
      </c>
      <c r="AN2" s="215">
        <v>45323</v>
      </c>
      <c r="AO2" s="215">
        <v>45352</v>
      </c>
      <c r="AP2" s="215">
        <v>45383</v>
      </c>
      <c r="AQ2" s="215">
        <v>45413</v>
      </c>
      <c r="AR2" s="215">
        <v>45444</v>
      </c>
      <c r="AS2" s="215">
        <v>45474</v>
      </c>
      <c r="AT2" s="215">
        <v>45505</v>
      </c>
      <c r="AU2" s="215">
        <v>45536</v>
      </c>
      <c r="AV2" s="215">
        <v>45566</v>
      </c>
      <c r="AW2" s="215">
        <v>45597</v>
      </c>
      <c r="AX2" s="215">
        <v>45627</v>
      </c>
      <c r="AY2" s="402" t="s">
        <v>182</v>
      </c>
      <c r="AZ2" s="402" t="s">
        <v>180</v>
      </c>
      <c r="BA2" s="390" t="s">
        <v>181</v>
      </c>
      <c r="BB2" s="390" t="s">
        <v>246</v>
      </c>
    </row>
    <row r="3" spans="1:54" x14ac:dyDescent="0.25">
      <c r="A3" s="88"/>
    </row>
    <row r="4" spans="1:54" x14ac:dyDescent="0.25">
      <c r="A4" s="353" t="s">
        <v>229</v>
      </c>
      <c r="B4" s="271" t="s">
        <v>69</v>
      </c>
    </row>
    <row r="5" spans="1:54" x14ac:dyDescent="0.25">
      <c r="A5" s="88"/>
    </row>
    <row r="6" spans="1:54" x14ac:dyDescent="0.25">
      <c r="A6" s="18">
        <v>44562</v>
      </c>
      <c r="B6" s="96">
        <f>'6. 2022 Installed kWh Savings'!H6</f>
        <v>0</v>
      </c>
      <c r="C6" s="361">
        <f>$B6*(SUMPRODUCT(C$30:C$32,$C$26:$C$28))/2</f>
        <v>0</v>
      </c>
      <c r="D6" s="361">
        <f t="shared" ref="D6:AA17" si="0">$B6*(SUMPRODUCT(D$30:D$32,$C$26:$C$28))</f>
        <v>0</v>
      </c>
      <c r="E6" s="361">
        <f t="shared" si="0"/>
        <v>0</v>
      </c>
      <c r="F6" s="361">
        <f t="shared" si="0"/>
        <v>0</v>
      </c>
      <c r="G6" s="361">
        <f t="shared" si="0"/>
        <v>0</v>
      </c>
      <c r="H6" s="361">
        <f t="shared" si="0"/>
        <v>0</v>
      </c>
      <c r="I6" s="361">
        <f t="shared" si="0"/>
        <v>0</v>
      </c>
      <c r="J6" s="361">
        <f t="shared" si="0"/>
        <v>0</v>
      </c>
      <c r="K6" s="361">
        <f t="shared" si="0"/>
        <v>0</v>
      </c>
      <c r="L6" s="361">
        <f t="shared" si="0"/>
        <v>0</v>
      </c>
      <c r="M6" s="361">
        <f t="shared" si="0"/>
        <v>0</v>
      </c>
      <c r="N6" s="362">
        <f t="shared" si="0"/>
        <v>0</v>
      </c>
      <c r="O6" s="375">
        <f t="shared" si="0"/>
        <v>0</v>
      </c>
      <c r="P6" s="376">
        <f t="shared" si="0"/>
        <v>0</v>
      </c>
      <c r="Q6" s="376">
        <f t="shared" si="0"/>
        <v>0</v>
      </c>
      <c r="R6" s="376">
        <f t="shared" si="0"/>
        <v>0</v>
      </c>
      <c r="S6" s="376">
        <f t="shared" si="0"/>
        <v>0</v>
      </c>
      <c r="T6" s="376">
        <f t="shared" si="0"/>
        <v>0</v>
      </c>
      <c r="U6" s="376">
        <f t="shared" si="0"/>
        <v>0</v>
      </c>
      <c r="V6" s="376">
        <f t="shared" si="0"/>
        <v>0</v>
      </c>
      <c r="W6" s="376">
        <f t="shared" si="0"/>
        <v>0</v>
      </c>
      <c r="X6" s="376">
        <f t="shared" si="0"/>
        <v>0</v>
      </c>
      <c r="Y6" s="376">
        <f t="shared" si="0"/>
        <v>0</v>
      </c>
      <c r="Z6" s="377">
        <f t="shared" si="0"/>
        <v>0</v>
      </c>
      <c r="AA6" s="531">
        <f t="shared" si="0"/>
        <v>0</v>
      </c>
      <c r="AB6" s="361">
        <f t="shared" ref="AA6:AP17" si="1">$B6*(SUMPRODUCT(AB$30:AB$32,$C$26:$C$28))</f>
        <v>0</v>
      </c>
      <c r="AC6" s="361">
        <f t="shared" si="1"/>
        <v>0</v>
      </c>
      <c r="AD6" s="361">
        <f t="shared" si="1"/>
        <v>0</v>
      </c>
      <c r="AE6" s="361">
        <f t="shared" si="1"/>
        <v>0</v>
      </c>
      <c r="AF6" s="361">
        <f t="shared" si="1"/>
        <v>0</v>
      </c>
      <c r="AG6" s="361">
        <f t="shared" si="1"/>
        <v>0</v>
      </c>
      <c r="AH6" s="361">
        <f t="shared" si="1"/>
        <v>0</v>
      </c>
      <c r="AI6" s="361">
        <f t="shared" si="1"/>
        <v>0</v>
      </c>
      <c r="AJ6" s="361">
        <f t="shared" si="1"/>
        <v>0</v>
      </c>
      <c r="AK6" s="361">
        <f t="shared" si="1"/>
        <v>0</v>
      </c>
      <c r="AL6" s="362">
        <f t="shared" si="1"/>
        <v>0</v>
      </c>
      <c r="AM6" s="375">
        <f t="shared" si="1"/>
        <v>0</v>
      </c>
      <c r="AN6" s="376">
        <f t="shared" si="1"/>
        <v>0</v>
      </c>
      <c r="AO6" s="376">
        <f t="shared" si="1"/>
        <v>0</v>
      </c>
      <c r="AP6" s="376">
        <f t="shared" si="1"/>
        <v>0</v>
      </c>
      <c r="AQ6" s="376">
        <f t="shared" ref="AM6:AX17" si="2">$B6*(SUMPRODUCT(AQ$30:AQ$32,$C$26:$C$28))</f>
        <v>0</v>
      </c>
      <c r="AR6" s="376">
        <f t="shared" si="2"/>
        <v>0</v>
      </c>
      <c r="AS6" s="376">
        <f t="shared" si="2"/>
        <v>0</v>
      </c>
      <c r="AT6" s="376">
        <f t="shared" si="2"/>
        <v>0</v>
      </c>
      <c r="AU6" s="376">
        <f t="shared" si="2"/>
        <v>0</v>
      </c>
      <c r="AV6" s="376">
        <f t="shared" si="2"/>
        <v>0</v>
      </c>
      <c r="AW6" s="376">
        <f t="shared" si="2"/>
        <v>0</v>
      </c>
      <c r="AX6" s="377">
        <f t="shared" si="2"/>
        <v>0</v>
      </c>
      <c r="AY6" s="391">
        <f>SUM(C6:N6)</f>
        <v>0</v>
      </c>
      <c r="AZ6" s="410">
        <f>SUM(O6:Z6)</f>
        <v>0</v>
      </c>
      <c r="BA6" s="410">
        <f>SUM(AA6:AL6)</f>
        <v>0</v>
      </c>
      <c r="BB6" s="532">
        <f>SUM(AM6:AX6)</f>
        <v>0</v>
      </c>
    </row>
    <row r="7" spans="1:54" x14ac:dyDescent="0.25">
      <c r="A7" s="18">
        <v>44593</v>
      </c>
      <c r="B7" s="97">
        <f>'6. 2022 Installed kWh Savings'!H7</f>
        <v>0</v>
      </c>
      <c r="C7" s="364"/>
      <c r="D7" s="364">
        <f>$B7*(SUMPRODUCT(D$30:D$32,$C$26:$C$28))/2</f>
        <v>0</v>
      </c>
      <c r="E7" s="364">
        <f t="shared" ref="E7:N7" si="3">$B7*(SUMPRODUCT(E$30:E$32,$C$26:$C$28))</f>
        <v>0</v>
      </c>
      <c r="F7" s="364">
        <f t="shared" si="3"/>
        <v>0</v>
      </c>
      <c r="G7" s="364">
        <f t="shared" si="3"/>
        <v>0</v>
      </c>
      <c r="H7" s="364">
        <f t="shared" si="3"/>
        <v>0</v>
      </c>
      <c r="I7" s="364">
        <f t="shared" si="3"/>
        <v>0</v>
      </c>
      <c r="J7" s="364">
        <f t="shared" si="3"/>
        <v>0</v>
      </c>
      <c r="K7" s="364">
        <f t="shared" si="3"/>
        <v>0</v>
      </c>
      <c r="L7" s="364">
        <f t="shared" si="3"/>
        <v>0</v>
      </c>
      <c r="M7" s="364">
        <f t="shared" si="3"/>
        <v>0</v>
      </c>
      <c r="N7" s="365">
        <f t="shared" si="3"/>
        <v>0</v>
      </c>
      <c r="O7" s="378">
        <f t="shared" si="0"/>
        <v>0</v>
      </c>
      <c r="P7" s="379">
        <f t="shared" si="0"/>
        <v>0</v>
      </c>
      <c r="Q7" s="379">
        <f t="shared" si="0"/>
        <v>0</v>
      </c>
      <c r="R7" s="379">
        <f t="shared" si="0"/>
        <v>0</v>
      </c>
      <c r="S7" s="379">
        <f t="shared" si="0"/>
        <v>0</v>
      </c>
      <c r="T7" s="379">
        <f t="shared" si="0"/>
        <v>0</v>
      </c>
      <c r="U7" s="379">
        <f t="shared" si="0"/>
        <v>0</v>
      </c>
      <c r="V7" s="379">
        <f t="shared" si="0"/>
        <v>0</v>
      </c>
      <c r="W7" s="379">
        <f t="shared" si="0"/>
        <v>0</v>
      </c>
      <c r="X7" s="379">
        <f t="shared" si="0"/>
        <v>0</v>
      </c>
      <c r="Y7" s="379">
        <f t="shared" si="0"/>
        <v>0</v>
      </c>
      <c r="Z7" s="380">
        <f t="shared" si="0"/>
        <v>0</v>
      </c>
      <c r="AA7" s="363">
        <f t="shared" si="1"/>
        <v>0</v>
      </c>
      <c r="AB7" s="364">
        <f t="shared" si="1"/>
        <v>0</v>
      </c>
      <c r="AC7" s="364">
        <f t="shared" si="1"/>
        <v>0</v>
      </c>
      <c r="AD7" s="364">
        <f t="shared" si="1"/>
        <v>0</v>
      </c>
      <c r="AE7" s="364">
        <f t="shared" si="1"/>
        <v>0</v>
      </c>
      <c r="AF7" s="364">
        <f t="shared" si="1"/>
        <v>0</v>
      </c>
      <c r="AG7" s="364">
        <f t="shared" si="1"/>
        <v>0</v>
      </c>
      <c r="AH7" s="364">
        <f t="shared" si="1"/>
        <v>0</v>
      </c>
      <c r="AI7" s="364">
        <f t="shared" si="1"/>
        <v>0</v>
      </c>
      <c r="AJ7" s="364">
        <f t="shared" si="1"/>
        <v>0</v>
      </c>
      <c r="AK7" s="364">
        <f t="shared" si="1"/>
        <v>0</v>
      </c>
      <c r="AL7" s="365">
        <f t="shared" si="1"/>
        <v>0</v>
      </c>
      <c r="AM7" s="378">
        <f t="shared" si="2"/>
        <v>0</v>
      </c>
      <c r="AN7" s="379">
        <f t="shared" si="2"/>
        <v>0</v>
      </c>
      <c r="AO7" s="379">
        <f t="shared" si="2"/>
        <v>0</v>
      </c>
      <c r="AP7" s="379">
        <f t="shared" si="2"/>
        <v>0</v>
      </c>
      <c r="AQ7" s="379">
        <f t="shared" si="2"/>
        <v>0</v>
      </c>
      <c r="AR7" s="379">
        <f t="shared" si="2"/>
        <v>0</v>
      </c>
      <c r="AS7" s="379">
        <f t="shared" si="2"/>
        <v>0</v>
      </c>
      <c r="AT7" s="379">
        <f t="shared" si="2"/>
        <v>0</v>
      </c>
      <c r="AU7" s="379">
        <f t="shared" si="2"/>
        <v>0</v>
      </c>
      <c r="AV7" s="379">
        <f t="shared" si="2"/>
        <v>0</v>
      </c>
      <c r="AW7" s="379">
        <f t="shared" si="2"/>
        <v>0</v>
      </c>
      <c r="AX7" s="380">
        <f t="shared" si="2"/>
        <v>0</v>
      </c>
      <c r="AY7" s="392">
        <f t="shared" ref="AY7:AY17" si="4">SUM(C7:N7)</f>
        <v>0</v>
      </c>
      <c r="AZ7" s="399">
        <f t="shared" ref="AZ7:AZ17" si="5">SUM(O7:Z7)</f>
        <v>0</v>
      </c>
      <c r="BA7" s="399">
        <f t="shared" ref="BA7:BA17" si="6">SUM(AA7:AL7)</f>
        <v>0</v>
      </c>
      <c r="BB7" s="533">
        <f t="shared" ref="BB7:BB17" si="7">SUM(AM7:AX7)</f>
        <v>0</v>
      </c>
    </row>
    <row r="8" spans="1:54" x14ac:dyDescent="0.25">
      <c r="A8" s="18">
        <v>44621</v>
      </c>
      <c r="B8" s="97">
        <f>'6. 2022 Installed kWh Savings'!H8</f>
        <v>0</v>
      </c>
      <c r="C8" s="364"/>
      <c r="D8" s="364"/>
      <c r="E8" s="364">
        <f>$B8*(SUMPRODUCT(E$30:E$32,$C$26:$C$28))/2</f>
        <v>0</v>
      </c>
      <c r="F8" s="364">
        <f t="shared" ref="F8:N8" si="8">$B8*(SUMPRODUCT(F$30:F$32,$C$26:$C$28))</f>
        <v>0</v>
      </c>
      <c r="G8" s="364">
        <f t="shared" si="8"/>
        <v>0</v>
      </c>
      <c r="H8" s="364">
        <f t="shared" si="8"/>
        <v>0</v>
      </c>
      <c r="I8" s="364">
        <f t="shared" si="8"/>
        <v>0</v>
      </c>
      <c r="J8" s="364">
        <f t="shared" si="8"/>
        <v>0</v>
      </c>
      <c r="K8" s="364">
        <f t="shared" si="8"/>
        <v>0</v>
      </c>
      <c r="L8" s="364">
        <f t="shared" si="8"/>
        <v>0</v>
      </c>
      <c r="M8" s="364">
        <f t="shared" si="8"/>
        <v>0</v>
      </c>
      <c r="N8" s="365">
        <f t="shared" si="8"/>
        <v>0</v>
      </c>
      <c r="O8" s="378">
        <f t="shared" si="0"/>
        <v>0</v>
      </c>
      <c r="P8" s="379">
        <f t="shared" si="0"/>
        <v>0</v>
      </c>
      <c r="Q8" s="379">
        <f t="shared" si="0"/>
        <v>0</v>
      </c>
      <c r="R8" s="379">
        <f t="shared" si="0"/>
        <v>0</v>
      </c>
      <c r="S8" s="379">
        <f t="shared" si="0"/>
        <v>0</v>
      </c>
      <c r="T8" s="379">
        <f t="shared" si="0"/>
        <v>0</v>
      </c>
      <c r="U8" s="379">
        <f t="shared" si="0"/>
        <v>0</v>
      </c>
      <c r="V8" s="379">
        <f t="shared" si="0"/>
        <v>0</v>
      </c>
      <c r="W8" s="379">
        <f t="shared" si="0"/>
        <v>0</v>
      </c>
      <c r="X8" s="379">
        <f t="shared" si="0"/>
        <v>0</v>
      </c>
      <c r="Y8" s="379">
        <f t="shared" si="0"/>
        <v>0</v>
      </c>
      <c r="Z8" s="380">
        <f t="shared" si="0"/>
        <v>0</v>
      </c>
      <c r="AA8" s="363">
        <f t="shared" si="1"/>
        <v>0</v>
      </c>
      <c r="AB8" s="364">
        <f t="shared" si="1"/>
        <v>0</v>
      </c>
      <c r="AC8" s="364">
        <f t="shared" si="1"/>
        <v>0</v>
      </c>
      <c r="AD8" s="364">
        <f t="shared" si="1"/>
        <v>0</v>
      </c>
      <c r="AE8" s="364">
        <f t="shared" si="1"/>
        <v>0</v>
      </c>
      <c r="AF8" s="364">
        <f t="shared" si="1"/>
        <v>0</v>
      </c>
      <c r="AG8" s="364">
        <f t="shared" si="1"/>
        <v>0</v>
      </c>
      <c r="AH8" s="364">
        <f t="shared" si="1"/>
        <v>0</v>
      </c>
      <c r="AI8" s="364">
        <f t="shared" si="1"/>
        <v>0</v>
      </c>
      <c r="AJ8" s="364">
        <f t="shared" si="1"/>
        <v>0</v>
      </c>
      <c r="AK8" s="364">
        <f t="shared" si="1"/>
        <v>0</v>
      </c>
      <c r="AL8" s="365">
        <f t="shared" si="1"/>
        <v>0</v>
      </c>
      <c r="AM8" s="378">
        <f t="shared" si="2"/>
        <v>0</v>
      </c>
      <c r="AN8" s="379">
        <f t="shared" si="2"/>
        <v>0</v>
      </c>
      <c r="AO8" s="379">
        <f t="shared" si="2"/>
        <v>0</v>
      </c>
      <c r="AP8" s="379">
        <f t="shared" si="2"/>
        <v>0</v>
      </c>
      <c r="AQ8" s="379">
        <f t="shared" si="2"/>
        <v>0</v>
      </c>
      <c r="AR8" s="379">
        <f t="shared" si="2"/>
        <v>0</v>
      </c>
      <c r="AS8" s="379">
        <f t="shared" si="2"/>
        <v>0</v>
      </c>
      <c r="AT8" s="379">
        <f t="shared" si="2"/>
        <v>0</v>
      </c>
      <c r="AU8" s="379">
        <f t="shared" si="2"/>
        <v>0</v>
      </c>
      <c r="AV8" s="379">
        <f t="shared" si="2"/>
        <v>0</v>
      </c>
      <c r="AW8" s="379">
        <f t="shared" si="2"/>
        <v>0</v>
      </c>
      <c r="AX8" s="380">
        <f t="shared" si="2"/>
        <v>0</v>
      </c>
      <c r="AY8" s="392">
        <f t="shared" si="4"/>
        <v>0</v>
      </c>
      <c r="AZ8" s="399">
        <f t="shared" si="5"/>
        <v>0</v>
      </c>
      <c r="BA8" s="399">
        <f t="shared" si="6"/>
        <v>0</v>
      </c>
      <c r="BB8" s="533">
        <f t="shared" si="7"/>
        <v>0</v>
      </c>
    </row>
    <row r="9" spans="1:54" x14ac:dyDescent="0.25">
      <c r="A9" s="18">
        <v>44652</v>
      </c>
      <c r="B9" s="97">
        <f>'6. 2022 Installed kWh Savings'!H9</f>
        <v>0</v>
      </c>
      <c r="C9" s="364"/>
      <c r="D9" s="364"/>
      <c r="E9" s="364"/>
      <c r="F9" s="364">
        <f>$B9*(SUMPRODUCT(F$30:F$32,$C$26:$C$28))/2</f>
        <v>0</v>
      </c>
      <c r="G9" s="364">
        <f t="shared" ref="G9:N9" si="9">$B9*(SUMPRODUCT(G$30:G$32,$C$26:$C$28))</f>
        <v>0</v>
      </c>
      <c r="H9" s="364">
        <f t="shared" si="9"/>
        <v>0</v>
      </c>
      <c r="I9" s="364">
        <f t="shared" si="9"/>
        <v>0</v>
      </c>
      <c r="J9" s="364">
        <f t="shared" si="9"/>
        <v>0</v>
      </c>
      <c r="K9" s="364">
        <f t="shared" si="9"/>
        <v>0</v>
      </c>
      <c r="L9" s="364">
        <f t="shared" si="9"/>
        <v>0</v>
      </c>
      <c r="M9" s="364">
        <f t="shared" si="9"/>
        <v>0</v>
      </c>
      <c r="N9" s="365">
        <f t="shared" si="9"/>
        <v>0</v>
      </c>
      <c r="O9" s="378">
        <f t="shared" si="0"/>
        <v>0</v>
      </c>
      <c r="P9" s="379">
        <f t="shared" si="0"/>
        <v>0</v>
      </c>
      <c r="Q9" s="379">
        <f t="shared" si="0"/>
        <v>0</v>
      </c>
      <c r="R9" s="379">
        <f t="shared" si="0"/>
        <v>0</v>
      </c>
      <c r="S9" s="379">
        <f t="shared" si="0"/>
        <v>0</v>
      </c>
      <c r="T9" s="379">
        <f t="shared" si="0"/>
        <v>0</v>
      </c>
      <c r="U9" s="379">
        <f t="shared" si="0"/>
        <v>0</v>
      </c>
      <c r="V9" s="379">
        <f t="shared" si="0"/>
        <v>0</v>
      </c>
      <c r="W9" s="379">
        <f t="shared" si="0"/>
        <v>0</v>
      </c>
      <c r="X9" s="379">
        <f t="shared" si="0"/>
        <v>0</v>
      </c>
      <c r="Y9" s="379">
        <f t="shared" si="0"/>
        <v>0</v>
      </c>
      <c r="Z9" s="380">
        <f t="shared" si="0"/>
        <v>0</v>
      </c>
      <c r="AA9" s="363">
        <f t="shared" si="1"/>
        <v>0</v>
      </c>
      <c r="AB9" s="364">
        <f t="shared" si="1"/>
        <v>0</v>
      </c>
      <c r="AC9" s="364">
        <f t="shared" si="1"/>
        <v>0</v>
      </c>
      <c r="AD9" s="364">
        <f t="shared" si="1"/>
        <v>0</v>
      </c>
      <c r="AE9" s="364">
        <f t="shared" si="1"/>
        <v>0</v>
      </c>
      <c r="AF9" s="364">
        <f t="shared" si="1"/>
        <v>0</v>
      </c>
      <c r="AG9" s="364">
        <f t="shared" si="1"/>
        <v>0</v>
      </c>
      <c r="AH9" s="364">
        <f t="shared" si="1"/>
        <v>0</v>
      </c>
      <c r="AI9" s="364">
        <f t="shared" si="1"/>
        <v>0</v>
      </c>
      <c r="AJ9" s="364">
        <f t="shared" si="1"/>
        <v>0</v>
      </c>
      <c r="AK9" s="364">
        <f t="shared" si="1"/>
        <v>0</v>
      </c>
      <c r="AL9" s="365">
        <f t="shared" si="1"/>
        <v>0</v>
      </c>
      <c r="AM9" s="378">
        <f t="shared" si="2"/>
        <v>0</v>
      </c>
      <c r="AN9" s="379">
        <f t="shared" si="2"/>
        <v>0</v>
      </c>
      <c r="AO9" s="379">
        <f t="shared" si="2"/>
        <v>0</v>
      </c>
      <c r="AP9" s="379">
        <f t="shared" si="2"/>
        <v>0</v>
      </c>
      <c r="AQ9" s="379">
        <f t="shared" si="2"/>
        <v>0</v>
      </c>
      <c r="AR9" s="379">
        <f t="shared" si="2"/>
        <v>0</v>
      </c>
      <c r="AS9" s="379">
        <f t="shared" si="2"/>
        <v>0</v>
      </c>
      <c r="AT9" s="379">
        <f t="shared" si="2"/>
        <v>0</v>
      </c>
      <c r="AU9" s="379">
        <f t="shared" si="2"/>
        <v>0</v>
      </c>
      <c r="AV9" s="379">
        <f t="shared" si="2"/>
        <v>0</v>
      </c>
      <c r="AW9" s="379">
        <f t="shared" si="2"/>
        <v>0</v>
      </c>
      <c r="AX9" s="380">
        <f t="shared" si="2"/>
        <v>0</v>
      </c>
      <c r="AY9" s="392">
        <f t="shared" si="4"/>
        <v>0</v>
      </c>
      <c r="AZ9" s="399">
        <f t="shared" si="5"/>
        <v>0</v>
      </c>
      <c r="BA9" s="399">
        <f t="shared" si="6"/>
        <v>0</v>
      </c>
      <c r="BB9" s="533">
        <f t="shared" si="7"/>
        <v>0</v>
      </c>
    </row>
    <row r="10" spans="1:54" x14ac:dyDescent="0.25">
      <c r="A10" s="18">
        <v>44682</v>
      </c>
      <c r="B10" s="97">
        <f>'6. 2022 Installed kWh Savings'!H10</f>
        <v>0</v>
      </c>
      <c r="C10" s="364"/>
      <c r="D10" s="364"/>
      <c r="E10" s="364"/>
      <c r="F10" s="364"/>
      <c r="G10" s="364">
        <f>$B10*(SUMPRODUCT(G$30:G$32,$C$26:$C$28))/2</f>
        <v>0</v>
      </c>
      <c r="H10" s="364">
        <f t="shared" ref="H10:N10" si="10">$B10*(SUMPRODUCT(H$30:H$32,$C$26:$C$28))</f>
        <v>0</v>
      </c>
      <c r="I10" s="364">
        <f t="shared" si="10"/>
        <v>0</v>
      </c>
      <c r="J10" s="364">
        <f t="shared" si="10"/>
        <v>0</v>
      </c>
      <c r="K10" s="364">
        <f t="shared" si="10"/>
        <v>0</v>
      </c>
      <c r="L10" s="364">
        <f t="shared" si="10"/>
        <v>0</v>
      </c>
      <c r="M10" s="364">
        <f t="shared" si="10"/>
        <v>0</v>
      </c>
      <c r="N10" s="365">
        <f t="shared" si="10"/>
        <v>0</v>
      </c>
      <c r="O10" s="378">
        <f t="shared" si="0"/>
        <v>0</v>
      </c>
      <c r="P10" s="379">
        <f t="shared" si="0"/>
        <v>0</v>
      </c>
      <c r="Q10" s="379">
        <f t="shared" si="0"/>
        <v>0</v>
      </c>
      <c r="R10" s="379">
        <f t="shared" si="0"/>
        <v>0</v>
      </c>
      <c r="S10" s="379">
        <f t="shared" si="0"/>
        <v>0</v>
      </c>
      <c r="T10" s="379">
        <f t="shared" si="0"/>
        <v>0</v>
      </c>
      <c r="U10" s="379">
        <f t="shared" si="0"/>
        <v>0</v>
      </c>
      <c r="V10" s="379">
        <f t="shared" si="0"/>
        <v>0</v>
      </c>
      <c r="W10" s="379">
        <f t="shared" si="0"/>
        <v>0</v>
      </c>
      <c r="X10" s="379">
        <f t="shared" si="0"/>
        <v>0</v>
      </c>
      <c r="Y10" s="379">
        <f t="shared" si="0"/>
        <v>0</v>
      </c>
      <c r="Z10" s="380">
        <f t="shared" si="0"/>
        <v>0</v>
      </c>
      <c r="AA10" s="363">
        <f t="shared" si="1"/>
        <v>0</v>
      </c>
      <c r="AB10" s="364">
        <f t="shared" si="1"/>
        <v>0</v>
      </c>
      <c r="AC10" s="364">
        <f t="shared" si="1"/>
        <v>0</v>
      </c>
      <c r="AD10" s="364">
        <f t="shared" si="1"/>
        <v>0</v>
      </c>
      <c r="AE10" s="364">
        <f t="shared" si="1"/>
        <v>0</v>
      </c>
      <c r="AF10" s="364">
        <f t="shared" si="1"/>
        <v>0</v>
      </c>
      <c r="AG10" s="364">
        <f t="shared" si="1"/>
        <v>0</v>
      </c>
      <c r="AH10" s="364">
        <f t="shared" si="1"/>
        <v>0</v>
      </c>
      <c r="AI10" s="364">
        <f t="shared" si="1"/>
        <v>0</v>
      </c>
      <c r="AJ10" s="364">
        <f t="shared" si="1"/>
        <v>0</v>
      </c>
      <c r="AK10" s="364">
        <f t="shared" si="1"/>
        <v>0</v>
      </c>
      <c r="AL10" s="365">
        <f t="shared" si="1"/>
        <v>0</v>
      </c>
      <c r="AM10" s="378">
        <f t="shared" si="2"/>
        <v>0</v>
      </c>
      <c r="AN10" s="379">
        <f t="shared" si="2"/>
        <v>0</v>
      </c>
      <c r="AO10" s="379">
        <f t="shared" si="2"/>
        <v>0</v>
      </c>
      <c r="AP10" s="379">
        <f t="shared" si="2"/>
        <v>0</v>
      </c>
      <c r="AQ10" s="379">
        <f t="shared" si="2"/>
        <v>0</v>
      </c>
      <c r="AR10" s="379">
        <f t="shared" si="2"/>
        <v>0</v>
      </c>
      <c r="AS10" s="379">
        <f t="shared" si="2"/>
        <v>0</v>
      </c>
      <c r="AT10" s="379">
        <f t="shared" si="2"/>
        <v>0</v>
      </c>
      <c r="AU10" s="379">
        <f t="shared" si="2"/>
        <v>0</v>
      </c>
      <c r="AV10" s="379">
        <f t="shared" si="2"/>
        <v>0</v>
      </c>
      <c r="AW10" s="379">
        <f t="shared" si="2"/>
        <v>0</v>
      </c>
      <c r="AX10" s="380">
        <f t="shared" si="2"/>
        <v>0</v>
      </c>
      <c r="AY10" s="392">
        <f t="shared" si="4"/>
        <v>0</v>
      </c>
      <c r="AZ10" s="399">
        <f t="shared" si="5"/>
        <v>0</v>
      </c>
      <c r="BA10" s="399">
        <f t="shared" si="6"/>
        <v>0</v>
      </c>
      <c r="BB10" s="533">
        <f t="shared" si="7"/>
        <v>0</v>
      </c>
    </row>
    <row r="11" spans="1:54" x14ac:dyDescent="0.25">
      <c r="A11" s="18">
        <v>44713</v>
      </c>
      <c r="B11" s="97">
        <f>'6. 2022 Installed kWh Savings'!H11</f>
        <v>0</v>
      </c>
      <c r="C11" s="364"/>
      <c r="D11" s="364"/>
      <c r="E11" s="364"/>
      <c r="F11" s="364"/>
      <c r="G11" s="364"/>
      <c r="H11" s="364">
        <f>$B11*(SUMPRODUCT(H$30:H$32,$C$26:$C$28))/2</f>
        <v>0</v>
      </c>
      <c r="I11" s="364">
        <f t="shared" ref="I11:N11" si="11">$B11*(SUMPRODUCT(I$30:I$32,$C$26:$C$28))</f>
        <v>0</v>
      </c>
      <c r="J11" s="364">
        <f t="shared" si="11"/>
        <v>0</v>
      </c>
      <c r="K11" s="364">
        <f t="shared" si="11"/>
        <v>0</v>
      </c>
      <c r="L11" s="364">
        <f t="shared" si="11"/>
        <v>0</v>
      </c>
      <c r="M11" s="364">
        <f t="shared" si="11"/>
        <v>0</v>
      </c>
      <c r="N11" s="365">
        <f t="shared" si="11"/>
        <v>0</v>
      </c>
      <c r="O11" s="378">
        <f t="shared" si="0"/>
        <v>0</v>
      </c>
      <c r="P11" s="379">
        <f t="shared" si="0"/>
        <v>0</v>
      </c>
      <c r="Q11" s="379">
        <f t="shared" si="0"/>
        <v>0</v>
      </c>
      <c r="R11" s="379">
        <f t="shared" si="0"/>
        <v>0</v>
      </c>
      <c r="S11" s="379">
        <f t="shared" si="0"/>
        <v>0</v>
      </c>
      <c r="T11" s="379">
        <f t="shared" si="0"/>
        <v>0</v>
      </c>
      <c r="U11" s="379">
        <f t="shared" si="0"/>
        <v>0</v>
      </c>
      <c r="V11" s="379">
        <f t="shared" si="0"/>
        <v>0</v>
      </c>
      <c r="W11" s="379">
        <f t="shared" si="0"/>
        <v>0</v>
      </c>
      <c r="X11" s="379">
        <f t="shared" si="0"/>
        <v>0</v>
      </c>
      <c r="Y11" s="379">
        <f t="shared" si="0"/>
        <v>0</v>
      </c>
      <c r="Z11" s="380">
        <f t="shared" si="0"/>
        <v>0</v>
      </c>
      <c r="AA11" s="363">
        <f t="shared" si="1"/>
        <v>0</v>
      </c>
      <c r="AB11" s="364">
        <f t="shared" si="1"/>
        <v>0</v>
      </c>
      <c r="AC11" s="364">
        <f t="shared" si="1"/>
        <v>0</v>
      </c>
      <c r="AD11" s="364">
        <f t="shared" si="1"/>
        <v>0</v>
      </c>
      <c r="AE11" s="364">
        <f t="shared" si="1"/>
        <v>0</v>
      </c>
      <c r="AF11" s="364">
        <f t="shared" si="1"/>
        <v>0</v>
      </c>
      <c r="AG11" s="364">
        <f t="shared" si="1"/>
        <v>0</v>
      </c>
      <c r="AH11" s="364">
        <f t="shared" si="1"/>
        <v>0</v>
      </c>
      <c r="AI11" s="364">
        <f t="shared" si="1"/>
        <v>0</v>
      </c>
      <c r="AJ11" s="364">
        <f t="shared" si="1"/>
        <v>0</v>
      </c>
      <c r="AK11" s="364">
        <f t="shared" si="1"/>
        <v>0</v>
      </c>
      <c r="AL11" s="365">
        <f t="shared" si="1"/>
        <v>0</v>
      </c>
      <c r="AM11" s="378">
        <f t="shared" si="2"/>
        <v>0</v>
      </c>
      <c r="AN11" s="379">
        <f t="shared" si="2"/>
        <v>0</v>
      </c>
      <c r="AO11" s="379">
        <f t="shared" si="2"/>
        <v>0</v>
      </c>
      <c r="AP11" s="379">
        <f t="shared" si="2"/>
        <v>0</v>
      </c>
      <c r="AQ11" s="379">
        <f t="shared" si="2"/>
        <v>0</v>
      </c>
      <c r="AR11" s="379">
        <f t="shared" si="2"/>
        <v>0</v>
      </c>
      <c r="AS11" s="379">
        <f t="shared" si="2"/>
        <v>0</v>
      </c>
      <c r="AT11" s="379">
        <f t="shared" si="2"/>
        <v>0</v>
      </c>
      <c r="AU11" s="379">
        <f t="shared" si="2"/>
        <v>0</v>
      </c>
      <c r="AV11" s="379">
        <f t="shared" si="2"/>
        <v>0</v>
      </c>
      <c r="AW11" s="379">
        <f t="shared" si="2"/>
        <v>0</v>
      </c>
      <c r="AX11" s="380">
        <f t="shared" si="2"/>
        <v>0</v>
      </c>
      <c r="AY11" s="392">
        <f t="shared" si="4"/>
        <v>0</v>
      </c>
      <c r="AZ11" s="399">
        <f t="shared" si="5"/>
        <v>0</v>
      </c>
      <c r="BA11" s="399">
        <f t="shared" si="6"/>
        <v>0</v>
      </c>
      <c r="BB11" s="533">
        <f t="shared" si="7"/>
        <v>0</v>
      </c>
    </row>
    <row r="12" spans="1:54" x14ac:dyDescent="0.25">
      <c r="A12" s="18">
        <v>44743</v>
      </c>
      <c r="B12" s="97">
        <f>'6. 2022 Installed kWh Savings'!H12</f>
        <v>0</v>
      </c>
      <c r="C12" s="364"/>
      <c r="D12" s="364"/>
      <c r="E12" s="364"/>
      <c r="F12" s="364"/>
      <c r="G12" s="364"/>
      <c r="H12" s="364"/>
      <c r="I12" s="364">
        <f>$B12*(SUMPRODUCT(I$30:I$32,$C$26:$C$28))/2</f>
        <v>0</v>
      </c>
      <c r="J12" s="364">
        <f>$B12*(SUMPRODUCT(J$30:J$32,$C$26:$C$28))</f>
        <v>0</v>
      </c>
      <c r="K12" s="364">
        <f>$B12*(SUMPRODUCT(K$30:K$32,$C$26:$C$28))</f>
        <v>0</v>
      </c>
      <c r="L12" s="364">
        <f>$B12*(SUMPRODUCT(L$30:L$32,$C$26:$C$28))</f>
        <v>0</v>
      </c>
      <c r="M12" s="364">
        <f>$B12*(SUMPRODUCT(M$30:M$32,$C$26:$C$28))</f>
        <v>0</v>
      </c>
      <c r="N12" s="365">
        <f>$B12*(SUMPRODUCT(N$30:N$32,$C$26:$C$28))</f>
        <v>0</v>
      </c>
      <c r="O12" s="378">
        <f t="shared" si="0"/>
        <v>0</v>
      </c>
      <c r="P12" s="379">
        <f t="shared" si="0"/>
        <v>0</v>
      </c>
      <c r="Q12" s="379">
        <f t="shared" si="0"/>
        <v>0</v>
      </c>
      <c r="R12" s="379">
        <f t="shared" si="0"/>
        <v>0</v>
      </c>
      <c r="S12" s="379">
        <f t="shared" si="0"/>
        <v>0</v>
      </c>
      <c r="T12" s="379">
        <f t="shared" si="0"/>
        <v>0</v>
      </c>
      <c r="U12" s="379">
        <f t="shared" si="0"/>
        <v>0</v>
      </c>
      <c r="V12" s="379">
        <f t="shared" si="0"/>
        <v>0</v>
      </c>
      <c r="W12" s="379">
        <f t="shared" si="0"/>
        <v>0</v>
      </c>
      <c r="X12" s="379">
        <f t="shared" si="0"/>
        <v>0</v>
      </c>
      <c r="Y12" s="379">
        <f t="shared" si="0"/>
        <v>0</v>
      </c>
      <c r="Z12" s="380">
        <f t="shared" si="0"/>
        <v>0</v>
      </c>
      <c r="AA12" s="363">
        <f t="shared" si="1"/>
        <v>0</v>
      </c>
      <c r="AB12" s="364">
        <f t="shared" si="1"/>
        <v>0</v>
      </c>
      <c r="AC12" s="364">
        <f t="shared" si="1"/>
        <v>0</v>
      </c>
      <c r="AD12" s="364">
        <f t="shared" si="1"/>
        <v>0</v>
      </c>
      <c r="AE12" s="364">
        <f t="shared" si="1"/>
        <v>0</v>
      </c>
      <c r="AF12" s="364">
        <f t="shared" si="1"/>
        <v>0</v>
      </c>
      <c r="AG12" s="364">
        <f t="shared" si="1"/>
        <v>0</v>
      </c>
      <c r="AH12" s="364">
        <f t="shared" si="1"/>
        <v>0</v>
      </c>
      <c r="AI12" s="364">
        <f t="shared" si="1"/>
        <v>0</v>
      </c>
      <c r="AJ12" s="364">
        <f t="shared" si="1"/>
        <v>0</v>
      </c>
      <c r="AK12" s="364">
        <f t="shared" si="1"/>
        <v>0</v>
      </c>
      <c r="AL12" s="365">
        <f t="shared" si="1"/>
        <v>0</v>
      </c>
      <c r="AM12" s="378">
        <f t="shared" si="2"/>
        <v>0</v>
      </c>
      <c r="AN12" s="379">
        <f t="shared" si="2"/>
        <v>0</v>
      </c>
      <c r="AO12" s="379">
        <f t="shared" si="2"/>
        <v>0</v>
      </c>
      <c r="AP12" s="379">
        <f t="shared" si="2"/>
        <v>0</v>
      </c>
      <c r="AQ12" s="379">
        <f t="shared" si="2"/>
        <v>0</v>
      </c>
      <c r="AR12" s="379">
        <f t="shared" si="2"/>
        <v>0</v>
      </c>
      <c r="AS12" s="379">
        <f t="shared" si="2"/>
        <v>0</v>
      </c>
      <c r="AT12" s="379">
        <f t="shared" si="2"/>
        <v>0</v>
      </c>
      <c r="AU12" s="379">
        <f t="shared" si="2"/>
        <v>0</v>
      </c>
      <c r="AV12" s="379">
        <f t="shared" si="2"/>
        <v>0</v>
      </c>
      <c r="AW12" s="379">
        <f t="shared" si="2"/>
        <v>0</v>
      </c>
      <c r="AX12" s="380">
        <f t="shared" si="2"/>
        <v>0</v>
      </c>
      <c r="AY12" s="392">
        <f t="shared" si="4"/>
        <v>0</v>
      </c>
      <c r="AZ12" s="399">
        <f t="shared" si="5"/>
        <v>0</v>
      </c>
      <c r="BA12" s="399">
        <f t="shared" si="6"/>
        <v>0</v>
      </c>
      <c r="BB12" s="533">
        <f t="shared" si="7"/>
        <v>0</v>
      </c>
    </row>
    <row r="13" spans="1:54" x14ac:dyDescent="0.25">
      <c r="A13" s="18">
        <v>44774</v>
      </c>
      <c r="B13" s="97">
        <f>'6. 2022 Installed kWh Savings'!H13</f>
        <v>0</v>
      </c>
      <c r="C13" s="364"/>
      <c r="D13" s="364"/>
      <c r="E13" s="364"/>
      <c r="F13" s="364"/>
      <c r="G13" s="364"/>
      <c r="H13" s="364"/>
      <c r="I13" s="364"/>
      <c r="J13" s="364">
        <f>$B13*(SUMPRODUCT(J$30:J$32,$C$26:$C$28))/2</f>
        <v>0</v>
      </c>
      <c r="K13" s="364">
        <f>$B13*(SUMPRODUCT(K$30:K$32,$C$26:$C$28))</f>
        <v>0</v>
      </c>
      <c r="L13" s="364">
        <f>$B13*(SUMPRODUCT(L$30:L$32,$C$26:$C$28))</f>
        <v>0</v>
      </c>
      <c r="M13" s="364">
        <f>$B13*(SUMPRODUCT(M$30:M$32,$C$26:$C$28))</f>
        <v>0</v>
      </c>
      <c r="N13" s="365">
        <f>$B13*(SUMPRODUCT(N$30:N$32,$C$26:$C$28))</f>
        <v>0</v>
      </c>
      <c r="O13" s="378">
        <f t="shared" si="0"/>
        <v>0</v>
      </c>
      <c r="P13" s="379">
        <f t="shared" si="0"/>
        <v>0</v>
      </c>
      <c r="Q13" s="379">
        <f t="shared" si="0"/>
        <v>0</v>
      </c>
      <c r="R13" s="379">
        <f t="shared" si="0"/>
        <v>0</v>
      </c>
      <c r="S13" s="379">
        <f t="shared" si="0"/>
        <v>0</v>
      </c>
      <c r="T13" s="379">
        <f t="shared" si="0"/>
        <v>0</v>
      </c>
      <c r="U13" s="379">
        <f t="shared" si="0"/>
        <v>0</v>
      </c>
      <c r="V13" s="379">
        <f t="shared" si="0"/>
        <v>0</v>
      </c>
      <c r="W13" s="379">
        <f t="shared" si="0"/>
        <v>0</v>
      </c>
      <c r="X13" s="379">
        <f t="shared" si="0"/>
        <v>0</v>
      </c>
      <c r="Y13" s="379">
        <f t="shared" si="0"/>
        <v>0</v>
      </c>
      <c r="Z13" s="380">
        <f t="shared" si="0"/>
        <v>0</v>
      </c>
      <c r="AA13" s="363">
        <f t="shared" si="1"/>
        <v>0</v>
      </c>
      <c r="AB13" s="364">
        <f t="shared" si="1"/>
        <v>0</v>
      </c>
      <c r="AC13" s="364">
        <f t="shared" si="1"/>
        <v>0</v>
      </c>
      <c r="AD13" s="364">
        <f t="shared" si="1"/>
        <v>0</v>
      </c>
      <c r="AE13" s="364">
        <f t="shared" si="1"/>
        <v>0</v>
      </c>
      <c r="AF13" s="364">
        <f t="shared" si="1"/>
        <v>0</v>
      </c>
      <c r="AG13" s="364">
        <f t="shared" si="1"/>
        <v>0</v>
      </c>
      <c r="AH13" s="364">
        <f t="shared" si="1"/>
        <v>0</v>
      </c>
      <c r="AI13" s="364">
        <f t="shared" si="1"/>
        <v>0</v>
      </c>
      <c r="AJ13" s="364">
        <f t="shared" si="1"/>
        <v>0</v>
      </c>
      <c r="AK13" s="364">
        <f t="shared" si="1"/>
        <v>0</v>
      </c>
      <c r="AL13" s="365">
        <f t="shared" si="1"/>
        <v>0</v>
      </c>
      <c r="AM13" s="378">
        <f t="shared" si="2"/>
        <v>0</v>
      </c>
      <c r="AN13" s="379">
        <f t="shared" si="2"/>
        <v>0</v>
      </c>
      <c r="AO13" s="379">
        <f t="shared" si="2"/>
        <v>0</v>
      </c>
      <c r="AP13" s="379">
        <f t="shared" si="2"/>
        <v>0</v>
      </c>
      <c r="AQ13" s="379">
        <f t="shared" si="2"/>
        <v>0</v>
      </c>
      <c r="AR13" s="379">
        <f t="shared" si="2"/>
        <v>0</v>
      </c>
      <c r="AS13" s="379">
        <f t="shared" si="2"/>
        <v>0</v>
      </c>
      <c r="AT13" s="379">
        <f t="shared" si="2"/>
        <v>0</v>
      </c>
      <c r="AU13" s="379">
        <f t="shared" si="2"/>
        <v>0</v>
      </c>
      <c r="AV13" s="379">
        <f t="shared" si="2"/>
        <v>0</v>
      </c>
      <c r="AW13" s="379">
        <f t="shared" si="2"/>
        <v>0</v>
      </c>
      <c r="AX13" s="380">
        <f t="shared" si="2"/>
        <v>0</v>
      </c>
      <c r="AY13" s="392">
        <f t="shared" si="4"/>
        <v>0</v>
      </c>
      <c r="AZ13" s="399">
        <f t="shared" si="5"/>
        <v>0</v>
      </c>
      <c r="BA13" s="399">
        <f t="shared" si="6"/>
        <v>0</v>
      </c>
      <c r="BB13" s="533">
        <f t="shared" si="7"/>
        <v>0</v>
      </c>
    </row>
    <row r="14" spans="1:54" x14ac:dyDescent="0.25">
      <c r="A14" s="18">
        <v>44805</v>
      </c>
      <c r="B14" s="97">
        <f>'6. 2022 Installed kWh Savings'!H14</f>
        <v>0</v>
      </c>
      <c r="C14" s="364"/>
      <c r="D14" s="364"/>
      <c r="E14" s="364"/>
      <c r="F14" s="364"/>
      <c r="G14" s="364"/>
      <c r="H14" s="364"/>
      <c r="I14" s="364"/>
      <c r="J14" s="364"/>
      <c r="K14" s="364">
        <f>$B14*(SUMPRODUCT(K$30:K$32,$C$26:$C$28))/2</f>
        <v>0</v>
      </c>
      <c r="L14" s="364">
        <f>$B14*(SUMPRODUCT(L$30:L$32,$C$26:$C$28))</f>
        <v>0</v>
      </c>
      <c r="M14" s="364">
        <f>$B14*(SUMPRODUCT(M$30:M$32,$C$26:$C$28))</f>
        <v>0</v>
      </c>
      <c r="N14" s="365">
        <f>$B14*(SUMPRODUCT(N$30:N$32,$C$26:$C$28))</f>
        <v>0</v>
      </c>
      <c r="O14" s="378">
        <f t="shared" si="0"/>
        <v>0</v>
      </c>
      <c r="P14" s="379">
        <f t="shared" si="0"/>
        <v>0</v>
      </c>
      <c r="Q14" s="379">
        <f t="shared" si="0"/>
        <v>0</v>
      </c>
      <c r="R14" s="379">
        <f t="shared" si="0"/>
        <v>0</v>
      </c>
      <c r="S14" s="379">
        <f t="shared" si="0"/>
        <v>0</v>
      </c>
      <c r="T14" s="379">
        <f t="shared" si="0"/>
        <v>0</v>
      </c>
      <c r="U14" s="379">
        <f t="shared" si="0"/>
        <v>0</v>
      </c>
      <c r="V14" s="379">
        <f t="shared" si="0"/>
        <v>0</v>
      </c>
      <c r="W14" s="379">
        <f t="shared" si="0"/>
        <v>0</v>
      </c>
      <c r="X14" s="379">
        <f t="shared" si="0"/>
        <v>0</v>
      </c>
      <c r="Y14" s="379">
        <f t="shared" si="0"/>
        <v>0</v>
      </c>
      <c r="Z14" s="380">
        <f t="shared" si="0"/>
        <v>0</v>
      </c>
      <c r="AA14" s="363">
        <f t="shared" si="1"/>
        <v>0</v>
      </c>
      <c r="AB14" s="364">
        <f t="shared" si="1"/>
        <v>0</v>
      </c>
      <c r="AC14" s="364">
        <f t="shared" si="1"/>
        <v>0</v>
      </c>
      <c r="AD14" s="364">
        <f t="shared" si="1"/>
        <v>0</v>
      </c>
      <c r="AE14" s="364">
        <f t="shared" si="1"/>
        <v>0</v>
      </c>
      <c r="AF14" s="364">
        <f t="shared" si="1"/>
        <v>0</v>
      </c>
      <c r="AG14" s="364">
        <f t="shared" si="1"/>
        <v>0</v>
      </c>
      <c r="AH14" s="364">
        <f t="shared" si="1"/>
        <v>0</v>
      </c>
      <c r="AI14" s="364">
        <f t="shared" si="1"/>
        <v>0</v>
      </c>
      <c r="AJ14" s="364">
        <f t="shared" si="1"/>
        <v>0</v>
      </c>
      <c r="AK14" s="364">
        <f t="shared" si="1"/>
        <v>0</v>
      </c>
      <c r="AL14" s="365">
        <f t="shared" si="1"/>
        <v>0</v>
      </c>
      <c r="AM14" s="378">
        <f t="shared" si="2"/>
        <v>0</v>
      </c>
      <c r="AN14" s="379">
        <f t="shared" si="2"/>
        <v>0</v>
      </c>
      <c r="AO14" s="379">
        <f t="shared" si="2"/>
        <v>0</v>
      </c>
      <c r="AP14" s="379">
        <f t="shared" si="2"/>
        <v>0</v>
      </c>
      <c r="AQ14" s="379">
        <f t="shared" si="2"/>
        <v>0</v>
      </c>
      <c r="AR14" s="379">
        <f t="shared" si="2"/>
        <v>0</v>
      </c>
      <c r="AS14" s="379">
        <f t="shared" si="2"/>
        <v>0</v>
      </c>
      <c r="AT14" s="379">
        <f t="shared" si="2"/>
        <v>0</v>
      </c>
      <c r="AU14" s="379">
        <f t="shared" si="2"/>
        <v>0</v>
      </c>
      <c r="AV14" s="379">
        <f t="shared" si="2"/>
        <v>0</v>
      </c>
      <c r="AW14" s="379">
        <f t="shared" si="2"/>
        <v>0</v>
      </c>
      <c r="AX14" s="380">
        <f t="shared" si="2"/>
        <v>0</v>
      </c>
      <c r="AY14" s="392">
        <f t="shared" si="4"/>
        <v>0</v>
      </c>
      <c r="AZ14" s="399">
        <f t="shared" si="5"/>
        <v>0</v>
      </c>
      <c r="BA14" s="399">
        <f t="shared" si="6"/>
        <v>0</v>
      </c>
      <c r="BB14" s="533">
        <f t="shared" si="7"/>
        <v>0</v>
      </c>
    </row>
    <row r="15" spans="1:54" x14ac:dyDescent="0.25">
      <c r="A15" s="18">
        <v>44835</v>
      </c>
      <c r="B15" s="97">
        <f>'6. 2022 Installed kWh Savings'!H15</f>
        <v>0</v>
      </c>
      <c r="C15" s="364"/>
      <c r="D15" s="364"/>
      <c r="E15" s="364"/>
      <c r="F15" s="364"/>
      <c r="G15" s="364"/>
      <c r="H15" s="364"/>
      <c r="I15" s="364"/>
      <c r="J15" s="364"/>
      <c r="K15" s="364"/>
      <c r="L15" s="364">
        <f>$B15*(SUMPRODUCT(L$30:L$32,$C$26:$C$28))/2</f>
        <v>0</v>
      </c>
      <c r="M15" s="364">
        <f>$B15*(SUMPRODUCT(M$30:M$32,$C$26:$C$28))</f>
        <v>0</v>
      </c>
      <c r="N15" s="365">
        <f>$B15*(SUMPRODUCT(N$30:N$32,$C$26:$C$28))</f>
        <v>0</v>
      </c>
      <c r="O15" s="378">
        <f t="shared" si="0"/>
        <v>0</v>
      </c>
      <c r="P15" s="379">
        <f t="shared" si="0"/>
        <v>0</v>
      </c>
      <c r="Q15" s="379">
        <f t="shared" si="0"/>
        <v>0</v>
      </c>
      <c r="R15" s="379">
        <f t="shared" si="0"/>
        <v>0</v>
      </c>
      <c r="S15" s="379">
        <f t="shared" si="0"/>
        <v>0</v>
      </c>
      <c r="T15" s="379">
        <f t="shared" si="0"/>
        <v>0</v>
      </c>
      <c r="U15" s="379">
        <f t="shared" si="0"/>
        <v>0</v>
      </c>
      <c r="V15" s="379">
        <f t="shared" si="0"/>
        <v>0</v>
      </c>
      <c r="W15" s="379">
        <f t="shared" si="0"/>
        <v>0</v>
      </c>
      <c r="X15" s="379">
        <f t="shared" si="0"/>
        <v>0</v>
      </c>
      <c r="Y15" s="379">
        <f t="shared" si="0"/>
        <v>0</v>
      </c>
      <c r="Z15" s="380">
        <f t="shared" si="0"/>
        <v>0</v>
      </c>
      <c r="AA15" s="363">
        <f t="shared" si="1"/>
        <v>0</v>
      </c>
      <c r="AB15" s="364">
        <f t="shared" si="1"/>
        <v>0</v>
      </c>
      <c r="AC15" s="364">
        <f t="shared" si="1"/>
        <v>0</v>
      </c>
      <c r="AD15" s="364">
        <f t="shared" si="1"/>
        <v>0</v>
      </c>
      <c r="AE15" s="364">
        <f t="shared" si="1"/>
        <v>0</v>
      </c>
      <c r="AF15" s="364">
        <f t="shared" si="1"/>
        <v>0</v>
      </c>
      <c r="AG15" s="364">
        <f t="shared" si="1"/>
        <v>0</v>
      </c>
      <c r="AH15" s="364">
        <f t="shared" si="1"/>
        <v>0</v>
      </c>
      <c r="AI15" s="364">
        <f t="shared" si="1"/>
        <v>0</v>
      </c>
      <c r="AJ15" s="364">
        <f t="shared" si="1"/>
        <v>0</v>
      </c>
      <c r="AK15" s="364">
        <f t="shared" si="1"/>
        <v>0</v>
      </c>
      <c r="AL15" s="365">
        <f t="shared" si="1"/>
        <v>0</v>
      </c>
      <c r="AM15" s="378">
        <f t="shared" si="2"/>
        <v>0</v>
      </c>
      <c r="AN15" s="379">
        <f t="shared" si="2"/>
        <v>0</v>
      </c>
      <c r="AO15" s="379">
        <f t="shared" si="2"/>
        <v>0</v>
      </c>
      <c r="AP15" s="379">
        <f t="shared" si="2"/>
        <v>0</v>
      </c>
      <c r="AQ15" s="379">
        <f t="shared" si="2"/>
        <v>0</v>
      </c>
      <c r="AR15" s="379">
        <f t="shared" si="2"/>
        <v>0</v>
      </c>
      <c r="AS15" s="379">
        <f t="shared" si="2"/>
        <v>0</v>
      </c>
      <c r="AT15" s="379">
        <f t="shared" si="2"/>
        <v>0</v>
      </c>
      <c r="AU15" s="379">
        <f t="shared" si="2"/>
        <v>0</v>
      </c>
      <c r="AV15" s="379">
        <f t="shared" si="2"/>
        <v>0</v>
      </c>
      <c r="AW15" s="379">
        <f t="shared" si="2"/>
        <v>0</v>
      </c>
      <c r="AX15" s="380">
        <f t="shared" si="2"/>
        <v>0</v>
      </c>
      <c r="AY15" s="392">
        <f t="shared" si="4"/>
        <v>0</v>
      </c>
      <c r="AZ15" s="399">
        <f t="shared" si="5"/>
        <v>0</v>
      </c>
      <c r="BA15" s="399">
        <f t="shared" si="6"/>
        <v>0</v>
      </c>
      <c r="BB15" s="533">
        <f t="shared" si="7"/>
        <v>0</v>
      </c>
    </row>
    <row r="16" spans="1:54" x14ac:dyDescent="0.25">
      <c r="A16" s="18">
        <v>44866</v>
      </c>
      <c r="B16" s="97">
        <f>'6. 2022 Installed kWh Savings'!H16</f>
        <v>0</v>
      </c>
      <c r="C16" s="364"/>
      <c r="D16" s="364"/>
      <c r="E16" s="364"/>
      <c r="F16" s="364"/>
      <c r="G16" s="364"/>
      <c r="H16" s="364"/>
      <c r="I16" s="364"/>
      <c r="J16" s="364"/>
      <c r="K16" s="364"/>
      <c r="L16" s="364"/>
      <c r="M16" s="364">
        <f>$B16*(SUMPRODUCT(M$30:M$32,$C$26:$C$28))/2</f>
        <v>0</v>
      </c>
      <c r="N16" s="365">
        <f>$B16*(SUMPRODUCT(N$30:N$32,$C$26:$C$28))</f>
        <v>0</v>
      </c>
      <c r="O16" s="378">
        <f t="shared" si="0"/>
        <v>0</v>
      </c>
      <c r="P16" s="379">
        <f t="shared" si="0"/>
        <v>0</v>
      </c>
      <c r="Q16" s="379">
        <f t="shared" si="0"/>
        <v>0</v>
      </c>
      <c r="R16" s="379">
        <f t="shared" si="0"/>
        <v>0</v>
      </c>
      <c r="S16" s="379">
        <f t="shared" si="0"/>
        <v>0</v>
      </c>
      <c r="T16" s="379">
        <f t="shared" si="0"/>
        <v>0</v>
      </c>
      <c r="U16" s="379">
        <f t="shared" si="0"/>
        <v>0</v>
      </c>
      <c r="V16" s="379">
        <f t="shared" si="0"/>
        <v>0</v>
      </c>
      <c r="W16" s="379">
        <f t="shared" si="0"/>
        <v>0</v>
      </c>
      <c r="X16" s="379">
        <f t="shared" si="0"/>
        <v>0</v>
      </c>
      <c r="Y16" s="379">
        <f t="shared" si="0"/>
        <v>0</v>
      </c>
      <c r="Z16" s="380">
        <f t="shared" si="0"/>
        <v>0</v>
      </c>
      <c r="AA16" s="363">
        <f t="shared" si="1"/>
        <v>0</v>
      </c>
      <c r="AB16" s="364">
        <f t="shared" si="1"/>
        <v>0</v>
      </c>
      <c r="AC16" s="364">
        <f t="shared" si="1"/>
        <v>0</v>
      </c>
      <c r="AD16" s="364">
        <f t="shared" si="1"/>
        <v>0</v>
      </c>
      <c r="AE16" s="364">
        <f t="shared" si="1"/>
        <v>0</v>
      </c>
      <c r="AF16" s="364">
        <f t="shared" si="1"/>
        <v>0</v>
      </c>
      <c r="AG16" s="364">
        <f t="shared" si="1"/>
        <v>0</v>
      </c>
      <c r="AH16" s="364">
        <f t="shared" si="1"/>
        <v>0</v>
      </c>
      <c r="AI16" s="364">
        <f t="shared" si="1"/>
        <v>0</v>
      </c>
      <c r="AJ16" s="364">
        <f t="shared" si="1"/>
        <v>0</v>
      </c>
      <c r="AK16" s="364">
        <f t="shared" si="1"/>
        <v>0</v>
      </c>
      <c r="AL16" s="365">
        <f t="shared" si="1"/>
        <v>0</v>
      </c>
      <c r="AM16" s="378">
        <f t="shared" si="2"/>
        <v>0</v>
      </c>
      <c r="AN16" s="379">
        <f t="shared" si="2"/>
        <v>0</v>
      </c>
      <c r="AO16" s="379">
        <f t="shared" si="2"/>
        <v>0</v>
      </c>
      <c r="AP16" s="379">
        <f t="shared" si="2"/>
        <v>0</v>
      </c>
      <c r="AQ16" s="379">
        <f t="shared" si="2"/>
        <v>0</v>
      </c>
      <c r="AR16" s="379">
        <f t="shared" si="2"/>
        <v>0</v>
      </c>
      <c r="AS16" s="379">
        <f t="shared" si="2"/>
        <v>0</v>
      </c>
      <c r="AT16" s="379">
        <f t="shared" si="2"/>
        <v>0</v>
      </c>
      <c r="AU16" s="379">
        <f t="shared" si="2"/>
        <v>0</v>
      </c>
      <c r="AV16" s="379">
        <f t="shared" si="2"/>
        <v>0</v>
      </c>
      <c r="AW16" s="379">
        <f t="shared" si="2"/>
        <v>0</v>
      </c>
      <c r="AX16" s="380">
        <f t="shared" si="2"/>
        <v>0</v>
      </c>
      <c r="AY16" s="392">
        <f t="shared" si="4"/>
        <v>0</v>
      </c>
      <c r="AZ16" s="399">
        <f t="shared" si="5"/>
        <v>0</v>
      </c>
      <c r="BA16" s="399">
        <f t="shared" si="6"/>
        <v>0</v>
      </c>
      <c r="BB16" s="533">
        <f t="shared" si="7"/>
        <v>0</v>
      </c>
    </row>
    <row r="17" spans="1:54" x14ac:dyDescent="0.25">
      <c r="A17" s="18">
        <v>44896</v>
      </c>
      <c r="B17" s="98">
        <f>'6. 2022 Installed kWh Savings'!H17</f>
        <v>110954</v>
      </c>
      <c r="C17" s="364"/>
      <c r="D17" s="364"/>
      <c r="E17" s="364"/>
      <c r="F17" s="364"/>
      <c r="G17" s="364"/>
      <c r="H17" s="364"/>
      <c r="I17" s="364"/>
      <c r="J17" s="364"/>
      <c r="K17" s="364"/>
      <c r="L17" s="364"/>
      <c r="M17" s="364"/>
      <c r="N17" s="365">
        <f>$B17*(SUMPRODUCT(N$30:N$32,$C$26:$C$28))/2</f>
        <v>5839.5922354999993</v>
      </c>
      <c r="O17" s="378">
        <f>$B17*(SUMPRODUCT(O$30:O$32,$C$26:$C$28))</f>
        <v>12155.343562</v>
      </c>
      <c r="P17" s="379">
        <f t="shared" si="0"/>
        <v>10165.328094999999</v>
      </c>
      <c r="Q17" s="379">
        <f t="shared" si="0"/>
        <v>7653.7733509999998</v>
      </c>
      <c r="R17" s="379">
        <f t="shared" si="0"/>
        <v>4079.3902410000001</v>
      </c>
      <c r="S17" s="379">
        <f t="shared" si="0"/>
        <v>4579.8482579999991</v>
      </c>
      <c r="T17" s="379">
        <f t="shared" si="0"/>
        <v>11724.120841000002</v>
      </c>
      <c r="U17" s="379">
        <f t="shared" si="0"/>
        <v>15799.128399000001</v>
      </c>
      <c r="V17" s="379">
        <f t="shared" si="0"/>
        <v>15021.784674999999</v>
      </c>
      <c r="W17" s="379">
        <f t="shared" si="0"/>
        <v>7512.362478</v>
      </c>
      <c r="X17" s="379">
        <f t="shared" si="0"/>
        <v>4073.8980179999999</v>
      </c>
      <c r="Y17" s="379">
        <f t="shared" si="0"/>
        <v>6509.8376109999999</v>
      </c>
      <c r="Z17" s="380">
        <f t="shared" si="0"/>
        <v>11679.184470999999</v>
      </c>
      <c r="AA17" s="363">
        <f>$B17*(SUMPRODUCT(AA$30:AA$32,$C$26:$C$28))</f>
        <v>12155.343562</v>
      </c>
      <c r="AB17" s="364">
        <f t="shared" si="1"/>
        <v>10165.328094999999</v>
      </c>
      <c r="AC17" s="364">
        <f t="shared" si="1"/>
        <v>7653.7733509999998</v>
      </c>
      <c r="AD17" s="364">
        <f t="shared" si="1"/>
        <v>4079.3902410000001</v>
      </c>
      <c r="AE17" s="364">
        <f t="shared" si="1"/>
        <v>4579.8482579999991</v>
      </c>
      <c r="AF17" s="364">
        <f t="shared" si="1"/>
        <v>11724.120841000002</v>
      </c>
      <c r="AG17" s="364">
        <f t="shared" si="1"/>
        <v>15799.128399000001</v>
      </c>
      <c r="AH17" s="364">
        <f t="shared" si="1"/>
        <v>15021.784674999999</v>
      </c>
      <c r="AI17" s="364">
        <f t="shared" si="1"/>
        <v>7512.362478</v>
      </c>
      <c r="AJ17" s="364">
        <f t="shared" si="1"/>
        <v>4073.8980179999999</v>
      </c>
      <c r="AK17" s="364">
        <f t="shared" si="1"/>
        <v>6509.8376109999999</v>
      </c>
      <c r="AL17" s="365">
        <f t="shared" si="1"/>
        <v>11679.184470999999</v>
      </c>
      <c r="AM17" s="378">
        <f>$B17*(SUMPRODUCT(AM$30:AM$32,$C$26:$C$28))</f>
        <v>12155.343562</v>
      </c>
      <c r="AN17" s="379">
        <f t="shared" si="2"/>
        <v>10165.328094999999</v>
      </c>
      <c r="AO17" s="379">
        <f t="shared" si="2"/>
        <v>7653.7733509999998</v>
      </c>
      <c r="AP17" s="379">
        <f t="shared" si="2"/>
        <v>4079.3902410000001</v>
      </c>
      <c r="AQ17" s="379">
        <f t="shared" si="2"/>
        <v>4579.8482579999991</v>
      </c>
      <c r="AR17" s="379">
        <f t="shared" si="2"/>
        <v>11724.120841000002</v>
      </c>
      <c r="AS17" s="379">
        <f t="shared" si="2"/>
        <v>15799.128399000001</v>
      </c>
      <c r="AT17" s="379">
        <f t="shared" si="2"/>
        <v>15021.784674999999</v>
      </c>
      <c r="AU17" s="379">
        <f t="shared" si="2"/>
        <v>7512.362478</v>
      </c>
      <c r="AV17" s="379">
        <f t="shared" si="2"/>
        <v>4073.8980179999999</v>
      </c>
      <c r="AW17" s="379">
        <f t="shared" si="2"/>
        <v>6509.8376109999999</v>
      </c>
      <c r="AX17" s="380">
        <f t="shared" si="2"/>
        <v>11679.184470999999</v>
      </c>
      <c r="AY17" s="392">
        <f t="shared" si="4"/>
        <v>5839.5922354999993</v>
      </c>
      <c r="AZ17" s="399">
        <f t="shared" si="5"/>
        <v>110953.99999999999</v>
      </c>
      <c r="BA17" s="399">
        <f t="shared" si="6"/>
        <v>110953.99999999999</v>
      </c>
      <c r="BB17" s="533">
        <f t="shared" si="7"/>
        <v>110953.99999999999</v>
      </c>
    </row>
    <row r="18" spans="1:54" x14ac:dyDescent="0.25">
      <c r="A18" s="18"/>
      <c r="B18" s="20"/>
      <c r="C18" s="363"/>
      <c r="D18" s="364"/>
      <c r="E18" s="364"/>
      <c r="F18" s="364"/>
      <c r="G18" s="364"/>
      <c r="H18" s="364"/>
      <c r="I18" s="364"/>
      <c r="J18" s="364"/>
      <c r="K18" s="364"/>
      <c r="L18" s="364"/>
      <c r="M18" s="364"/>
      <c r="N18" s="365"/>
      <c r="O18" s="378"/>
      <c r="P18" s="379"/>
      <c r="Q18" s="379"/>
      <c r="R18" s="379"/>
      <c r="S18" s="379"/>
      <c r="T18" s="379"/>
      <c r="U18" s="379"/>
      <c r="V18" s="379"/>
      <c r="W18" s="379"/>
      <c r="X18" s="379"/>
      <c r="Y18" s="379"/>
      <c r="Z18" s="380"/>
      <c r="AA18" s="363"/>
      <c r="AB18" s="364"/>
      <c r="AC18" s="364"/>
      <c r="AD18" s="364"/>
      <c r="AE18" s="364"/>
      <c r="AF18" s="364"/>
      <c r="AG18" s="364"/>
      <c r="AH18" s="364"/>
      <c r="AI18" s="364"/>
      <c r="AJ18" s="364"/>
      <c r="AK18" s="364"/>
      <c r="AL18" s="365"/>
      <c r="AM18" s="378"/>
      <c r="AN18" s="379"/>
      <c r="AO18" s="379"/>
      <c r="AP18" s="379"/>
      <c r="AQ18" s="379"/>
      <c r="AR18" s="379"/>
      <c r="AS18" s="379"/>
      <c r="AT18" s="379"/>
      <c r="AU18" s="379"/>
      <c r="AV18" s="379"/>
      <c r="AW18" s="379"/>
      <c r="AX18" s="380"/>
      <c r="AY18" s="392"/>
      <c r="AZ18" s="399"/>
      <c r="BA18" s="399"/>
      <c r="BB18" s="534"/>
    </row>
    <row r="19" spans="1:54" x14ac:dyDescent="0.25">
      <c r="A19" s="88" t="s">
        <v>34</v>
      </c>
      <c r="B19" s="20">
        <f>SUM(B6:B17)</f>
        <v>110954</v>
      </c>
      <c r="C19" s="447">
        <f t="shared" ref="C19:Z19" si="12">SUM(C6:C17)</f>
        <v>0</v>
      </c>
      <c r="D19" s="448">
        <f t="shared" si="12"/>
        <v>0</v>
      </c>
      <c r="E19" s="448">
        <f t="shared" si="12"/>
        <v>0</v>
      </c>
      <c r="F19" s="448">
        <f t="shared" si="12"/>
        <v>0</v>
      </c>
      <c r="G19" s="448">
        <f t="shared" si="12"/>
        <v>0</v>
      </c>
      <c r="H19" s="448">
        <f t="shared" si="12"/>
        <v>0</v>
      </c>
      <c r="I19" s="448">
        <f t="shared" si="12"/>
        <v>0</v>
      </c>
      <c r="J19" s="448">
        <f t="shared" si="12"/>
        <v>0</v>
      </c>
      <c r="K19" s="448">
        <f t="shared" si="12"/>
        <v>0</v>
      </c>
      <c r="L19" s="448">
        <f t="shared" si="12"/>
        <v>0</v>
      </c>
      <c r="M19" s="448">
        <f t="shared" si="12"/>
        <v>0</v>
      </c>
      <c r="N19" s="449">
        <f t="shared" si="12"/>
        <v>5839.5922354999993</v>
      </c>
      <c r="O19" s="425">
        <f t="shared" si="12"/>
        <v>12155.343562</v>
      </c>
      <c r="P19" s="426">
        <f t="shared" si="12"/>
        <v>10165.328094999999</v>
      </c>
      <c r="Q19" s="426">
        <f t="shared" si="12"/>
        <v>7653.7733509999998</v>
      </c>
      <c r="R19" s="426">
        <f t="shared" si="12"/>
        <v>4079.3902410000001</v>
      </c>
      <c r="S19" s="426">
        <f t="shared" si="12"/>
        <v>4579.8482579999991</v>
      </c>
      <c r="T19" s="426">
        <f t="shared" si="12"/>
        <v>11724.120841000002</v>
      </c>
      <c r="U19" s="426">
        <f t="shared" si="12"/>
        <v>15799.128399000001</v>
      </c>
      <c r="V19" s="426">
        <f t="shared" si="12"/>
        <v>15021.784674999999</v>
      </c>
      <c r="W19" s="426">
        <f t="shared" si="12"/>
        <v>7512.362478</v>
      </c>
      <c r="X19" s="426">
        <f t="shared" si="12"/>
        <v>4073.8980179999999</v>
      </c>
      <c r="Y19" s="426">
        <f t="shared" si="12"/>
        <v>6509.8376109999999</v>
      </c>
      <c r="Z19" s="427">
        <f t="shared" si="12"/>
        <v>11679.184470999999</v>
      </c>
      <c r="AA19" s="447">
        <f t="shared" ref="AA19:BA19" si="13">SUM(AA6:AA17)</f>
        <v>12155.343562</v>
      </c>
      <c r="AB19" s="448">
        <f t="shared" si="13"/>
        <v>10165.328094999999</v>
      </c>
      <c r="AC19" s="448">
        <f t="shared" si="13"/>
        <v>7653.7733509999998</v>
      </c>
      <c r="AD19" s="448">
        <f t="shared" si="13"/>
        <v>4079.3902410000001</v>
      </c>
      <c r="AE19" s="448">
        <f t="shared" si="13"/>
        <v>4579.8482579999991</v>
      </c>
      <c r="AF19" s="448">
        <f t="shared" si="13"/>
        <v>11724.120841000002</v>
      </c>
      <c r="AG19" s="448">
        <f t="shared" si="13"/>
        <v>15799.128399000001</v>
      </c>
      <c r="AH19" s="448">
        <f t="shared" si="13"/>
        <v>15021.784674999999</v>
      </c>
      <c r="AI19" s="448">
        <f t="shared" si="13"/>
        <v>7512.362478</v>
      </c>
      <c r="AJ19" s="448">
        <f t="shared" si="13"/>
        <v>4073.8980179999999</v>
      </c>
      <c r="AK19" s="448">
        <f t="shared" si="13"/>
        <v>6509.8376109999999</v>
      </c>
      <c r="AL19" s="449">
        <f t="shared" si="13"/>
        <v>11679.184470999999</v>
      </c>
      <c r="AM19" s="425">
        <f t="shared" ref="AM19:AX19" si="14">SUM(AM6:AM17)</f>
        <v>12155.343562</v>
      </c>
      <c r="AN19" s="426">
        <f t="shared" si="14"/>
        <v>10165.328094999999</v>
      </c>
      <c r="AO19" s="426">
        <f t="shared" si="14"/>
        <v>7653.7733509999998</v>
      </c>
      <c r="AP19" s="426">
        <f t="shared" si="14"/>
        <v>4079.3902410000001</v>
      </c>
      <c r="AQ19" s="426">
        <f t="shared" si="14"/>
        <v>4579.8482579999991</v>
      </c>
      <c r="AR19" s="426">
        <f t="shared" si="14"/>
        <v>11724.120841000002</v>
      </c>
      <c r="AS19" s="426">
        <f t="shared" si="14"/>
        <v>15799.128399000001</v>
      </c>
      <c r="AT19" s="426">
        <f t="shared" si="14"/>
        <v>15021.784674999999</v>
      </c>
      <c r="AU19" s="426">
        <f t="shared" si="14"/>
        <v>7512.362478</v>
      </c>
      <c r="AV19" s="426">
        <f t="shared" si="14"/>
        <v>4073.8980179999999</v>
      </c>
      <c r="AW19" s="426">
        <f t="shared" si="14"/>
        <v>6509.8376109999999</v>
      </c>
      <c r="AX19" s="427">
        <f t="shared" si="14"/>
        <v>11679.184470999999</v>
      </c>
      <c r="AY19" s="397">
        <f t="shared" si="13"/>
        <v>5839.5922354999993</v>
      </c>
      <c r="AZ19" s="411">
        <f t="shared" si="13"/>
        <v>110953.99999999999</v>
      </c>
      <c r="BA19" s="398">
        <f t="shared" si="13"/>
        <v>110953.99999999999</v>
      </c>
      <c r="BB19" s="535">
        <f t="shared" ref="BB19" si="15">SUM(BB6:BB17)</f>
        <v>110953.99999999999</v>
      </c>
    </row>
    <row r="20" spans="1:54" x14ac:dyDescent="0.25">
      <c r="A20" s="88" t="s">
        <v>38</v>
      </c>
      <c r="B20" s="733">
        <f>'Step Adjustments'!$F$7</f>
        <v>0.7</v>
      </c>
      <c r="C20" s="366"/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8"/>
      <c r="O20" s="381"/>
      <c r="P20" s="382"/>
      <c r="Q20" s="382"/>
      <c r="R20" s="382"/>
      <c r="S20" s="382"/>
      <c r="T20" s="382"/>
      <c r="U20" s="382"/>
      <c r="V20" s="382"/>
      <c r="W20" s="382"/>
      <c r="X20" s="382"/>
      <c r="Y20" s="382"/>
      <c r="Z20" s="383"/>
      <c r="AA20" s="366"/>
      <c r="AB20" s="367"/>
      <c r="AC20" s="367"/>
      <c r="AD20" s="367"/>
      <c r="AE20" s="367"/>
      <c r="AF20" s="367"/>
      <c r="AG20" s="367"/>
      <c r="AH20" s="367"/>
      <c r="AI20" s="367"/>
      <c r="AJ20" s="367"/>
      <c r="AK20" s="367"/>
      <c r="AL20" s="368"/>
      <c r="AM20" s="381"/>
      <c r="AN20" s="382"/>
      <c r="AO20" s="382"/>
      <c r="AP20" s="382"/>
      <c r="AQ20" s="382"/>
      <c r="AR20" s="382"/>
      <c r="AS20" s="382"/>
      <c r="AT20" s="382"/>
      <c r="AU20" s="382"/>
      <c r="AV20" s="382"/>
      <c r="AW20" s="382"/>
      <c r="AX20" s="383"/>
      <c r="AY20" s="393"/>
      <c r="AZ20" s="400"/>
      <c r="BA20" s="394"/>
      <c r="BB20" s="394"/>
    </row>
    <row r="21" spans="1:54" x14ac:dyDescent="0.25">
      <c r="A21" s="88" t="s">
        <v>36</v>
      </c>
      <c r="B21" s="20"/>
      <c r="C21" s="369">
        <f>$E$38</f>
        <v>9.0389999999999998E-2</v>
      </c>
      <c r="D21" s="360">
        <f>$E$38</f>
        <v>9.0389999999999998E-2</v>
      </c>
      <c r="E21" s="360">
        <f>$E$38</f>
        <v>9.0389999999999998E-2</v>
      </c>
      <c r="F21" s="360">
        <f>$E$38</f>
        <v>9.0389999999999998E-2</v>
      </c>
      <c r="G21" s="360">
        <f>$E$38</f>
        <v>9.0389999999999998E-2</v>
      </c>
      <c r="H21" s="406">
        <f>E38*0.5+J37*0.5</f>
        <v>0.10798999999999999</v>
      </c>
      <c r="I21" s="360">
        <f>$J$37</f>
        <v>0.12558999999999998</v>
      </c>
      <c r="J21" s="360">
        <f>$J$37</f>
        <v>0.12558999999999998</v>
      </c>
      <c r="K21" s="360">
        <f>$J$37</f>
        <v>0.12558999999999998</v>
      </c>
      <c r="L21" s="406">
        <f>J37*0.5+J38*0.5</f>
        <v>0.11854499999999998</v>
      </c>
      <c r="M21" s="360">
        <f t="shared" ref="M21:S21" si="16">$P$38</f>
        <v>0.11245222420482009</v>
      </c>
      <c r="N21" s="370">
        <f t="shared" si="16"/>
        <v>0.11245222420482009</v>
      </c>
      <c r="O21" s="384">
        <f t="shared" si="16"/>
        <v>0.11245222420482009</v>
      </c>
      <c r="P21" s="374">
        <f t="shared" si="16"/>
        <v>0.11245222420482009</v>
      </c>
      <c r="Q21" s="374">
        <f t="shared" si="16"/>
        <v>0.11245222420482009</v>
      </c>
      <c r="R21" s="374">
        <f t="shared" si="16"/>
        <v>0.11245222420482009</v>
      </c>
      <c r="S21" s="374">
        <f t="shared" si="16"/>
        <v>0.11245222420482009</v>
      </c>
      <c r="T21" s="374">
        <f>$P$37*0.5+$P$38*0.5</f>
        <v>0.11879222420482011</v>
      </c>
      <c r="U21" s="374">
        <f>$P$37</f>
        <v>0.12513222420482012</v>
      </c>
      <c r="V21" s="374">
        <f>$P$37</f>
        <v>0.12513222420482012</v>
      </c>
      <c r="W21" s="374">
        <f>$P$37</f>
        <v>0.12513222420482012</v>
      </c>
      <c r="X21" s="374">
        <f>P37*0.5+P38*0.5</f>
        <v>0.11879222420482011</v>
      </c>
      <c r="Y21" s="374">
        <f>$P$38</f>
        <v>0.11245222420482009</v>
      </c>
      <c r="Z21" s="385">
        <f>$P$38</f>
        <v>0.11245222420482009</v>
      </c>
      <c r="AA21" s="369">
        <f t="shared" ref="AA21:AE21" si="17">$P$38</f>
        <v>0.11245222420482009</v>
      </c>
      <c r="AB21" s="360">
        <f t="shared" si="17"/>
        <v>0.11245222420482009</v>
      </c>
      <c r="AC21" s="360">
        <f t="shared" si="17"/>
        <v>0.11245222420482009</v>
      </c>
      <c r="AD21" s="360">
        <f t="shared" si="17"/>
        <v>0.11245222420482009</v>
      </c>
      <c r="AE21" s="360">
        <f t="shared" si="17"/>
        <v>0.11245222420482009</v>
      </c>
      <c r="AF21" s="360">
        <f>$P$37*0.5+$P$38*0.5</f>
        <v>0.11879222420482011</v>
      </c>
      <c r="AG21" s="360">
        <f>$P$37</f>
        <v>0.12513222420482012</v>
      </c>
      <c r="AH21" s="360">
        <f>$P$37</f>
        <v>0.12513222420482012</v>
      </c>
      <c r="AI21" s="360">
        <f>$P$37</f>
        <v>0.12513222420482012</v>
      </c>
      <c r="AJ21" s="360">
        <f>$P$37*0.5+$P$38*0.5</f>
        <v>0.11879222420482011</v>
      </c>
      <c r="AK21" s="360">
        <f>$P$38</f>
        <v>0.11245222420482009</v>
      </c>
      <c r="AL21" s="370">
        <f>$P$38</f>
        <v>0.11245222420482009</v>
      </c>
      <c r="AM21" s="384">
        <f t="shared" ref="AM21:AQ21" si="18">$P$38</f>
        <v>0.11245222420482009</v>
      </c>
      <c r="AN21" s="374">
        <f t="shared" si="18"/>
        <v>0.11245222420482009</v>
      </c>
      <c r="AO21" s="374">
        <f t="shared" si="18"/>
        <v>0.11245222420482009</v>
      </c>
      <c r="AP21" s="374">
        <f t="shared" si="18"/>
        <v>0.11245222420482009</v>
      </c>
      <c r="AQ21" s="374">
        <f t="shared" si="18"/>
        <v>0.11245222420482009</v>
      </c>
      <c r="AR21" s="374">
        <f>$P$37*0.5+$P$38*0.5</f>
        <v>0.11879222420482011</v>
      </c>
      <c r="AS21" s="374">
        <f>$P$37</f>
        <v>0.12513222420482012</v>
      </c>
      <c r="AT21" s="374">
        <f>$P$37</f>
        <v>0.12513222420482012</v>
      </c>
      <c r="AU21" s="374">
        <f>$P$37</f>
        <v>0.12513222420482012</v>
      </c>
      <c r="AV21" s="374">
        <f>$P$37*0.5+$P$38*0.5</f>
        <v>0.11879222420482011</v>
      </c>
      <c r="AW21" s="374">
        <f>$P$38</f>
        <v>0.11245222420482009</v>
      </c>
      <c r="AX21" s="385">
        <f>$P$38</f>
        <v>0.11245222420482009</v>
      </c>
      <c r="AY21" s="395"/>
      <c r="AZ21" s="401"/>
      <c r="BA21" s="396"/>
      <c r="BB21" s="396"/>
    </row>
    <row r="22" spans="1:54" x14ac:dyDescent="0.25">
      <c r="A22" s="354" t="s">
        <v>37</v>
      </c>
      <c r="B22" s="21"/>
      <c r="C22" s="371">
        <f t="shared" ref="C22:Z22" si="19">C19*$B$20*C21</f>
        <v>0</v>
      </c>
      <c r="D22" s="372">
        <f t="shared" si="19"/>
        <v>0</v>
      </c>
      <c r="E22" s="372">
        <f t="shared" si="19"/>
        <v>0</v>
      </c>
      <c r="F22" s="372">
        <f t="shared" si="19"/>
        <v>0</v>
      </c>
      <c r="G22" s="372">
        <f t="shared" si="19"/>
        <v>0</v>
      </c>
      <c r="H22" s="372">
        <f t="shared" si="19"/>
        <v>0</v>
      </c>
      <c r="I22" s="372">
        <f t="shared" si="19"/>
        <v>0</v>
      </c>
      <c r="J22" s="372">
        <f t="shared" si="19"/>
        <v>0</v>
      </c>
      <c r="K22" s="372">
        <f t="shared" si="19"/>
        <v>0</v>
      </c>
      <c r="L22" s="372">
        <f t="shared" si="19"/>
        <v>0</v>
      </c>
      <c r="M22" s="372">
        <f t="shared" si="19"/>
        <v>0</v>
      </c>
      <c r="N22" s="373">
        <f t="shared" si="19"/>
        <v>459.67259473182071</v>
      </c>
      <c r="O22" s="386">
        <f t="shared" si="19"/>
        <v>956.82679366444825</v>
      </c>
      <c r="P22" s="387">
        <f t="shared" si="19"/>
        <v>800.17962783814755</v>
      </c>
      <c r="Q22" s="387">
        <f t="shared" si="19"/>
        <v>602.47868581567047</v>
      </c>
      <c r="R22" s="387">
        <f t="shared" si="19"/>
        <v>321.11555419992095</v>
      </c>
      <c r="S22" s="387">
        <f t="shared" si="19"/>
        <v>360.50988619286943</v>
      </c>
      <c r="T22" s="387">
        <f t="shared" si="19"/>
        <v>974.91407408393331</v>
      </c>
      <c r="U22" s="387">
        <f t="shared" si="19"/>
        <v>1383.8860539450861</v>
      </c>
      <c r="V22" s="387">
        <f t="shared" si="19"/>
        <v>1315.7965295360416</v>
      </c>
      <c r="W22" s="387">
        <f t="shared" si="19"/>
        <v>658.02703813348182</v>
      </c>
      <c r="X22" s="387">
        <f t="shared" si="19"/>
        <v>338.76318471927976</v>
      </c>
      <c r="Y22" s="387">
        <f t="shared" si="19"/>
        <v>512.43200299839975</v>
      </c>
      <c r="Z22" s="388">
        <f t="shared" si="19"/>
        <v>919.34518946364142</v>
      </c>
      <c r="AA22" s="371">
        <f t="shared" ref="AA22:AL22" si="20">AA19*$B$20*AA21</f>
        <v>956.82679366444825</v>
      </c>
      <c r="AB22" s="372">
        <f t="shared" si="20"/>
        <v>800.17962783814755</v>
      </c>
      <c r="AC22" s="372">
        <f t="shared" si="20"/>
        <v>602.47868581567047</v>
      </c>
      <c r="AD22" s="372">
        <f t="shared" si="20"/>
        <v>321.11555419992095</v>
      </c>
      <c r="AE22" s="372">
        <f t="shared" si="20"/>
        <v>360.50988619286943</v>
      </c>
      <c r="AF22" s="372">
        <f t="shared" si="20"/>
        <v>974.91407408393331</v>
      </c>
      <c r="AG22" s="372">
        <f t="shared" si="20"/>
        <v>1383.8860539450861</v>
      </c>
      <c r="AH22" s="372">
        <f t="shared" si="20"/>
        <v>1315.7965295360416</v>
      </c>
      <c r="AI22" s="372">
        <f t="shared" si="20"/>
        <v>658.02703813348182</v>
      </c>
      <c r="AJ22" s="372">
        <f t="shared" si="20"/>
        <v>338.76318471927976</v>
      </c>
      <c r="AK22" s="372">
        <f t="shared" si="20"/>
        <v>512.43200299839975</v>
      </c>
      <c r="AL22" s="373">
        <f t="shared" si="20"/>
        <v>919.34518946364142</v>
      </c>
      <c r="AM22" s="386">
        <f t="shared" ref="AM22:AX22" si="21">AM19*$B$20*AM21</f>
        <v>956.82679366444825</v>
      </c>
      <c r="AN22" s="387">
        <f t="shared" si="21"/>
        <v>800.17962783814755</v>
      </c>
      <c r="AO22" s="387">
        <f t="shared" si="21"/>
        <v>602.47868581567047</v>
      </c>
      <c r="AP22" s="387">
        <f t="shared" si="21"/>
        <v>321.11555419992095</v>
      </c>
      <c r="AQ22" s="387">
        <f t="shared" si="21"/>
        <v>360.50988619286943</v>
      </c>
      <c r="AR22" s="387">
        <f t="shared" si="21"/>
        <v>974.91407408393331</v>
      </c>
      <c r="AS22" s="387">
        <f t="shared" si="21"/>
        <v>1383.8860539450861</v>
      </c>
      <c r="AT22" s="387">
        <f t="shared" si="21"/>
        <v>1315.7965295360416</v>
      </c>
      <c r="AU22" s="387">
        <f t="shared" si="21"/>
        <v>658.02703813348182</v>
      </c>
      <c r="AV22" s="387">
        <f t="shared" si="21"/>
        <v>338.76318471927976</v>
      </c>
      <c r="AW22" s="387">
        <f t="shared" si="21"/>
        <v>512.43200299839975</v>
      </c>
      <c r="AX22" s="388">
        <f t="shared" si="21"/>
        <v>919.34518946364142</v>
      </c>
      <c r="AY22" s="397">
        <f t="shared" ref="AY22" si="22">SUM(C22:N22)</f>
        <v>459.67259473182071</v>
      </c>
      <c r="AZ22" s="411">
        <f t="shared" ref="AZ22" si="23">SUM(O22:Z22)</f>
        <v>9144.2746205909225</v>
      </c>
      <c r="BA22" s="398">
        <f t="shared" ref="BA22" si="24">SUM(AA22:AL22)</f>
        <v>9144.2746205909225</v>
      </c>
      <c r="BB22" s="398">
        <f>SUM(AM22:AX22)</f>
        <v>9144.2746205909225</v>
      </c>
    </row>
    <row r="23" spans="1:54" x14ac:dyDescent="0.25">
      <c r="A23" s="88"/>
    </row>
    <row r="24" spans="1:54" x14ac:dyDescent="0.25">
      <c r="A24" s="88"/>
    </row>
    <row r="25" spans="1:54" x14ac:dyDescent="0.25">
      <c r="A25" s="355" t="s">
        <v>39</v>
      </c>
      <c r="B25" s="276"/>
      <c r="C25" s="277"/>
      <c r="I25" s="23"/>
    </row>
    <row r="26" spans="1:54" x14ac:dyDescent="0.25">
      <c r="A26" s="356" t="s">
        <v>298</v>
      </c>
      <c r="B26" s="262"/>
      <c r="C26" s="263">
        <v>0</v>
      </c>
      <c r="I26" s="23"/>
    </row>
    <row r="27" spans="1:54" x14ac:dyDescent="0.25">
      <c r="A27" s="357" t="s">
        <v>299</v>
      </c>
      <c r="B27" s="261"/>
      <c r="C27" s="256">
        <v>0.5</v>
      </c>
      <c r="I27" s="23"/>
    </row>
    <row r="28" spans="1:54" x14ac:dyDescent="0.25">
      <c r="A28" s="358" t="s">
        <v>300</v>
      </c>
      <c r="B28" s="257"/>
      <c r="C28" s="258">
        <v>0.5</v>
      </c>
    </row>
    <row r="29" spans="1:54" x14ac:dyDescent="0.25">
      <c r="A29" s="88"/>
      <c r="C29" s="27"/>
    </row>
    <row r="30" spans="1:54" x14ac:dyDescent="0.25">
      <c r="A30" s="88" t="s">
        <v>33</v>
      </c>
      <c r="C30" s="72">
        <f t="array" ref="C30:N32">TRANSPOSE('8. Load Shapes'!B4:D15)</f>
        <v>0.10118199999999999</v>
      </c>
      <c r="D30" s="73">
        <v>8.8441000000000006E-2</v>
      </c>
      <c r="E30" s="73">
        <v>9.2879000000000003E-2</v>
      </c>
      <c r="F30" s="73">
        <v>8.4644999999999998E-2</v>
      </c>
      <c r="G30" s="73">
        <v>7.9393000000000005E-2</v>
      </c>
      <c r="H30" s="73">
        <v>6.8507999999999999E-2</v>
      </c>
      <c r="I30" s="74">
        <v>6.7863999999999994E-2</v>
      </c>
      <c r="J30" s="74">
        <v>7.0565000000000003E-2</v>
      </c>
      <c r="K30" s="74">
        <v>7.3791999999999996E-2</v>
      </c>
      <c r="L30" s="74">
        <v>8.4539000000000003E-2</v>
      </c>
      <c r="M30" s="74">
        <v>8.9880000000000002E-2</v>
      </c>
      <c r="N30" s="75">
        <v>9.8311999999999997E-2</v>
      </c>
      <c r="O30" s="72">
        <f>C30</f>
        <v>0.10118199999999999</v>
      </c>
      <c r="P30" s="73">
        <f t="shared" ref="P30:Z30" si="25">D30</f>
        <v>8.8441000000000006E-2</v>
      </c>
      <c r="Q30" s="73">
        <f t="shared" si="25"/>
        <v>9.2879000000000003E-2</v>
      </c>
      <c r="R30" s="73">
        <f t="shared" si="25"/>
        <v>8.4644999999999998E-2</v>
      </c>
      <c r="S30" s="73">
        <f t="shared" si="25"/>
        <v>7.9393000000000005E-2</v>
      </c>
      <c r="T30" s="73">
        <f t="shared" si="25"/>
        <v>6.8507999999999999E-2</v>
      </c>
      <c r="U30" s="73">
        <f t="shared" si="25"/>
        <v>6.7863999999999994E-2</v>
      </c>
      <c r="V30" s="73">
        <f t="shared" si="25"/>
        <v>7.0565000000000003E-2</v>
      </c>
      <c r="W30" s="73">
        <f t="shared" si="25"/>
        <v>7.3791999999999996E-2</v>
      </c>
      <c r="X30" s="73">
        <f t="shared" si="25"/>
        <v>8.4539000000000003E-2</v>
      </c>
      <c r="Y30" s="73">
        <f t="shared" si="25"/>
        <v>8.9880000000000002E-2</v>
      </c>
      <c r="Z30" s="191">
        <f t="shared" si="25"/>
        <v>9.8311999999999997E-2</v>
      </c>
      <c r="AA30" s="72">
        <f>O30</f>
        <v>0.10118199999999999</v>
      </c>
      <c r="AB30" s="73">
        <f t="shared" ref="AB30:AB32" si="26">P30</f>
        <v>8.8441000000000006E-2</v>
      </c>
      <c r="AC30" s="73">
        <f t="shared" ref="AC30:AC32" si="27">Q30</f>
        <v>9.2879000000000003E-2</v>
      </c>
      <c r="AD30" s="73">
        <f t="shared" ref="AD30:AD32" si="28">R30</f>
        <v>8.4644999999999998E-2</v>
      </c>
      <c r="AE30" s="73">
        <f t="shared" ref="AE30:AE32" si="29">S30</f>
        <v>7.9393000000000005E-2</v>
      </c>
      <c r="AF30" s="73">
        <f t="shared" ref="AF30:AF32" si="30">T30</f>
        <v>6.8507999999999999E-2</v>
      </c>
      <c r="AG30" s="73">
        <f t="shared" ref="AG30:AG32" si="31">U30</f>
        <v>6.7863999999999994E-2</v>
      </c>
      <c r="AH30" s="73">
        <f t="shared" ref="AH30:AH32" si="32">V30</f>
        <v>7.0565000000000003E-2</v>
      </c>
      <c r="AI30" s="73">
        <f t="shared" ref="AI30:AI32" si="33">W30</f>
        <v>7.3791999999999996E-2</v>
      </c>
      <c r="AJ30" s="73">
        <f t="shared" ref="AJ30:AJ32" si="34">X30</f>
        <v>8.4539000000000003E-2</v>
      </c>
      <c r="AK30" s="73">
        <f t="shared" ref="AK30:AK32" si="35">Y30</f>
        <v>8.9880000000000002E-2</v>
      </c>
      <c r="AL30" s="191">
        <f t="shared" ref="AL30:AL32" si="36">Z30</f>
        <v>9.8311999999999997E-2</v>
      </c>
      <c r="AM30" s="72">
        <f>AA30</f>
        <v>0.10118199999999999</v>
      </c>
      <c r="AN30" s="73">
        <f t="shared" ref="AN30:AN32" si="37">AB30</f>
        <v>8.8441000000000006E-2</v>
      </c>
      <c r="AO30" s="73">
        <f t="shared" ref="AO30:AO32" si="38">AC30</f>
        <v>9.2879000000000003E-2</v>
      </c>
      <c r="AP30" s="73">
        <f t="shared" ref="AP30:AP32" si="39">AD30</f>
        <v>8.4644999999999998E-2</v>
      </c>
      <c r="AQ30" s="73">
        <f t="shared" ref="AQ30:AQ32" si="40">AE30</f>
        <v>7.9393000000000005E-2</v>
      </c>
      <c r="AR30" s="73">
        <f t="shared" ref="AR30:AR32" si="41">AF30</f>
        <v>6.8507999999999999E-2</v>
      </c>
      <c r="AS30" s="73">
        <f t="shared" ref="AS30:AS32" si="42">AG30</f>
        <v>6.7863999999999994E-2</v>
      </c>
      <c r="AT30" s="73">
        <f t="shared" ref="AT30:AT32" si="43">AH30</f>
        <v>7.0565000000000003E-2</v>
      </c>
      <c r="AU30" s="73">
        <f t="shared" ref="AU30:AU32" si="44">AI30</f>
        <v>7.3791999999999996E-2</v>
      </c>
      <c r="AV30" s="73">
        <f t="shared" ref="AV30:AV32" si="45">AJ30</f>
        <v>8.4539000000000003E-2</v>
      </c>
      <c r="AW30" s="73">
        <f t="shared" ref="AW30:AW32" si="46">AK30</f>
        <v>8.9880000000000002E-2</v>
      </c>
      <c r="AX30" s="191">
        <f t="shared" ref="AX30:AX32" si="47">AL30</f>
        <v>9.8311999999999997E-2</v>
      </c>
      <c r="AY30" s="412"/>
      <c r="AZ30" s="412"/>
      <c r="BA30" s="412"/>
      <c r="BB30" s="412"/>
    </row>
    <row r="31" spans="1:54" x14ac:dyDescent="0.25">
      <c r="A31" s="88" t="s">
        <v>40</v>
      </c>
      <c r="C31" s="76">
        <v>0.21790599999999999</v>
      </c>
      <c r="D31" s="77">
        <v>0.18213499999999999</v>
      </c>
      <c r="E31" s="77">
        <v>0.13483300000000001</v>
      </c>
      <c r="F31" s="77">
        <v>5.8486000000000003E-2</v>
      </c>
      <c r="G31" s="77">
        <v>1.7144E-2</v>
      </c>
      <c r="H31" s="77">
        <v>5.1000000000000004E-4</v>
      </c>
      <c r="I31" s="78">
        <v>6.0000000000000002E-6</v>
      </c>
      <c r="J31" s="78">
        <v>9.0000000000000002E-6</v>
      </c>
      <c r="K31" s="78">
        <v>8.8090000000000009E-3</v>
      </c>
      <c r="L31" s="78">
        <v>5.4961999999999997E-2</v>
      </c>
      <c r="M31" s="78">
        <v>0.115899</v>
      </c>
      <c r="N31" s="79">
        <v>0.20930099999999999</v>
      </c>
      <c r="O31" s="76">
        <f t="shared" ref="O31:O32" si="48">C31</f>
        <v>0.21790599999999999</v>
      </c>
      <c r="P31" s="77">
        <f t="shared" ref="P31:P32" si="49">D31</f>
        <v>0.18213499999999999</v>
      </c>
      <c r="Q31" s="77">
        <f t="shared" ref="Q31:Q32" si="50">E31</f>
        <v>0.13483300000000001</v>
      </c>
      <c r="R31" s="77">
        <f t="shared" ref="R31:R32" si="51">F31</f>
        <v>5.8486000000000003E-2</v>
      </c>
      <c r="S31" s="77">
        <f t="shared" ref="S31:S32" si="52">G31</f>
        <v>1.7144E-2</v>
      </c>
      <c r="T31" s="77">
        <f t="shared" ref="T31:T32" si="53">H31</f>
        <v>5.1000000000000004E-4</v>
      </c>
      <c r="U31" s="77">
        <f t="shared" ref="U31:U32" si="54">I31</f>
        <v>6.0000000000000002E-6</v>
      </c>
      <c r="V31" s="77">
        <f t="shared" ref="V31:V32" si="55">J31</f>
        <v>9.0000000000000002E-6</v>
      </c>
      <c r="W31" s="77">
        <f t="shared" ref="W31:W32" si="56">K31</f>
        <v>8.8090000000000009E-3</v>
      </c>
      <c r="X31" s="77">
        <f t="shared" ref="X31:X32" si="57">L31</f>
        <v>5.4961999999999997E-2</v>
      </c>
      <c r="Y31" s="77">
        <f t="shared" ref="Y31:Y32" si="58">M31</f>
        <v>0.115899</v>
      </c>
      <c r="Z31" s="192">
        <f t="shared" ref="Z31:Z32" si="59">N31</f>
        <v>0.20930099999999999</v>
      </c>
      <c r="AA31" s="76">
        <f t="shared" ref="AA31:AA32" si="60">O31</f>
        <v>0.21790599999999999</v>
      </c>
      <c r="AB31" s="77">
        <f t="shared" si="26"/>
        <v>0.18213499999999999</v>
      </c>
      <c r="AC31" s="77">
        <f t="shared" si="27"/>
        <v>0.13483300000000001</v>
      </c>
      <c r="AD31" s="77">
        <f t="shared" si="28"/>
        <v>5.8486000000000003E-2</v>
      </c>
      <c r="AE31" s="77">
        <f t="shared" si="29"/>
        <v>1.7144E-2</v>
      </c>
      <c r="AF31" s="77">
        <f t="shared" si="30"/>
        <v>5.1000000000000004E-4</v>
      </c>
      <c r="AG31" s="77">
        <f t="shared" si="31"/>
        <v>6.0000000000000002E-6</v>
      </c>
      <c r="AH31" s="77">
        <f t="shared" si="32"/>
        <v>9.0000000000000002E-6</v>
      </c>
      <c r="AI31" s="77">
        <f t="shared" si="33"/>
        <v>8.8090000000000009E-3</v>
      </c>
      <c r="AJ31" s="77">
        <f t="shared" si="34"/>
        <v>5.4961999999999997E-2</v>
      </c>
      <c r="AK31" s="77">
        <f t="shared" si="35"/>
        <v>0.115899</v>
      </c>
      <c r="AL31" s="192">
        <f t="shared" si="36"/>
        <v>0.20930099999999999</v>
      </c>
      <c r="AM31" s="76">
        <f t="shared" ref="AM31:AM32" si="61">AA31</f>
        <v>0.21790599999999999</v>
      </c>
      <c r="AN31" s="77">
        <f t="shared" si="37"/>
        <v>0.18213499999999999</v>
      </c>
      <c r="AO31" s="77">
        <f t="shared" si="38"/>
        <v>0.13483300000000001</v>
      </c>
      <c r="AP31" s="77">
        <f t="shared" si="39"/>
        <v>5.8486000000000003E-2</v>
      </c>
      <c r="AQ31" s="77">
        <f t="shared" si="40"/>
        <v>1.7144E-2</v>
      </c>
      <c r="AR31" s="77">
        <f t="shared" si="41"/>
        <v>5.1000000000000004E-4</v>
      </c>
      <c r="AS31" s="77">
        <f t="shared" si="42"/>
        <v>6.0000000000000002E-6</v>
      </c>
      <c r="AT31" s="77">
        <f t="shared" si="43"/>
        <v>9.0000000000000002E-6</v>
      </c>
      <c r="AU31" s="77">
        <f t="shared" si="44"/>
        <v>8.8090000000000009E-3</v>
      </c>
      <c r="AV31" s="77">
        <f t="shared" si="45"/>
        <v>5.4961999999999997E-2</v>
      </c>
      <c r="AW31" s="77">
        <f t="shared" si="46"/>
        <v>0.115899</v>
      </c>
      <c r="AX31" s="192">
        <f t="shared" si="47"/>
        <v>0.20930099999999999</v>
      </c>
      <c r="AY31" s="412"/>
      <c r="AZ31" s="412"/>
      <c r="BA31" s="412"/>
      <c r="BB31" s="412"/>
    </row>
    <row r="32" spans="1:54" x14ac:dyDescent="0.25">
      <c r="A32" s="88" t="s">
        <v>41</v>
      </c>
      <c r="C32" s="80">
        <v>1.1999999999999999E-3</v>
      </c>
      <c r="D32" s="81">
        <v>1.1000000000000001E-3</v>
      </c>
      <c r="E32" s="81">
        <v>3.13E-3</v>
      </c>
      <c r="F32" s="81">
        <v>1.5047E-2</v>
      </c>
      <c r="G32" s="81">
        <v>6.5409999999999996E-2</v>
      </c>
      <c r="H32" s="81">
        <v>0.21082300000000001</v>
      </c>
      <c r="I32" s="82">
        <v>0.28478100000000001</v>
      </c>
      <c r="J32" s="82">
        <v>0.27076600000000001</v>
      </c>
      <c r="K32" s="82">
        <v>0.126605</v>
      </c>
      <c r="L32" s="82">
        <v>1.8471999999999999E-2</v>
      </c>
      <c r="M32" s="82">
        <v>1.444E-3</v>
      </c>
      <c r="N32" s="83">
        <v>1.222E-3</v>
      </c>
      <c r="O32" s="80">
        <f t="shared" si="48"/>
        <v>1.1999999999999999E-3</v>
      </c>
      <c r="P32" s="81">
        <f t="shared" si="49"/>
        <v>1.1000000000000001E-3</v>
      </c>
      <c r="Q32" s="81">
        <f t="shared" si="50"/>
        <v>3.13E-3</v>
      </c>
      <c r="R32" s="81">
        <f t="shared" si="51"/>
        <v>1.5047E-2</v>
      </c>
      <c r="S32" s="81">
        <f t="shared" si="52"/>
        <v>6.5409999999999996E-2</v>
      </c>
      <c r="T32" s="81">
        <f t="shared" si="53"/>
        <v>0.21082300000000001</v>
      </c>
      <c r="U32" s="81">
        <f t="shared" si="54"/>
        <v>0.28478100000000001</v>
      </c>
      <c r="V32" s="81">
        <f t="shared" si="55"/>
        <v>0.27076600000000001</v>
      </c>
      <c r="W32" s="81">
        <f t="shared" si="56"/>
        <v>0.126605</v>
      </c>
      <c r="X32" s="81">
        <f t="shared" si="57"/>
        <v>1.8471999999999999E-2</v>
      </c>
      <c r="Y32" s="81">
        <f t="shared" si="58"/>
        <v>1.444E-3</v>
      </c>
      <c r="Z32" s="193">
        <f t="shared" si="59"/>
        <v>1.222E-3</v>
      </c>
      <c r="AA32" s="80">
        <f t="shared" si="60"/>
        <v>1.1999999999999999E-3</v>
      </c>
      <c r="AB32" s="81">
        <f t="shared" si="26"/>
        <v>1.1000000000000001E-3</v>
      </c>
      <c r="AC32" s="81">
        <f t="shared" si="27"/>
        <v>3.13E-3</v>
      </c>
      <c r="AD32" s="81">
        <f t="shared" si="28"/>
        <v>1.5047E-2</v>
      </c>
      <c r="AE32" s="81">
        <f t="shared" si="29"/>
        <v>6.5409999999999996E-2</v>
      </c>
      <c r="AF32" s="81">
        <f t="shared" si="30"/>
        <v>0.21082300000000001</v>
      </c>
      <c r="AG32" s="81">
        <f t="shared" si="31"/>
        <v>0.28478100000000001</v>
      </c>
      <c r="AH32" s="81">
        <f t="shared" si="32"/>
        <v>0.27076600000000001</v>
      </c>
      <c r="AI32" s="81">
        <f t="shared" si="33"/>
        <v>0.126605</v>
      </c>
      <c r="AJ32" s="81">
        <f t="shared" si="34"/>
        <v>1.8471999999999999E-2</v>
      </c>
      <c r="AK32" s="81">
        <f t="shared" si="35"/>
        <v>1.444E-3</v>
      </c>
      <c r="AL32" s="193">
        <f t="shared" si="36"/>
        <v>1.222E-3</v>
      </c>
      <c r="AM32" s="80">
        <f t="shared" si="61"/>
        <v>1.1999999999999999E-3</v>
      </c>
      <c r="AN32" s="81">
        <f t="shared" si="37"/>
        <v>1.1000000000000001E-3</v>
      </c>
      <c r="AO32" s="81">
        <f t="shared" si="38"/>
        <v>3.13E-3</v>
      </c>
      <c r="AP32" s="81">
        <f t="shared" si="39"/>
        <v>1.5047E-2</v>
      </c>
      <c r="AQ32" s="81">
        <f t="shared" si="40"/>
        <v>6.5409999999999996E-2</v>
      </c>
      <c r="AR32" s="81">
        <f t="shared" si="41"/>
        <v>0.21082300000000001</v>
      </c>
      <c r="AS32" s="81">
        <f t="shared" si="42"/>
        <v>0.28478100000000001</v>
      </c>
      <c r="AT32" s="81">
        <f t="shared" si="43"/>
        <v>0.27076600000000001</v>
      </c>
      <c r="AU32" s="81">
        <f t="shared" si="44"/>
        <v>0.126605</v>
      </c>
      <c r="AV32" s="81">
        <f t="shared" si="45"/>
        <v>1.8471999999999999E-2</v>
      </c>
      <c r="AW32" s="81">
        <f t="shared" si="46"/>
        <v>1.444E-3</v>
      </c>
      <c r="AX32" s="193">
        <f t="shared" si="47"/>
        <v>1.222E-3</v>
      </c>
      <c r="AY32" s="412"/>
      <c r="AZ32" s="412"/>
      <c r="BA32" s="412"/>
      <c r="BB32" s="412"/>
    </row>
    <row r="33" spans="1:17" x14ac:dyDescent="0.25">
      <c r="A33" s="88"/>
      <c r="C33" s="24"/>
      <c r="D33" s="24"/>
      <c r="E33" s="24"/>
      <c r="F33" s="24"/>
      <c r="G33" s="24"/>
      <c r="H33" s="24"/>
      <c r="O33" s="25"/>
    </row>
    <row r="34" spans="1:17" x14ac:dyDescent="0.25">
      <c r="A34" s="88"/>
      <c r="C34" s="24"/>
      <c r="D34" s="24"/>
      <c r="E34" s="24"/>
      <c r="F34" s="24"/>
      <c r="G34" s="24"/>
      <c r="H34" s="24"/>
      <c r="O34" s="25"/>
    </row>
    <row r="35" spans="1:17" x14ac:dyDescent="0.25">
      <c r="A35" s="355"/>
      <c r="B35" s="761" t="s">
        <v>148</v>
      </c>
      <c r="C35" s="761"/>
      <c r="D35" s="761"/>
      <c r="E35" s="762"/>
      <c r="G35" s="763" t="s">
        <v>149</v>
      </c>
      <c r="H35" s="761"/>
      <c r="I35" s="761"/>
      <c r="J35" s="762"/>
      <c r="L35" s="763" t="s">
        <v>248</v>
      </c>
      <c r="M35" s="761"/>
      <c r="N35" s="761"/>
      <c r="O35" s="761"/>
      <c r="P35" s="761"/>
      <c r="Q35" s="762"/>
    </row>
    <row r="36" spans="1:17" x14ac:dyDescent="0.25">
      <c r="A36" s="87"/>
      <c r="B36" s="248" t="s">
        <v>147</v>
      </c>
      <c r="C36" s="248" t="s">
        <v>42</v>
      </c>
      <c r="D36" s="248" t="s">
        <v>43</v>
      </c>
      <c r="E36" s="158" t="s">
        <v>44</v>
      </c>
      <c r="G36" s="278" t="s">
        <v>147</v>
      </c>
      <c r="H36" s="248" t="s">
        <v>42</v>
      </c>
      <c r="I36" s="248" t="s">
        <v>43</v>
      </c>
      <c r="J36" s="158" t="s">
        <v>44</v>
      </c>
      <c r="L36" s="278" t="s">
        <v>147</v>
      </c>
      <c r="M36" s="248" t="s">
        <v>42</v>
      </c>
      <c r="N36" s="248" t="s">
        <v>43</v>
      </c>
      <c r="O36" s="248" t="s">
        <v>132</v>
      </c>
      <c r="P36" s="157" t="s">
        <v>44</v>
      </c>
      <c r="Q36" s="158"/>
    </row>
    <row r="37" spans="1:17" x14ac:dyDescent="0.25">
      <c r="A37" s="359" t="s">
        <v>45</v>
      </c>
      <c r="B37" s="265">
        <v>0.12712000000000001</v>
      </c>
      <c r="C37" s="254">
        <v>0.12712000000000001</v>
      </c>
      <c r="D37" s="255">
        <v>2.3380000000000001E-2</v>
      </c>
      <c r="E37" s="28">
        <f>SUMPRODUCT(B37:C37,B40:C40)-D37</f>
        <v>0.10374000000000001</v>
      </c>
      <c r="G37" s="265">
        <v>0.13428999999999999</v>
      </c>
      <c r="H37" s="254">
        <v>0.13428999999999999</v>
      </c>
      <c r="I37" s="255">
        <v>8.6999999999999994E-3</v>
      </c>
      <c r="J37" s="28">
        <f>SUMPRODUCT(G37:H37,G40:H40)-I37</f>
        <v>0.12558999999999998</v>
      </c>
      <c r="L37" s="265">
        <v>0.13891999999999999</v>
      </c>
      <c r="M37" s="254">
        <v>0.13891999999999999</v>
      </c>
      <c r="N37" s="254">
        <f>I37</f>
        <v>8.6999999999999994E-3</v>
      </c>
      <c r="O37" s="255">
        <v>0.02</v>
      </c>
      <c r="P37" s="28">
        <f>SUMPRODUCT(L37:M37,L40:M40)-N37-O37*$O$40</f>
        <v>0.12513222420482012</v>
      </c>
      <c r="Q37" s="60"/>
    </row>
    <row r="38" spans="1:17" x14ac:dyDescent="0.25">
      <c r="A38" s="26" t="s">
        <v>46</v>
      </c>
      <c r="B38" s="266">
        <v>0.12712000000000001</v>
      </c>
      <c r="C38" s="267">
        <v>0.11377</v>
      </c>
      <c r="D38" s="275">
        <f>+D37</f>
        <v>2.3380000000000001E-2</v>
      </c>
      <c r="E38" s="28">
        <f>SUMPRODUCT(B38:C38,B40:C40)-D38</f>
        <v>9.0389999999999998E-2</v>
      </c>
      <c r="G38" s="266">
        <v>0.13428999999999999</v>
      </c>
      <c r="H38" s="267">
        <v>0.1202</v>
      </c>
      <c r="I38" s="275">
        <f>+I37</f>
        <v>8.6999999999999994E-3</v>
      </c>
      <c r="J38" s="28">
        <f>SUMPRODUCT(G38:H38,G40:H40)-I38</f>
        <v>0.1115</v>
      </c>
      <c r="L38" s="266">
        <v>0.13891999999999999</v>
      </c>
      <c r="M38" s="267">
        <v>0.12623999999999999</v>
      </c>
      <c r="N38" s="274">
        <f>I38</f>
        <v>8.6999999999999994E-3</v>
      </c>
      <c r="O38" s="275">
        <f>+O37</f>
        <v>0.02</v>
      </c>
      <c r="P38" s="28">
        <f>SUMPRODUCT(L38:M38,L40:M40)-N38-O38*$O$40</f>
        <v>0.11245222420482009</v>
      </c>
      <c r="Q38" s="60"/>
    </row>
    <row r="39" spans="1:17" x14ac:dyDescent="0.25">
      <c r="B39" s="17"/>
    </row>
    <row r="40" spans="1:17" x14ac:dyDescent="0.25">
      <c r="B40" s="279">
        <f t="array" ref="B40:C40">TRANSPOSE('Step Adjustments'!C24:C25)</f>
        <v>0</v>
      </c>
      <c r="C40" s="280">
        <v>1</v>
      </c>
      <c r="G40" s="279">
        <f>B40</f>
        <v>0</v>
      </c>
      <c r="H40" s="280">
        <f>C40</f>
        <v>1</v>
      </c>
      <c r="L40" s="279">
        <f>B40</f>
        <v>0</v>
      </c>
      <c r="M40" s="280">
        <f>C40</f>
        <v>1</v>
      </c>
      <c r="O40" s="253">
        <v>0.25438878975899448</v>
      </c>
    </row>
  </sheetData>
  <mergeCells count="7">
    <mergeCell ref="AM1:AX1"/>
    <mergeCell ref="AA1:AL1"/>
    <mergeCell ref="C1:N1"/>
    <mergeCell ref="B35:E35"/>
    <mergeCell ref="G35:J35"/>
    <mergeCell ref="L35:Q35"/>
    <mergeCell ref="O1:Z1"/>
  </mergeCells>
  <phoneticPr fontId="30" type="noConversion"/>
  <pageMargins left="0.7" right="0.7" top="0.75" bottom="0.75" header="0.3" footer="0.3"/>
  <pageSetup orientation="portrait" r:id="rId1"/>
  <ignoredErrors>
    <ignoredError sqref="AY2:BA2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024C9DD1B7094094C32592CD2A19F6" ma:contentTypeVersion="13" ma:contentTypeDescription="Create a new document." ma:contentTypeScope="" ma:versionID="e2e05fa41becaa03939ee52ac5deca38">
  <xsd:schema xmlns:xsd="http://www.w3.org/2001/XMLSchema" xmlns:xs="http://www.w3.org/2001/XMLSchema" xmlns:p="http://schemas.microsoft.com/office/2006/metadata/properties" xmlns:ns2="de1799ee-e241-4c26-8ad6-ce0de49c00ff" xmlns:ns3="defe23fe-3364-485e-91c1-4c596886e0e9" targetNamespace="http://schemas.microsoft.com/office/2006/metadata/properties" ma:root="true" ma:fieldsID="f5ceb73e36b1a3b9960bdb3ade5cc92f" ns2:_="" ns3:_="">
    <xsd:import namespace="de1799ee-e241-4c26-8ad6-ce0de49c00ff"/>
    <xsd:import namespace="defe23fe-3364-485e-91c1-4c596886e0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1799ee-e241-4c26-8ad6-ce0de49c00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dab768c-cda7-4925-a511-6ce547cbab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fe23fe-3364-485e-91c1-4c596886e0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c24333a-1792-4690-ae99-a3e0e307c841}" ma:internalName="TaxCatchAll" ma:showField="CatchAllData" ma:web="defe23fe-3364-485e-91c1-4c596886e0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fe23fe-3364-485e-91c1-4c596886e0e9" xsi:nil="true"/>
    <lcf76f155ced4ddcb4097134ff3c332f xmlns="de1799ee-e241-4c26-8ad6-ce0de49c00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8C98FB-9CF1-4EB7-A33D-B176DB95D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315B76-5A40-4C54-AE6E-B809B9CE2E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1799ee-e241-4c26-8ad6-ce0de49c00ff"/>
    <ds:schemaRef ds:uri="defe23fe-3364-485e-91c1-4c596886e0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274853-2903-4655-8734-9FD9FF801F06}">
  <ds:schemaRefs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de1799ee-e241-4c26-8ad6-ce0de49c00ff"/>
    <ds:schemaRef ds:uri="defe23fe-3364-485e-91c1-4c596886e0e9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1</vt:i4>
      </vt:variant>
    </vt:vector>
  </HeadingPairs>
  <TitlesOfParts>
    <vt:vector size="34" baseType="lpstr">
      <vt:lpstr>DSIM Charge</vt:lpstr>
      <vt:lpstr>1. 2025 Costs &amp; kWh Savings</vt:lpstr>
      <vt:lpstr>1A. 2022-2024 Reconciliation</vt:lpstr>
      <vt:lpstr>1A. Updated</vt:lpstr>
      <vt:lpstr>2. Summary of TD</vt:lpstr>
      <vt:lpstr>2. Summary of TD (kWh)</vt:lpstr>
      <vt:lpstr>2. TD Res Lighting install 2022</vt:lpstr>
      <vt:lpstr>2. TD Res HVAC install 2022</vt:lpstr>
      <vt:lpstr>2. TD Sm C&amp;I HVAC install 2022</vt:lpstr>
      <vt:lpstr>2. TD Lg C&amp;I Light install 2022</vt:lpstr>
      <vt:lpstr>2. TD Res Lighting install 2023</vt:lpstr>
      <vt:lpstr>2. TD Res HVAC install 2023</vt:lpstr>
      <vt:lpstr>2. TD Sm C&amp;I HVAC install 2023</vt:lpstr>
      <vt:lpstr>2. TD Lg C&amp;I Light install 2023</vt:lpstr>
      <vt:lpstr>2. TD Res Lighting install 2024</vt:lpstr>
      <vt:lpstr>2. TD Res HVAC install 2024</vt:lpstr>
      <vt:lpstr>2. TD Sm C&amp;I HVAC install 2024</vt:lpstr>
      <vt:lpstr>2. TD Lg C&amp;I Light install 2024</vt:lpstr>
      <vt:lpstr>2. (Open) 2025</vt:lpstr>
      <vt:lpstr>2. TD Res THM install 2025</vt:lpstr>
      <vt:lpstr>2. TD C&amp;I Rebate GS install2025</vt:lpstr>
      <vt:lpstr>2. TD C&amp;I RebateLGS install2025</vt:lpstr>
      <vt:lpstr>3. EO Incentive</vt:lpstr>
      <vt:lpstr>Source Data &gt;&gt;</vt:lpstr>
      <vt:lpstr>4. 2024 Program Costs</vt:lpstr>
      <vt:lpstr>5. 2024 Program Collections</vt:lpstr>
      <vt:lpstr>6. 2022 Installed kWh Savings</vt:lpstr>
      <vt:lpstr>6. 2023 Installed kWh Savings</vt:lpstr>
      <vt:lpstr>6. 2024 Installed kWh Savings</vt:lpstr>
      <vt:lpstr>7. Short Term Rates</vt:lpstr>
      <vt:lpstr>8. Load Shapes</vt:lpstr>
      <vt:lpstr>9. Sales Summary</vt:lpstr>
      <vt:lpstr>Step Adjustments</vt:lpstr>
      <vt:lpstr>Company_Filing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Author</dc:creator>
  <cp:keywords/>
  <dc:description/>
  <cp:lastModifiedBy>John Kirby</cp:lastModifiedBy>
  <cp:revision/>
  <dcterms:created xsi:type="dcterms:W3CDTF">2021-02-11T20:09:28Z</dcterms:created>
  <dcterms:modified xsi:type="dcterms:W3CDTF">2025-01-31T20:37:04Z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{4CACD2E3-0FDC-499D-9340-EECB92415838}</vt:lpwstr>
  </property>
  <property fmtid="{D5CDD505-2E9C-101B-9397-08002B2CF9AE}" pid="3" name="ContentTypeId">
    <vt:lpwstr>0x010100BB024C9DD1B7094094C32592CD2A19F6</vt:lpwstr>
  </property>
  <property fmtid="{D5CDD505-2E9C-101B-9397-08002B2CF9AE}" pid="4" name="MediaServiceImageTags">
    <vt:lpwstr/>
  </property>
</Properties>
</file>