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D Burn\ELECTRIC CASES\2022 Cases\EO-2022-0040 &amp; EO-2022-0193 Hearing exhibits\Hearing Exhibits\OPC\207\"/>
    </mc:Choice>
  </mc:AlternateContent>
  <bookViews>
    <workbookView xWindow="-57720" yWindow="-120" windowWidth="29040" windowHeight="15840"/>
  </bookViews>
  <sheets>
    <sheet name="Schedule DM-R-3" sheetId="7" r:id="rId1"/>
    <sheet name="DM WP-Revised KSH-3" sheetId="6" r:id="rId2"/>
    <sheet name="KSH 1 - Bond Financing Costs" sheetId="3" r:id="rId3"/>
    <sheet name="KSH 2 Revenue Requirement" sheetId="1" r:id="rId4"/>
    <sheet name="KSH 4 - SUTC calculation" sheetId="4" r:id="rId5"/>
  </sheets>
  <externalReferences>
    <externalReference r:id="rId6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'DM WP-Revised KSH-3'!$A$1:$F$26</definedName>
    <definedName name="_xlnm.Print_Area" localSheetId="2">'KSH 1 - Bond Financing Costs'!$A$1:$C$42</definedName>
    <definedName name="_xlnm.Print_Area" localSheetId="0">'Schedule DM-R-3'!$A$1:$G$12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C12" i="7" s="1"/>
  <c r="G5" i="7"/>
  <c r="B5" i="7"/>
  <c r="A5" i="7"/>
  <c r="C7" i="7"/>
  <c r="C8" i="7" s="1"/>
  <c r="D5" i="7"/>
  <c r="E5" i="7" l="1"/>
  <c r="F5" i="7" s="1"/>
  <c r="C23" i="6"/>
  <c r="G7" i="1" l="1"/>
  <c r="F8" i="1"/>
  <c r="G8" i="1" s="1"/>
  <c r="F7" i="1"/>
  <c r="H11" i="1" l="1"/>
  <c r="H14" i="1" s="1"/>
  <c r="V19" i="4" l="1"/>
  <c r="E18" i="3" l="1"/>
  <c r="C16" i="3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D10" i="1"/>
  <c r="H10" i="1" s="1"/>
  <c r="E26" i="3" l="1"/>
  <c r="E24" i="3"/>
  <c r="E23" i="3"/>
  <c r="E11" i="6" l="1"/>
  <c r="E4" i="6" s="1"/>
  <c r="B29" i="6"/>
  <c r="C22" i="3"/>
  <c r="C23" i="3" s="1"/>
  <c r="C14" i="3"/>
  <c r="C18" i="3" s="1"/>
  <c r="B30" i="6" l="1"/>
  <c r="P14" i="4"/>
  <c r="P18" i="4"/>
  <c r="B31" i="6" l="1"/>
  <c r="B32" i="6" l="1"/>
  <c r="N15" i="4"/>
  <c r="T17" i="4" s="1"/>
  <c r="B33" i="6" l="1"/>
  <c r="G15" i="4"/>
  <c r="T10" i="4" s="1"/>
  <c r="H15" i="4"/>
  <c r="T11" i="4" s="1"/>
  <c r="I15" i="4"/>
  <c r="T12" i="4" s="1"/>
  <c r="J15" i="4"/>
  <c r="T13" i="4" s="1"/>
  <c r="C15" i="4"/>
  <c r="T6" i="4" s="1"/>
  <c r="K15" i="4"/>
  <c r="T14" i="4" s="1"/>
  <c r="D15" i="4"/>
  <c r="T7" i="4" s="1"/>
  <c r="L15" i="4"/>
  <c r="T15" i="4" s="1"/>
  <c r="E15" i="4"/>
  <c r="T8" i="4" s="1"/>
  <c r="M15" i="4"/>
  <c r="T16" i="4" s="1"/>
  <c r="F15" i="4"/>
  <c r="T9" i="4" s="1"/>
  <c r="T19" i="4" l="1"/>
  <c r="B34" i="6"/>
  <c r="P15" i="4"/>
  <c r="B35" i="6" l="1"/>
  <c r="B36" i="6" l="1"/>
  <c r="B37" i="6" l="1"/>
  <c r="B38" i="6" l="1"/>
  <c r="B39" i="6" l="1"/>
  <c r="B40" i="6" l="1"/>
  <c r="B41" i="6" l="1"/>
  <c r="B42" i="6" l="1"/>
  <c r="B43" i="6" l="1"/>
  <c r="B44" i="6" l="1"/>
  <c r="B45" i="6" l="1"/>
  <c r="B46" i="6" l="1"/>
  <c r="B47" i="6" l="1"/>
  <c r="B48" i="6" l="1"/>
  <c r="B49" i="6" l="1"/>
  <c r="B50" i="6" l="1"/>
  <c r="B51" i="6" l="1"/>
  <c r="B52" i="6" l="1"/>
  <c r="B53" i="6" l="1"/>
  <c r="B54" i="6" l="1"/>
  <c r="B55" i="6" l="1"/>
  <c r="B56" i="6" l="1"/>
  <c r="B57" i="6" l="1"/>
  <c r="B58" i="6" l="1"/>
  <c r="B59" i="6" l="1"/>
  <c r="B60" i="6" l="1"/>
  <c r="B61" i="6" l="1"/>
  <c r="B62" i="6" l="1"/>
  <c r="B63" i="6" l="1"/>
  <c r="B64" i="6" l="1"/>
  <c r="B65" i="6" l="1"/>
  <c r="B66" i="6" l="1"/>
  <c r="B67" i="6" l="1"/>
  <c r="B68" i="6" l="1"/>
  <c r="B69" i="6" l="1"/>
  <c r="B70" i="6" l="1"/>
  <c r="B71" i="6" l="1"/>
  <c r="B72" i="6" l="1"/>
  <c r="B73" i="6" l="1"/>
  <c r="B74" i="6" l="1"/>
  <c r="B75" i="6" l="1"/>
  <c r="B76" i="6" l="1"/>
  <c r="B77" i="6" l="1"/>
  <c r="B78" i="6" l="1"/>
  <c r="B79" i="6" l="1"/>
  <c r="B80" i="6" l="1"/>
  <c r="B81" i="6" l="1"/>
  <c r="B82" i="6" l="1"/>
  <c r="B83" i="6" l="1"/>
  <c r="B84" i="6" l="1"/>
  <c r="B85" i="6" l="1"/>
  <c r="B86" i="6" l="1"/>
  <c r="B87" i="6" l="1"/>
  <c r="B88" i="6" l="1"/>
  <c r="B89" i="6" l="1"/>
  <c r="B90" i="6" l="1"/>
  <c r="B91" i="6" l="1"/>
  <c r="B92" i="6" l="1"/>
  <c r="B93" i="6" l="1"/>
  <c r="B94" i="6" l="1"/>
  <c r="B95" i="6" l="1"/>
  <c r="B96" i="6" l="1"/>
  <c r="B97" i="6" l="1"/>
  <c r="B98" i="6" l="1"/>
  <c r="B99" i="6" l="1"/>
  <c r="B100" i="6" l="1"/>
  <c r="B101" i="6" l="1"/>
  <c r="B102" i="6" l="1"/>
  <c r="B103" i="6" l="1"/>
  <c r="B104" i="6" l="1"/>
  <c r="B105" i="6" l="1"/>
  <c r="B106" i="6" l="1"/>
  <c r="B107" i="6" l="1"/>
  <c r="B108" i="6" l="1"/>
  <c r="B109" i="6" l="1"/>
  <c r="B110" i="6" l="1"/>
  <c r="B111" i="6" l="1"/>
  <c r="B112" i="6" l="1"/>
  <c r="B113" i="6" l="1"/>
  <c r="B114" i="6" l="1"/>
  <c r="B115" i="6" l="1"/>
  <c r="B116" i="6" l="1"/>
  <c r="B117" i="6" l="1"/>
  <c r="B118" i="6" l="1"/>
  <c r="B119" i="6" l="1"/>
  <c r="B120" i="6" l="1"/>
  <c r="B121" i="6" l="1"/>
  <c r="B122" i="6" l="1"/>
  <c r="B123" i="6" l="1"/>
  <c r="B124" i="6" l="1"/>
  <c r="B125" i="6" l="1"/>
  <c r="B126" i="6" l="1"/>
  <c r="B127" i="6" l="1"/>
  <c r="B128" i="6" l="1"/>
  <c r="B129" i="6" l="1"/>
  <c r="B130" i="6" l="1"/>
  <c r="B131" i="6" l="1"/>
  <c r="B132" i="6" l="1"/>
  <c r="B133" i="6" l="1"/>
  <c r="B134" i="6" l="1"/>
  <c r="B135" i="6" l="1"/>
  <c r="B136" i="6" l="1"/>
  <c r="B137" i="6" l="1"/>
  <c r="B138" i="6" l="1"/>
  <c r="B139" i="6" l="1"/>
  <c r="B140" i="6" l="1"/>
  <c r="B141" i="6" l="1"/>
  <c r="B142" i="6" l="1"/>
  <c r="B143" i="6" l="1"/>
  <c r="B144" i="6" l="1"/>
  <c r="B145" i="6" l="1"/>
  <c r="B146" i="6" l="1"/>
  <c r="B147" i="6" l="1"/>
  <c r="B148" i="6" l="1"/>
  <c r="B149" i="6" l="1"/>
  <c r="B150" i="6" l="1"/>
  <c r="B151" i="6" l="1"/>
  <c r="B152" i="6" l="1"/>
  <c r="B153" i="6" l="1"/>
  <c r="B154" i="6" l="1"/>
  <c r="B155" i="6" l="1"/>
  <c r="B156" i="6" l="1"/>
  <c r="B157" i="6" l="1"/>
  <c r="B158" i="6" l="1"/>
  <c r="B159" i="6" l="1"/>
  <c r="B160" i="6" l="1"/>
  <c r="B161" i="6" l="1"/>
  <c r="B162" i="6" l="1"/>
  <c r="B163" i="6" l="1"/>
  <c r="B164" i="6" l="1"/>
  <c r="B165" i="6" l="1"/>
  <c r="B166" i="6" l="1"/>
  <c r="B167" i="6" l="1"/>
  <c r="B168" i="6" l="1"/>
  <c r="B169" i="6" l="1"/>
  <c r="B170" i="6" l="1"/>
  <c r="B171" i="6" l="1"/>
  <c r="B172" i="6" l="1"/>
  <c r="B173" i="6" l="1"/>
  <c r="B174" i="6" l="1"/>
  <c r="B175" i="6" l="1"/>
  <c r="B176" i="6" l="1"/>
  <c r="B177" i="6" l="1"/>
  <c r="B178" i="6" l="1"/>
  <c r="B179" i="6" l="1"/>
  <c r="B180" i="6" l="1"/>
  <c r="B181" i="6" l="1"/>
  <c r="B182" i="6" l="1"/>
  <c r="B183" i="6" l="1"/>
  <c r="C5" i="6" l="1"/>
  <c r="C7" i="3"/>
  <c r="C24" i="3" l="1"/>
  <c r="E5" i="6"/>
  <c r="C26" i="3"/>
  <c r="E6" i="6" l="1"/>
  <c r="E8" i="6" s="1"/>
  <c r="E12" i="6" s="1"/>
  <c r="E16" i="6" s="1"/>
  <c r="D12" i="1"/>
  <c r="C37" i="3"/>
  <c r="C40" i="3"/>
  <c r="C28" i="3"/>
  <c r="C6" i="6" l="1"/>
  <c r="D13" i="1"/>
  <c r="E166" i="6"/>
  <c r="E102" i="6"/>
  <c r="E38" i="6"/>
  <c r="E133" i="6"/>
  <c r="E69" i="6"/>
  <c r="E164" i="6"/>
  <c r="E100" i="6"/>
  <c r="E36" i="6"/>
  <c r="E123" i="6"/>
  <c r="E59" i="6"/>
  <c r="E146" i="6"/>
  <c r="E82" i="6"/>
  <c r="E169" i="6"/>
  <c r="E105" i="6"/>
  <c r="E41" i="6"/>
  <c r="E128" i="6"/>
  <c r="E64" i="6"/>
  <c r="E167" i="6"/>
  <c r="E103" i="6"/>
  <c r="E39" i="6"/>
  <c r="E54" i="6"/>
  <c r="E139" i="6"/>
  <c r="E57" i="6"/>
  <c r="E174" i="6"/>
  <c r="E44" i="6"/>
  <c r="E177" i="6"/>
  <c r="E111" i="6"/>
  <c r="E158" i="6"/>
  <c r="E94" i="6"/>
  <c r="E30" i="6"/>
  <c r="E125" i="6"/>
  <c r="E61" i="6"/>
  <c r="E156" i="6"/>
  <c r="E92" i="6"/>
  <c r="E179" i="6"/>
  <c r="E115" i="6"/>
  <c r="E51" i="6"/>
  <c r="E138" i="6"/>
  <c r="E74" i="6"/>
  <c r="E161" i="6"/>
  <c r="E97" i="6"/>
  <c r="E33" i="6"/>
  <c r="E120" i="6"/>
  <c r="E56" i="6"/>
  <c r="E159" i="6"/>
  <c r="E95" i="6"/>
  <c r="E29" i="6"/>
  <c r="E180" i="6"/>
  <c r="E144" i="6"/>
  <c r="E172" i="6"/>
  <c r="E131" i="6"/>
  <c r="E49" i="6"/>
  <c r="E150" i="6"/>
  <c r="E86" i="6"/>
  <c r="E181" i="6"/>
  <c r="E117" i="6"/>
  <c r="E53" i="6"/>
  <c r="E148" i="6"/>
  <c r="E84" i="6"/>
  <c r="E171" i="6"/>
  <c r="E107" i="6"/>
  <c r="E43" i="6"/>
  <c r="E130" i="6"/>
  <c r="E66" i="6"/>
  <c r="E153" i="6"/>
  <c r="E89" i="6"/>
  <c r="E176" i="6"/>
  <c r="E112" i="6"/>
  <c r="E48" i="6"/>
  <c r="E151" i="6"/>
  <c r="E87" i="6"/>
  <c r="E85" i="6"/>
  <c r="E98" i="6"/>
  <c r="E183" i="6"/>
  <c r="E77" i="6"/>
  <c r="E67" i="6"/>
  <c r="E72" i="6"/>
  <c r="E142" i="6"/>
  <c r="E78" i="6"/>
  <c r="E173" i="6"/>
  <c r="E109" i="6"/>
  <c r="E45" i="6"/>
  <c r="E140" i="6"/>
  <c r="E76" i="6"/>
  <c r="E163" i="6"/>
  <c r="E99" i="6"/>
  <c r="E35" i="6"/>
  <c r="E122" i="6"/>
  <c r="E58" i="6"/>
  <c r="E145" i="6"/>
  <c r="E81" i="6"/>
  <c r="E168" i="6"/>
  <c r="E104" i="6"/>
  <c r="E40" i="6"/>
  <c r="E143" i="6"/>
  <c r="E79" i="6"/>
  <c r="E182" i="6"/>
  <c r="E52" i="6"/>
  <c r="E34" i="6"/>
  <c r="E119" i="6"/>
  <c r="E110" i="6"/>
  <c r="E108" i="6"/>
  <c r="E90" i="6"/>
  <c r="E175" i="6"/>
  <c r="E134" i="6"/>
  <c r="E70" i="6"/>
  <c r="E165" i="6"/>
  <c r="E101" i="6"/>
  <c r="E37" i="6"/>
  <c r="E132" i="6"/>
  <c r="E68" i="6"/>
  <c r="E155" i="6"/>
  <c r="E91" i="6"/>
  <c r="E178" i="6"/>
  <c r="E114" i="6"/>
  <c r="E50" i="6"/>
  <c r="E137" i="6"/>
  <c r="E73" i="6"/>
  <c r="E160" i="6"/>
  <c r="E96" i="6"/>
  <c r="E32" i="6"/>
  <c r="E135" i="6"/>
  <c r="E71" i="6"/>
  <c r="E118" i="6"/>
  <c r="E116" i="6"/>
  <c r="E162" i="6"/>
  <c r="E80" i="6"/>
  <c r="E46" i="6"/>
  <c r="E113" i="6"/>
  <c r="E126" i="6"/>
  <c r="E62" i="6"/>
  <c r="E157" i="6"/>
  <c r="E93" i="6"/>
  <c r="E28" i="6"/>
  <c r="E124" i="6"/>
  <c r="E60" i="6"/>
  <c r="E147" i="6"/>
  <c r="E83" i="6"/>
  <c r="E170" i="6"/>
  <c r="E106" i="6"/>
  <c r="E42" i="6"/>
  <c r="E129" i="6"/>
  <c r="E65" i="6"/>
  <c r="E152" i="6"/>
  <c r="E88" i="6"/>
  <c r="E31" i="6"/>
  <c r="E127" i="6"/>
  <c r="E63" i="6"/>
  <c r="E149" i="6"/>
  <c r="E75" i="6"/>
  <c r="E121" i="6"/>
  <c r="E55" i="6"/>
  <c r="E141" i="6"/>
  <c r="E154" i="6"/>
  <c r="E136" i="6"/>
  <c r="E47" i="6"/>
  <c r="D19" i="1"/>
  <c r="C42" i="3"/>
  <c r="E24" i="6" l="1"/>
  <c r="J10" i="6" s="1"/>
  <c r="E20" i="6"/>
  <c r="E21" i="6" s="1"/>
  <c r="C12" i="6"/>
  <c r="D20" i="1"/>
  <c r="F13" i="1"/>
  <c r="D17" i="1"/>
  <c r="E18" i="6"/>
  <c r="E184" i="6"/>
  <c r="C14" i="6"/>
  <c r="C16" i="6" l="1"/>
  <c r="C70" i="6" s="1"/>
  <c r="C7" i="6"/>
  <c r="C8" i="6" s="1"/>
  <c r="G8" i="6" s="1"/>
  <c r="D22" i="1"/>
  <c r="C173" i="6"/>
  <c r="C112" i="6"/>
  <c r="C177" i="6"/>
  <c r="C47" i="6"/>
  <c r="C82" i="6"/>
  <c r="C59" i="6"/>
  <c r="C139" i="6"/>
  <c r="C172" i="6"/>
  <c r="C76" i="6"/>
  <c r="C102" i="6"/>
  <c r="C144" i="6"/>
  <c r="C132" i="6"/>
  <c r="C162" i="6"/>
  <c r="C143" i="6"/>
  <c r="C171" i="6"/>
  <c r="C65" i="6"/>
  <c r="C103" i="6"/>
  <c r="C89" i="6"/>
  <c r="C111" i="6"/>
  <c r="C165" i="6"/>
  <c r="C108" i="6"/>
  <c r="C155" i="6"/>
  <c r="C98" i="6"/>
  <c r="C135" i="6"/>
  <c r="C152" i="6"/>
  <c r="C60" i="6"/>
  <c r="C29" i="6"/>
  <c r="C83" i="6"/>
  <c r="C61" i="6"/>
  <c r="C122" i="6"/>
  <c r="C53" i="6"/>
  <c r="C136" i="6"/>
  <c r="C69" i="6"/>
  <c r="C159" i="6"/>
  <c r="C134" i="6"/>
  <c r="C140" i="6"/>
  <c r="C137" i="6"/>
  <c r="C131" i="6"/>
  <c r="C142" i="6"/>
  <c r="C163" i="6"/>
  <c r="C30" i="6"/>
  <c r="C110" i="6"/>
  <c r="C157" i="6"/>
  <c r="C38" i="6"/>
  <c r="C79" i="6"/>
  <c r="C73" i="6"/>
  <c r="C117" i="6"/>
  <c r="C141" i="6"/>
  <c r="C43" i="6"/>
  <c r="C153" i="6"/>
  <c r="C113" i="6"/>
  <c r="C133" i="6"/>
  <c r="C41" i="6"/>
  <c r="C121" i="6"/>
  <c r="C119" i="6"/>
  <c r="C52" i="6"/>
  <c r="C71" i="6"/>
  <c r="C170" i="6"/>
  <c r="C63" i="6"/>
  <c r="C138" i="6"/>
  <c r="C84" i="6"/>
  <c r="C156" i="6"/>
  <c r="C49" i="6"/>
  <c r="C130" i="6"/>
  <c r="C120" i="6"/>
  <c r="C181" i="6"/>
  <c r="C91" i="6"/>
  <c r="C178" i="6"/>
  <c r="C39" i="6"/>
  <c r="C33" i="6"/>
  <c r="C42" i="6" l="1"/>
  <c r="C66" i="6"/>
  <c r="C180" i="6"/>
  <c r="C116" i="6"/>
  <c r="C158" i="6"/>
  <c r="C93" i="6"/>
  <c r="C81" i="6"/>
  <c r="C85" i="6"/>
  <c r="C145" i="6"/>
  <c r="C169" i="6"/>
  <c r="C50" i="6"/>
  <c r="C51" i="6"/>
  <c r="C128" i="6"/>
  <c r="C115" i="6"/>
  <c r="C147" i="6"/>
  <c r="C67" i="6"/>
  <c r="C75" i="6"/>
  <c r="C54" i="6"/>
  <c r="C32" i="6"/>
  <c r="C80" i="6"/>
  <c r="C176" i="6"/>
  <c r="C146" i="6"/>
  <c r="C175" i="6"/>
  <c r="C114" i="6"/>
  <c r="C150" i="6"/>
  <c r="C36" i="6"/>
  <c r="C129" i="6"/>
  <c r="C164" i="6"/>
  <c r="C56" i="6"/>
  <c r="C106" i="6"/>
  <c r="C99" i="6"/>
  <c r="C86" i="6"/>
  <c r="C101" i="6"/>
  <c r="C168" i="6"/>
  <c r="C149" i="6"/>
  <c r="C166" i="6"/>
  <c r="C100" i="6"/>
  <c r="C78" i="6"/>
  <c r="C55" i="6"/>
  <c r="C148" i="6"/>
  <c r="C123" i="6"/>
  <c r="C124" i="6"/>
  <c r="C58" i="6"/>
  <c r="C35" i="6"/>
  <c r="C167" i="6"/>
  <c r="C90" i="6"/>
  <c r="C154" i="6"/>
  <c r="C183" i="6"/>
  <c r="C160" i="6"/>
  <c r="C31" i="6"/>
  <c r="C64" i="6"/>
  <c r="C72" i="6"/>
  <c r="C161" i="6"/>
  <c r="C126" i="6"/>
  <c r="C37" i="6"/>
  <c r="C118" i="6"/>
  <c r="C88" i="6"/>
  <c r="C174" i="6"/>
  <c r="C151" i="6"/>
  <c r="C87" i="6"/>
  <c r="C104" i="6"/>
  <c r="C46" i="6"/>
  <c r="C127" i="6"/>
  <c r="C92" i="6"/>
  <c r="C95" i="6"/>
  <c r="C62" i="6"/>
  <c r="C74" i="6"/>
  <c r="C125" i="6"/>
  <c r="C34" i="6"/>
  <c r="C48" i="6"/>
  <c r="C9" i="4"/>
  <c r="C10" i="4" s="1"/>
  <c r="F22" i="1"/>
  <c r="C77" i="6"/>
  <c r="C109" i="6"/>
  <c r="C68" i="6"/>
  <c r="C28" i="6"/>
  <c r="C105" i="6"/>
  <c r="C40" i="6"/>
  <c r="C44" i="6"/>
  <c r="C94" i="6"/>
  <c r="C182" i="6"/>
  <c r="C45" i="6"/>
  <c r="C107" i="6"/>
  <c r="C96" i="6"/>
  <c r="C57" i="6"/>
  <c r="C97" i="6"/>
  <c r="C179" i="6"/>
  <c r="C24" i="6" l="1"/>
  <c r="I10" i="6" s="1"/>
  <c r="C20" i="6"/>
  <c r="C21" i="6" s="1"/>
  <c r="C22" i="6" s="1"/>
  <c r="D16" i="4"/>
  <c r="L16" i="4"/>
  <c r="C16" i="4"/>
  <c r="H16" i="4"/>
  <c r="N16" i="4"/>
  <c r="I16" i="4"/>
  <c r="F16" i="4"/>
  <c r="J16" i="4"/>
  <c r="E16" i="4"/>
  <c r="G16" i="4"/>
  <c r="K16" i="4"/>
  <c r="M16" i="4"/>
  <c r="C184" i="6"/>
  <c r="C18" i="6"/>
  <c r="U16" i="4" l="1"/>
  <c r="W16" i="4" s="1"/>
  <c r="M19" i="4"/>
  <c r="U14" i="4"/>
  <c r="W14" i="4" s="1"/>
  <c r="K19" i="4"/>
  <c r="U10" i="4"/>
  <c r="W10" i="4" s="1"/>
  <c r="G19" i="4"/>
  <c r="U8" i="4"/>
  <c r="W8" i="4" s="1"/>
  <c r="E19" i="4"/>
  <c r="U13" i="4"/>
  <c r="W13" i="4" s="1"/>
  <c r="J19" i="4"/>
  <c r="U9" i="4"/>
  <c r="W9" i="4" s="1"/>
  <c r="F19" i="4"/>
  <c r="U12" i="4"/>
  <c r="W12" i="4" s="1"/>
  <c r="I19" i="4"/>
  <c r="U17" i="4"/>
  <c r="W17" i="4" s="1"/>
  <c r="N19" i="4"/>
  <c r="U11" i="4"/>
  <c r="W11" i="4" s="1"/>
  <c r="H19" i="4"/>
  <c r="U6" i="4"/>
  <c r="C19" i="4"/>
  <c r="C21" i="4" s="1"/>
  <c r="P16" i="4"/>
  <c r="U15" i="4"/>
  <c r="W15" i="4" s="1"/>
  <c r="L19" i="4"/>
  <c r="U7" i="4"/>
  <c r="W7" i="4" s="1"/>
  <c r="D19" i="4"/>
  <c r="E25" i="6"/>
  <c r="J11" i="6" s="1"/>
  <c r="U19" i="4" l="1"/>
  <c r="W19" i="4" s="1"/>
  <c r="W6" i="4"/>
</calcChain>
</file>

<file path=xl/comments1.xml><?xml version="1.0" encoding="utf-8"?>
<comments xmlns="http://schemas.openxmlformats.org/spreadsheetml/2006/main">
  <authors>
    <author>Murray, David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Murray, David:</t>
        </r>
        <r>
          <rPr>
            <sz val="9"/>
            <color indexed="81"/>
            <rFont val="Tahoma"/>
            <family val="2"/>
          </rPr>
          <t xml:space="preserve">
Assumed 1.5% based on Empire's standalone historical issuance costs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Murray, David:</t>
        </r>
        <r>
          <rPr>
            <sz val="9"/>
            <color indexed="81"/>
            <rFont val="Tahoma"/>
            <charset val="1"/>
          </rPr>
          <t xml:space="preserve">
2.47% Discount Rate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Murray, David:</t>
        </r>
        <r>
          <rPr>
            <sz val="9"/>
            <color indexed="81"/>
            <rFont val="Tahoma"/>
            <charset val="1"/>
          </rPr>
          <t xml:space="preserve">
4.75% Discount Rate</t>
        </r>
      </text>
    </comment>
  </commentList>
</comments>
</file>

<file path=xl/sharedStrings.xml><?xml version="1.0" encoding="utf-8"?>
<sst xmlns="http://schemas.openxmlformats.org/spreadsheetml/2006/main" count="159" uniqueCount="129">
  <si>
    <t>Direct Testimony of Karen S. Hall</t>
  </si>
  <si>
    <t>The Empire District Electric Company</t>
  </si>
  <si>
    <t>Before the Missouri Public Service Commission</t>
  </si>
  <si>
    <t>Case. No. ER-2022-0040</t>
  </si>
  <si>
    <t>Line No.</t>
  </si>
  <si>
    <t>Storm Uri costs (incl. carrying costs)</t>
  </si>
  <si>
    <t>Summary of Estimated Upfront Costs for Securitization</t>
  </si>
  <si>
    <t>Legal fees</t>
  </si>
  <si>
    <t>Underwriting</t>
  </si>
  <si>
    <t>Auditor fee</t>
  </si>
  <si>
    <t>Structuring advisor (incl. discount)</t>
  </si>
  <si>
    <t>Misc</t>
  </si>
  <si>
    <t>Consultant fees</t>
  </si>
  <si>
    <t>Commission advisor</t>
  </si>
  <si>
    <t>Unknown</t>
  </si>
  <si>
    <t>Fixed fees</t>
  </si>
  <si>
    <t>SEC Filing Fee</t>
  </si>
  <si>
    <t>Niehaus Direct, page 8, line 8</t>
  </si>
  <si>
    <t>Bond rating fees (incl. S&amp;P and Moody's @ 0.0575% each)</t>
  </si>
  <si>
    <t>Niehaus Direct, page 17, line 1</t>
  </si>
  <si>
    <t>Filing fees total percentage</t>
  </si>
  <si>
    <t>Total rating and filing fees</t>
  </si>
  <si>
    <t>Total upfront costs</t>
  </si>
  <si>
    <t>Return on capital account of 0.5%</t>
  </si>
  <si>
    <t>pg 16, line 2</t>
  </si>
  <si>
    <t>Estimated bond issuance amount</t>
  </si>
  <si>
    <t>Summary of Estimated Ongoing Costs per year</t>
  </si>
  <si>
    <t>Administration</t>
  </si>
  <si>
    <t>Trustee fee</t>
  </si>
  <si>
    <t>Auditing/accounting fees</t>
  </si>
  <si>
    <t>Rating agency surveillance fees</t>
  </si>
  <si>
    <t>Return on Capital Account for Credit enhancement (calculated at proposed WACC from ER-2021-0312)</t>
  </si>
  <si>
    <t>Printing fees</t>
  </si>
  <si>
    <t>Miscellaneous</t>
  </si>
  <si>
    <t>Ongoing Costs Per Year</t>
  </si>
  <si>
    <t>Ongoing Costs Per Month</t>
  </si>
  <si>
    <t>Schedule KSH-2</t>
  </si>
  <si>
    <t>Storm Uri Costs</t>
  </si>
  <si>
    <t>Carrying costs as of December 31, 2021 @ 6.77% WACC from ER-2019-0374</t>
  </si>
  <si>
    <t>Deferred legal costs as of December 31, 2021</t>
  </si>
  <si>
    <t>Total Storm Recovery costs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</si>
  <si>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</si>
  <si>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</si>
  <si>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</si>
  <si>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</si>
  <si>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</si>
  <si>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</si>
  <si>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</si>
  <si>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</si>
  <si>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Line</t>
  </si>
  <si>
    <t>Securitization</t>
  </si>
  <si>
    <t>Storm Uri costs (incl. carrying)</t>
  </si>
  <si>
    <t>Upfront financing costs</t>
  </si>
  <si>
    <t>Total</t>
  </si>
  <si>
    <t>Amortization</t>
  </si>
  <si>
    <t>13 Years</t>
  </si>
  <si>
    <t>Carrying cost</t>
  </si>
  <si>
    <t>NPV of total payments discounted at WACC</t>
  </si>
  <si>
    <t>NPV Securitized Benefit</t>
  </si>
  <si>
    <t>Monthly payment</t>
  </si>
  <si>
    <t>Monthly revenue requirement</t>
  </si>
  <si>
    <t>NPV securitization benefit</t>
  </si>
  <si>
    <t>Total customer payments:</t>
  </si>
  <si>
    <t>Class</t>
  </si>
  <si>
    <t>Allocation</t>
  </si>
  <si>
    <t>Revenue Target</t>
  </si>
  <si>
    <t>Usage</t>
  </si>
  <si>
    <t>SAR</t>
  </si>
  <si>
    <t>%</t>
  </si>
  <si>
    <t>$</t>
  </si>
  <si>
    <t>kWh</t>
  </si>
  <si>
    <t>$/kWh</t>
  </si>
  <si>
    <t>Residential</t>
  </si>
  <si>
    <t>Allocation and Customer Rates Under Securitization</t>
  </si>
  <si>
    <t>Commercial</t>
  </si>
  <si>
    <t>Small Heating</t>
  </si>
  <si>
    <t>General Power</t>
  </si>
  <si>
    <t>Annual revenue requirement</t>
  </si>
  <si>
    <t>Transmission</t>
  </si>
  <si>
    <t>Total Electric Building</t>
  </si>
  <si>
    <t>Feed Mill</t>
  </si>
  <si>
    <t>Large Power</t>
  </si>
  <si>
    <t>Misc. Service</t>
  </si>
  <si>
    <t>Street Lighting</t>
  </si>
  <si>
    <t>Private Lighting</t>
  </si>
  <si>
    <t>Special Lighting</t>
  </si>
  <si>
    <t>RG</t>
  </si>
  <si>
    <t>CB</t>
  </si>
  <si>
    <t>SH</t>
  </si>
  <si>
    <t>GP</t>
  </si>
  <si>
    <t>TS</t>
  </si>
  <si>
    <t>TEB</t>
  </si>
  <si>
    <t>PFM</t>
  </si>
  <si>
    <t>LP</t>
  </si>
  <si>
    <t>MS</t>
  </si>
  <si>
    <t>SPL</t>
  </si>
  <si>
    <t>PL</t>
  </si>
  <si>
    <t>LS</t>
  </si>
  <si>
    <t>Rate design revenue target</t>
  </si>
  <si>
    <t>Bond revenue targets</t>
  </si>
  <si>
    <t>Total/Average</t>
  </si>
  <si>
    <t>Revenue target and determinants data from Lyons Direct, Schedule TSL-9, ER-2021-0312</t>
  </si>
  <si>
    <t>https://www.efis.psc.mo.gov/mpsc/commoncomponents/view_itemno_details.asp?caseno=ER-2021-0312&amp;attach_id=2021020897</t>
  </si>
  <si>
    <t>Schedule KSH-1</t>
  </si>
  <si>
    <t>Schedule KSH-4</t>
  </si>
  <si>
    <t>Present Value of Ongoing Costs</t>
  </si>
  <si>
    <t>OPC Witness David Murray's Changes to Karen S. Hall's Schedule KSH-3</t>
  </si>
  <si>
    <t xml:space="preserve">All-In Effective Annual Cost </t>
  </si>
  <si>
    <t>NPV payments</t>
  </si>
  <si>
    <t>Effective Monthly Yield (Internal Rate of Return)</t>
  </si>
  <si>
    <t>Additional Margin Over Interest Rate</t>
  </si>
  <si>
    <t>Discounted by 2.47% Debt Rate</t>
  </si>
  <si>
    <t>Nominal Value of Total payments</t>
  </si>
  <si>
    <t>Postive Number Indicates Higher Costs to Ratepayers</t>
  </si>
  <si>
    <t>Murray NPV for Securitization</t>
  </si>
  <si>
    <t>Present Value of All Financing Costs</t>
  </si>
  <si>
    <t>Present Value of Ongoing Financig Costs</t>
  </si>
  <si>
    <t>Addiononal Margin Over Int. Rate</t>
  </si>
  <si>
    <t>All-in Effective Annual Rate</t>
  </si>
  <si>
    <t>Effective Mothly Interest Rate</t>
  </si>
  <si>
    <t>No. of Periods/Payments</t>
  </si>
  <si>
    <t>Future Value</t>
  </si>
  <si>
    <t>Net Proceeds                        (ln. 2 minus ln. 3 from Schedule KSH-3)</t>
  </si>
  <si>
    <t>Payments             (lns. 22-77 from Schedule KSH-3)</t>
  </si>
  <si>
    <t>David Murray Schedule DM-R-3 in Response to Commission Order</t>
  </si>
  <si>
    <t>(Supports Footnotes 10 and 11 in David Murray Rebuttal Testimony)</t>
  </si>
  <si>
    <t>Hall's NPV for "Amortization:  13 Years" Column (line 18 of KSH-3)</t>
  </si>
  <si>
    <t>Savings/Costs to Ratepayers</t>
  </si>
  <si>
    <t>EXHIBIT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</si>
</sst>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0000_);\(&quot;$&quot;#,##0.00000\)"/>
    <numFmt numFmtId="167" formatCode="0.000%"/>
    <numFmt numFmtId="168" formatCode="0.0000%"/>
    <numFmt numFmtId="169" formatCode="&quot;$&quot;#,##0"/>
    <numFmt numFmtId="170" formatCode="0.00000%"/>
    <numFmt numFmtId="171" formatCode="&quot;$&quot;#,##0.000_);\(&quot;$&quot;#,##0.000\)"/>
    <numFmt numFmtId="172" formatCode="&quot;$&quot;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5" fontId="0" fillId="0" borderId="0" xfId="0" applyNumberFormat="1"/>
    <xf numFmtId="165" fontId="0" fillId="0" borderId="0" xfId="2" applyNumberFormat="1" applyFont="1"/>
    <xf numFmtId="3" fontId="0" fillId="0" borderId="0" xfId="0" applyNumberFormat="1"/>
    <xf numFmtId="7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3" fillId="0" borderId="0" xfId="0" applyNumberFormat="1" applyFont="1"/>
    <xf numFmtId="5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5" fontId="4" fillId="0" borderId="0" xfId="0" applyNumberFormat="1" applyFont="1" applyAlignment="1">
      <alignment horizontal="center"/>
    </xf>
    <xf numFmtId="10" fontId="0" fillId="0" borderId="0" xfId="2" applyNumberFormat="1" applyFont="1"/>
    <xf numFmtId="165" fontId="0" fillId="0" borderId="0" xfId="2" applyNumberFormat="1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8" fontId="0" fillId="0" borderId="0" xfId="0" applyNumberFormat="1"/>
    <xf numFmtId="167" fontId="0" fillId="0" borderId="0" xfId="2" applyNumberFormat="1" applyFont="1"/>
    <xf numFmtId="167" fontId="2" fillId="0" borderId="0" xfId="2" applyNumberFormat="1" applyFont="1"/>
    <xf numFmtId="164" fontId="0" fillId="0" borderId="0" xfId="1" applyNumberFormat="1" applyFont="1" applyBorder="1"/>
    <xf numFmtId="164" fontId="7" fillId="0" borderId="0" xfId="1" applyNumberFormat="1" applyFont="1"/>
    <xf numFmtId="3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5" fontId="9" fillId="0" borderId="0" xfId="0" applyNumberFormat="1" applyFont="1"/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7" fontId="9" fillId="0" borderId="0" xfId="0" applyNumberFormat="1" applyFont="1"/>
    <xf numFmtId="169" fontId="0" fillId="0" borderId="0" xfId="0" applyNumberFormat="1"/>
    <xf numFmtId="170" fontId="0" fillId="0" borderId="0" xfId="2" applyNumberFormat="1" applyFont="1"/>
    <xf numFmtId="164" fontId="8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11" fillId="0" borderId="0" xfId="3"/>
    <xf numFmtId="0" fontId="6" fillId="0" borderId="0" xfId="0" applyFont="1"/>
    <xf numFmtId="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5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8" fontId="0" fillId="0" borderId="0" xfId="2" applyNumberFormat="1" applyFont="1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/>
    </xf>
    <xf numFmtId="0" fontId="0" fillId="0" borderId="6" xfId="0" applyBorder="1"/>
    <xf numFmtId="164" fontId="2" fillId="0" borderId="7" xfId="1" applyNumberFormat="1" applyFont="1" applyBorder="1" applyAlignment="1">
      <alignment horizontal="right"/>
    </xf>
    <xf numFmtId="164" fontId="0" fillId="0" borderId="7" xfId="1" applyNumberFormat="1" applyFont="1" applyBorder="1"/>
    <xf numFmtId="164" fontId="2" fillId="0" borderId="7" xfId="1" applyNumberFormat="1" applyFont="1" applyBorder="1"/>
    <xf numFmtId="0" fontId="10" fillId="0" borderId="0" xfId="0" applyFont="1"/>
    <xf numFmtId="164" fontId="8" fillId="2" borderId="7" xfId="1" applyNumberFormat="1" applyFont="1" applyFill="1" applyBorder="1" applyAlignment="1">
      <alignment horizontal="right"/>
    </xf>
    <xf numFmtId="164" fontId="0" fillId="0" borderId="8" xfId="1" applyNumberFormat="1" applyFont="1" applyBorder="1"/>
    <xf numFmtId="170" fontId="0" fillId="0" borderId="7" xfId="2" applyNumberFormat="1" applyFont="1" applyBorder="1"/>
    <xf numFmtId="168" fontId="0" fillId="0" borderId="8" xfId="2" applyNumberFormat="1" applyFont="1" applyBorder="1"/>
    <xf numFmtId="168" fontId="0" fillId="0" borderId="9" xfId="2" applyNumberFormat="1" applyFont="1" applyBorder="1"/>
    <xf numFmtId="164" fontId="0" fillId="2" borderId="7" xfId="1" applyNumberFormat="1" applyFont="1" applyFill="1" applyBorder="1"/>
    <xf numFmtId="0" fontId="0" fillId="0" borderId="7" xfId="0" applyBorder="1"/>
    <xf numFmtId="0" fontId="0" fillId="0" borderId="10" xfId="0" applyBorder="1"/>
    <xf numFmtId="0" fontId="2" fillId="0" borderId="1" xfId="0" applyFont="1" applyBorder="1"/>
    <xf numFmtId="164" fontId="2" fillId="0" borderId="8" xfId="1" applyNumberFormat="1" applyFont="1" applyBorder="1"/>
    <xf numFmtId="171" fontId="0" fillId="0" borderId="0" xfId="0" applyNumberFormat="1" applyAlignment="1">
      <alignment horizontal="center"/>
    </xf>
    <xf numFmtId="172" fontId="0" fillId="0" borderId="0" xfId="0" applyNumberFormat="1"/>
    <xf numFmtId="0" fontId="2" fillId="0" borderId="0" xfId="0" applyFont="1" applyAlignment="1">
      <alignment horizontal="left" vertical="center" wrapText="1"/>
    </xf>
    <xf numFmtId="9" fontId="0" fillId="0" borderId="0" xfId="2" applyFont="1" applyAlignment="1">
      <alignment horizontal="center"/>
    </xf>
    <xf numFmtId="44" fontId="0" fillId="0" borderId="0" xfId="0" applyNumberFormat="1"/>
    <xf numFmtId="164" fontId="5" fillId="0" borderId="0" xfId="1" applyNumberFormat="1" applyFont="1" applyAlignment="1">
      <alignment horizontal="right"/>
    </xf>
    <xf numFmtId="0" fontId="14" fillId="0" borderId="0" xfId="0" applyFont="1"/>
    <xf numFmtId="164" fontId="14" fillId="0" borderId="0" xfId="1" applyNumberFormat="1" applyFont="1" applyAlignment="1">
      <alignment horizontal="left"/>
    </xf>
    <xf numFmtId="10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0" fontId="0" fillId="3" borderId="0" xfId="0" applyFill="1"/>
    <xf numFmtId="10" fontId="0" fillId="3" borderId="0" xfId="0" applyNumberFormat="1" applyFill="1" applyAlignment="1">
      <alignment horizontal="center"/>
    </xf>
    <xf numFmtId="5" fontId="14" fillId="3" borderId="0" xfId="0" applyNumberFormat="1" applyFont="1" applyFill="1" applyAlignment="1">
      <alignment horizontal="center"/>
    </xf>
    <xf numFmtId="10" fontId="14" fillId="0" borderId="0" xfId="0" applyNumberFormat="1" applyFont="1"/>
    <xf numFmtId="37" fontId="0" fillId="0" borderId="0" xfId="0" applyNumberFormat="1" applyAlignment="1">
      <alignment horizontal="center"/>
    </xf>
    <xf numFmtId="8" fontId="0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 wrapText="1"/>
    </xf>
    <xf numFmtId="5" fontId="14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 shrinkToFit="1"/>
    </xf>
    <xf numFmtId="0" fontId="14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mpire\EO-2022-0040\EO-2022-0240\Schedules-Workpapers%20in%20Response%20to%20Commission%20Or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H 1 - Bond Financing Costs"/>
      <sheetName val="KSH 2 Revenue Requirement"/>
      <sheetName val="Murray Changes to Hall KSH-3"/>
      <sheetName val="Murray Calculations"/>
      <sheetName val="KSH 3 - Benefits Comparison (2"/>
      <sheetName val="KSH 4 - SUTC calculation"/>
    </sheetNames>
    <sheetDataSet>
      <sheetData sheetId="0"/>
      <sheetData sheetId="1"/>
      <sheetData sheetId="2">
        <row r="6">
          <cell r="C6">
            <v>3638533.89081395</v>
          </cell>
        </row>
        <row r="9">
          <cell r="C9">
            <v>2.47E-2</v>
          </cell>
        </row>
        <row r="13">
          <cell r="C13">
            <v>-24872.769479496445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fis.psc.mo.gov/mpsc/commoncomponents/view_itemno_details.asp?caseno=ER-2021-0312&amp;attach_id=2021020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H2" sqref="H2"/>
    </sheetView>
  </sheetViews>
  <sheetFormatPr defaultRowHeight="15" x14ac:dyDescent="0.25"/>
  <cols>
    <col min="1" max="1" width="22.28515625" customWidth="1"/>
    <col min="2" max="3" width="18.7109375" customWidth="1"/>
    <col min="4" max="4" width="18.28515625" customWidth="1"/>
    <col min="5" max="5" width="14.42578125" customWidth="1"/>
    <col min="6" max="6" width="13.7109375" customWidth="1"/>
    <col min="7" max="7" width="11.28515625" customWidth="1"/>
  </cols>
  <sheetData>
    <row r="1" spans="1:8" ht="18.75" x14ac:dyDescent="0.3">
      <c r="A1" s="106" t="s">
        <v>124</v>
      </c>
      <c r="B1" s="106"/>
      <c r="C1" s="106"/>
      <c r="D1" s="106"/>
      <c r="E1" s="106"/>
      <c r="F1" s="106"/>
      <c r="G1" s="106"/>
      <c r="H1" s="92" t="s">
        <v>128</v>
      </c>
    </row>
    <row r="2" spans="1:8" ht="18.75" x14ac:dyDescent="0.3">
      <c r="A2" s="106" t="s">
        <v>125</v>
      </c>
      <c r="B2" s="106"/>
      <c r="C2" s="106"/>
      <c r="D2" s="106"/>
      <c r="E2" s="106"/>
      <c r="F2" s="106"/>
      <c r="G2" s="106"/>
    </row>
    <row r="4" spans="1:8" ht="60" x14ac:dyDescent="0.25">
      <c r="A4" s="104" t="s">
        <v>122</v>
      </c>
      <c r="B4" s="104" t="s">
        <v>123</v>
      </c>
      <c r="C4" s="104" t="s">
        <v>121</v>
      </c>
      <c r="D4" s="104" t="s">
        <v>120</v>
      </c>
      <c r="E4" s="104" t="s">
        <v>119</v>
      </c>
      <c r="F4" s="105" t="s">
        <v>118</v>
      </c>
      <c r="G4" s="104" t="s">
        <v>117</v>
      </c>
    </row>
    <row r="5" spans="1:8" ht="18.75" x14ac:dyDescent="0.3">
      <c r="A5" s="10">
        <f>'DM WP-Revised KSH-3'!C5-'DM WP-Revised KSH-3'!C6</f>
        <v>200862404.60918605</v>
      </c>
      <c r="B5" s="10">
        <f>'DM WP-Revised KSH-3'!C28</f>
        <v>-1586115.478619779</v>
      </c>
      <c r="C5" s="3">
        <v>0</v>
      </c>
      <c r="D5" s="100">
        <f>13*12</f>
        <v>156</v>
      </c>
      <c r="E5" s="33">
        <f>RATE(D5,-B5,-A5,C5)</f>
        <v>2.7579800904771255E-3</v>
      </c>
      <c r="F5" s="99">
        <f>(1+E5)^12-1</f>
        <v>3.3602431086961371E-2</v>
      </c>
      <c r="G5" s="32">
        <f>'DM WP-Revised KSH-3'!C21-'DM WP-Revised KSH-3'!C10</f>
        <v>8.902431086961371E-3</v>
      </c>
    </row>
    <row r="6" spans="1:8" x14ac:dyDescent="0.25">
      <c r="A6" s="58"/>
      <c r="B6" s="3"/>
      <c r="C6" s="3"/>
      <c r="D6" s="3"/>
      <c r="E6" s="3"/>
    </row>
    <row r="7" spans="1:8" x14ac:dyDescent="0.25">
      <c r="A7" s="65" t="s">
        <v>116</v>
      </c>
      <c r="B7" s="3"/>
      <c r="C7" s="101">
        <f>PV('[1]Murray Changes to Hall KSH-3'!C9/12,13*12,'[1]Murray Changes to Hall KSH-3'!C13,0)</f>
        <v>3315951.5084053036</v>
      </c>
      <c r="D7" s="10"/>
      <c r="E7" s="10"/>
    </row>
    <row r="8" spans="1:8" x14ac:dyDescent="0.25">
      <c r="A8" s="65" t="s">
        <v>115</v>
      </c>
      <c r="B8" s="41"/>
      <c r="C8" s="102">
        <f>C7+'[1]Murray Changes to Hall KSH-3'!C6</f>
        <v>6954485.399219254</v>
      </c>
      <c r="D8" s="3"/>
      <c r="E8" s="3"/>
    </row>
    <row r="10" spans="1:8" ht="26.25" customHeight="1" x14ac:dyDescent="0.25">
      <c r="A10" s="107" t="s">
        <v>126</v>
      </c>
      <c r="B10" s="108"/>
      <c r="C10" s="4">
        <v>-204500938.50000152</v>
      </c>
    </row>
    <row r="11" spans="1:8" ht="18.75" x14ac:dyDescent="0.3">
      <c r="A11" s="23" t="s">
        <v>114</v>
      </c>
      <c r="C11" s="103">
        <f>'DM WP-Revised KSH-3'!C24</f>
        <v>-211455423.8992202</v>
      </c>
    </row>
    <row r="12" spans="1:8" x14ac:dyDescent="0.25">
      <c r="A12" s="23" t="s">
        <v>127</v>
      </c>
      <c r="C12" s="4">
        <f>C10-C11</f>
        <v>6954485.3992186785</v>
      </c>
      <c r="D12" t="s">
        <v>113</v>
      </c>
    </row>
  </sheetData>
  <mergeCells count="1">
    <mergeCell ref="A10:B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4"/>
  <sheetViews>
    <sheetView workbookViewId="0">
      <selection activeCell="C18" sqref="C18"/>
    </sheetView>
  </sheetViews>
  <sheetFormatPr defaultRowHeight="15" x14ac:dyDescent="0.25"/>
  <cols>
    <col min="1" max="1" width="6.5703125" customWidth="1"/>
    <col min="2" max="2" width="42.85546875" customWidth="1"/>
    <col min="3" max="3" width="19" style="3" bestFit="1" customWidth="1"/>
    <col min="4" max="4" width="3.7109375" style="3" customWidth="1"/>
    <col min="5" max="5" width="15.5703125" style="3" customWidth="1"/>
    <col min="6" max="6" width="5.85546875" style="3" customWidth="1"/>
    <col min="7" max="7" width="14.42578125" style="3" customWidth="1"/>
    <col min="8" max="8" width="49.5703125" style="58" customWidth="1"/>
    <col min="9" max="12" width="14.42578125" style="3" customWidth="1"/>
    <col min="15" max="15" width="15.42578125" bestFit="1" customWidth="1"/>
  </cols>
  <sheetData>
    <row r="1" spans="1:12" ht="18.75" x14ac:dyDescent="0.3">
      <c r="A1" s="92" t="s">
        <v>106</v>
      </c>
      <c r="B1" s="92"/>
      <c r="C1" s="92"/>
      <c r="D1" s="92"/>
      <c r="E1" s="93"/>
      <c r="F1"/>
      <c r="G1"/>
      <c r="H1"/>
      <c r="I1"/>
      <c r="J1"/>
      <c r="K1"/>
      <c r="L1"/>
    </row>
    <row r="2" spans="1:12" x14ac:dyDescent="0.25">
      <c r="C2"/>
      <c r="D2"/>
      <c r="E2" s="66"/>
      <c r="F2"/>
      <c r="G2"/>
      <c r="H2"/>
      <c r="I2"/>
      <c r="J2"/>
      <c r="K2"/>
      <c r="L2"/>
    </row>
    <row r="3" spans="1:12" x14ac:dyDescent="0.25">
      <c r="A3" t="s">
        <v>49</v>
      </c>
    </row>
    <row r="4" spans="1:12" s="40" customFormat="1" ht="28.9" customHeight="1" x14ac:dyDescent="0.25">
      <c r="A4" s="54">
        <v>1</v>
      </c>
      <c r="C4" s="41" t="s">
        <v>50</v>
      </c>
      <c r="D4" s="41"/>
      <c r="E4" s="41" t="str">
        <f>"Amortization:     "&amp;E11&amp;" Years"</f>
        <v>Amortization:     13 Years</v>
      </c>
      <c r="F4" s="41"/>
      <c r="G4" s="41"/>
      <c r="K4" s="41"/>
      <c r="L4" s="41"/>
    </row>
    <row r="5" spans="1:12" x14ac:dyDescent="0.25">
      <c r="A5">
        <f>A4+1</f>
        <v>2</v>
      </c>
      <c r="B5" t="s">
        <v>51</v>
      </c>
      <c r="C5" s="10">
        <f>'KSH 2 Revenue Requirement'!D10</f>
        <v>204500938.5</v>
      </c>
      <c r="D5" s="10"/>
      <c r="E5" s="10">
        <f>$C5</f>
        <v>204500938.5</v>
      </c>
      <c r="F5" s="10"/>
      <c r="G5" s="10"/>
      <c r="K5" s="10"/>
      <c r="L5" s="10"/>
    </row>
    <row r="6" spans="1:12" x14ac:dyDescent="0.25">
      <c r="A6">
        <f t="shared" ref="A6:A70" si="0">A5+1</f>
        <v>3</v>
      </c>
      <c r="B6" t="s">
        <v>52</v>
      </c>
      <c r="C6" s="10">
        <f>'KSH 2 Revenue Requirement'!D12</f>
        <v>3638533.89081395</v>
      </c>
      <c r="D6" s="10"/>
      <c r="E6" s="10">
        <f>0.015*E5</f>
        <v>3067514.0774999997</v>
      </c>
    </row>
    <row r="7" spans="1:12" x14ac:dyDescent="0.25">
      <c r="A7">
        <f t="shared" si="0"/>
        <v>4</v>
      </c>
      <c r="B7" t="s">
        <v>105</v>
      </c>
      <c r="C7" s="57">
        <f>PV(C10/12,13*12,C14,0)</f>
        <v>3315951.5084053036</v>
      </c>
      <c r="D7" s="10"/>
      <c r="E7" s="57"/>
    </row>
    <row r="8" spans="1:12" x14ac:dyDescent="0.25">
      <c r="A8">
        <f t="shared" si="0"/>
        <v>5</v>
      </c>
      <c r="B8" t="s">
        <v>53</v>
      </c>
      <c r="C8" s="10">
        <f>SUM(C5:C7)</f>
        <v>211455423.89921924</v>
      </c>
      <c r="D8" s="10"/>
      <c r="E8" s="10">
        <f>E5+E6</f>
        <v>207568452.57749999</v>
      </c>
      <c r="F8" s="10"/>
      <c r="G8" s="10">
        <f>C8-E8</f>
        <v>3886971.321719259</v>
      </c>
      <c r="J8" s="9" t="s">
        <v>54</v>
      </c>
      <c r="K8" s="10"/>
      <c r="L8" s="10"/>
    </row>
    <row r="9" spans="1:12" x14ac:dyDescent="0.25">
      <c r="A9">
        <f t="shared" si="0"/>
        <v>6</v>
      </c>
      <c r="H9" s="59"/>
      <c r="I9" s="41" t="s">
        <v>50</v>
      </c>
      <c r="J9" s="41" t="s">
        <v>55</v>
      </c>
    </row>
    <row r="10" spans="1:12" x14ac:dyDescent="0.25">
      <c r="A10">
        <f t="shared" si="0"/>
        <v>7</v>
      </c>
      <c r="B10" t="s">
        <v>56</v>
      </c>
      <c r="C10" s="31">
        <v>2.47E-2</v>
      </c>
      <c r="D10" s="31"/>
      <c r="E10" s="31">
        <v>4.7500000000000001E-2</v>
      </c>
      <c r="F10" s="31"/>
      <c r="G10" s="31"/>
      <c r="H10" s="62" t="s">
        <v>57</v>
      </c>
      <c r="I10" s="10">
        <f>C24</f>
        <v>-211455423.8992202</v>
      </c>
      <c r="J10" s="10">
        <f>E24</f>
        <v>-207568452.57750064</v>
      </c>
      <c r="K10" s="31"/>
      <c r="L10" s="31"/>
    </row>
    <row r="11" spans="1:12" x14ac:dyDescent="0.25">
      <c r="A11">
        <f t="shared" si="0"/>
        <v>8</v>
      </c>
      <c r="B11" t="s">
        <v>44</v>
      </c>
      <c r="C11" s="3">
        <v>13</v>
      </c>
      <c r="E11" s="3">
        <f>$C11</f>
        <v>13</v>
      </c>
      <c r="H11" s="60" t="s">
        <v>58</v>
      </c>
      <c r="I11" s="10"/>
      <c r="J11" s="10">
        <f>E25</f>
        <v>-3886971.321719557</v>
      </c>
    </row>
    <row r="12" spans="1:12" x14ac:dyDescent="0.25">
      <c r="A12">
        <f t="shared" si="0"/>
        <v>9</v>
      </c>
      <c r="B12" t="s">
        <v>59</v>
      </c>
      <c r="C12" s="10">
        <f>PMT(C10/12,C11*12,SUM(C5:C6))</f>
        <v>-1561242.7091402826</v>
      </c>
      <c r="D12" s="10"/>
      <c r="E12" s="10">
        <f>PMT(E10/12,E11*12,E8)</f>
        <v>-1785942.5379880019</v>
      </c>
      <c r="F12" s="10"/>
      <c r="G12" s="10"/>
      <c r="H12" s="60"/>
      <c r="I12" s="10"/>
      <c r="J12" s="10"/>
      <c r="K12" s="10"/>
      <c r="L12" s="10"/>
    </row>
    <row r="13" spans="1:12" x14ac:dyDescent="0.25">
      <c r="A13">
        <f t="shared" si="0"/>
        <v>10</v>
      </c>
      <c r="I13" s="10"/>
      <c r="J13" s="10"/>
    </row>
    <row r="14" spans="1:12" ht="15.95" customHeight="1" x14ac:dyDescent="0.25">
      <c r="A14">
        <f t="shared" si="0"/>
        <v>11</v>
      </c>
      <c r="B14" t="s">
        <v>47</v>
      </c>
      <c r="C14" s="10">
        <f>-'KSH 2 Revenue Requirement'!D20</f>
        <v>-24872.769479496445</v>
      </c>
      <c r="D14" s="10"/>
      <c r="E14" s="3">
        <v>0</v>
      </c>
      <c r="H14" s="65"/>
      <c r="I14" s="9"/>
      <c r="J14" s="63"/>
    </row>
    <row r="15" spans="1:12" x14ac:dyDescent="0.25">
      <c r="A15">
        <f t="shared" si="0"/>
        <v>12</v>
      </c>
      <c r="C15" s="10"/>
      <c r="D15" s="10"/>
    </row>
    <row r="16" spans="1:12" x14ac:dyDescent="0.25">
      <c r="A16">
        <f t="shared" si="0"/>
        <v>13</v>
      </c>
      <c r="B16" t="s">
        <v>60</v>
      </c>
      <c r="C16" s="10">
        <f>C12+C14</f>
        <v>-1586115.478619779</v>
      </c>
      <c r="D16" s="10"/>
      <c r="E16" s="10">
        <f>E12+E14</f>
        <v>-1785942.5379880019</v>
      </c>
      <c r="F16" s="10"/>
      <c r="G16" s="10"/>
      <c r="K16" s="10"/>
      <c r="L16" s="10"/>
    </row>
    <row r="17" spans="1:15" ht="15.95" customHeight="1" x14ac:dyDescent="0.25">
      <c r="A17">
        <f t="shared" si="0"/>
        <v>14</v>
      </c>
    </row>
    <row r="18" spans="1:15" x14ac:dyDescent="0.25">
      <c r="A18">
        <f t="shared" si="0"/>
        <v>15</v>
      </c>
      <c r="B18" t="s">
        <v>112</v>
      </c>
      <c r="C18" s="10">
        <f>SUM(C28:C183)</f>
        <v>-247434014.66468605</v>
      </c>
      <c r="E18" s="10">
        <f>SUM(E28:E183)</f>
        <v>-278607035.92612886</v>
      </c>
      <c r="F18" s="10"/>
      <c r="G18" s="10"/>
      <c r="H18" s="60"/>
      <c r="I18" s="10"/>
      <c r="J18" s="10"/>
      <c r="K18" s="10"/>
      <c r="L18" s="10"/>
    </row>
    <row r="19" spans="1:15" x14ac:dyDescent="0.25">
      <c r="A19">
        <f t="shared" si="0"/>
        <v>16</v>
      </c>
      <c r="C19" s="10"/>
      <c r="E19" s="10"/>
      <c r="F19" s="10"/>
      <c r="G19" s="10"/>
      <c r="H19" s="60"/>
      <c r="I19" s="10"/>
      <c r="J19" s="10"/>
      <c r="K19" s="10"/>
      <c r="L19" s="10"/>
    </row>
    <row r="20" spans="1:15" x14ac:dyDescent="0.25">
      <c r="A20">
        <f t="shared" si="0"/>
        <v>17</v>
      </c>
      <c r="B20" t="s">
        <v>109</v>
      </c>
      <c r="C20" s="33">
        <f>RATE(13*12,-C28,-(C5-C6),0)</f>
        <v>2.7579800904771255E-3</v>
      </c>
      <c r="E20" s="33">
        <f>RATE(13*12,-E28,-(E5-E6),0)</f>
        <v>4.3880272087219582E-3</v>
      </c>
      <c r="F20" s="10"/>
      <c r="G20" s="10"/>
      <c r="H20" s="60"/>
      <c r="I20" s="10"/>
      <c r="J20" s="10"/>
      <c r="K20" s="10"/>
      <c r="L20" s="10"/>
    </row>
    <row r="21" spans="1:15" ht="18.75" x14ac:dyDescent="0.3">
      <c r="A21">
        <f t="shared" si="0"/>
        <v>18</v>
      </c>
      <c r="B21" s="95" t="s">
        <v>107</v>
      </c>
      <c r="C21" s="94">
        <f>(1+C20)^12-1</f>
        <v>3.3602431086961371E-2</v>
      </c>
      <c r="E21" s="33">
        <f>(1+E20)^12-1</f>
        <v>5.3945914895486169E-2</v>
      </c>
      <c r="F21" s="10"/>
      <c r="G21" s="10"/>
      <c r="H21" s="60"/>
      <c r="I21" s="10"/>
      <c r="J21" s="10"/>
      <c r="K21" s="10"/>
      <c r="L21" s="10"/>
    </row>
    <row r="22" spans="1:15" x14ac:dyDescent="0.25">
      <c r="A22">
        <f t="shared" si="0"/>
        <v>19</v>
      </c>
      <c r="B22" s="96" t="s">
        <v>110</v>
      </c>
      <c r="C22" s="97">
        <f>C21-C10</f>
        <v>8.902431086961371E-3</v>
      </c>
      <c r="E22" s="10"/>
      <c r="F22" s="10"/>
      <c r="G22" s="10"/>
      <c r="H22" s="60"/>
      <c r="I22" s="10"/>
      <c r="J22" s="10"/>
      <c r="K22" s="10"/>
      <c r="L22" s="10"/>
    </row>
    <row r="23" spans="1:15" x14ac:dyDescent="0.25">
      <c r="A23">
        <f t="shared" si="0"/>
        <v>20</v>
      </c>
      <c r="B23" s="96" t="s">
        <v>111</v>
      </c>
      <c r="C23" s="97">
        <f>C10</f>
        <v>2.47E-2</v>
      </c>
      <c r="E23" s="33">
        <v>7.0599999999999996E-2</v>
      </c>
      <c r="F23" s="33"/>
      <c r="G23" s="33"/>
      <c r="H23" s="61">
        <v>0.04</v>
      </c>
      <c r="I23" s="33"/>
      <c r="J23" s="33"/>
      <c r="K23" s="33"/>
      <c r="L23" s="33"/>
    </row>
    <row r="24" spans="1:15" ht="18.75" x14ac:dyDescent="0.3">
      <c r="A24">
        <f t="shared" si="0"/>
        <v>21</v>
      </c>
      <c r="B24" s="95" t="s">
        <v>108</v>
      </c>
      <c r="C24" s="98">
        <f>NPV(C10/12,C28:C183)</f>
        <v>-211455423.8992202</v>
      </c>
      <c r="E24" s="10">
        <f>NPV(0.0475/12,E28:E183)</f>
        <v>-207568452.57750064</v>
      </c>
      <c r="F24" s="10"/>
      <c r="G24" s="10"/>
      <c r="H24" s="60"/>
      <c r="I24" s="10"/>
      <c r="J24" s="10"/>
      <c r="K24" s="10"/>
      <c r="L24" s="10"/>
    </row>
    <row r="25" spans="1:15" s="23" customFormat="1" x14ac:dyDescent="0.25">
      <c r="A25">
        <f t="shared" si="0"/>
        <v>22</v>
      </c>
      <c r="B25" s="23" t="s">
        <v>61</v>
      </c>
      <c r="C25" s="63"/>
      <c r="D25" s="9"/>
      <c r="E25" s="63">
        <f>$C24-E24</f>
        <v>-3886971.321719557</v>
      </c>
      <c r="F25" s="63"/>
      <c r="G25" s="63"/>
      <c r="H25" s="64"/>
      <c r="I25" s="63"/>
      <c r="J25" s="63"/>
      <c r="K25" s="63"/>
      <c r="L25" s="63"/>
    </row>
    <row r="26" spans="1:15" x14ac:dyDescent="0.25">
      <c r="A26">
        <f t="shared" si="0"/>
        <v>23</v>
      </c>
    </row>
    <row r="27" spans="1:15" x14ac:dyDescent="0.25">
      <c r="A27">
        <f t="shared" si="0"/>
        <v>24</v>
      </c>
      <c r="B27" s="42" t="s">
        <v>62</v>
      </c>
      <c r="O27" s="34"/>
    </row>
    <row r="28" spans="1:15" x14ac:dyDescent="0.25">
      <c r="A28">
        <f t="shared" si="0"/>
        <v>25</v>
      </c>
      <c r="B28">
        <v>1</v>
      </c>
      <c r="C28" s="10">
        <f>C$16</f>
        <v>-1586115.478619779</v>
      </c>
      <c r="D28" s="10"/>
      <c r="E28" s="10">
        <f t="shared" ref="E28:E59" si="1">IF($B28&gt;E$11*12,"",E$16)</f>
        <v>-1785942.5379880019</v>
      </c>
      <c r="F28" s="10"/>
      <c r="G28" s="10"/>
      <c r="H28" s="60"/>
      <c r="I28" s="10"/>
      <c r="J28" s="10"/>
      <c r="K28" s="10"/>
      <c r="L28" s="10"/>
    </row>
    <row r="29" spans="1:15" x14ac:dyDescent="0.25">
      <c r="A29">
        <f t="shared" si="0"/>
        <v>26</v>
      </c>
      <c r="B29">
        <f>B28+1</f>
        <v>2</v>
      </c>
      <c r="C29" s="10">
        <f t="shared" ref="C29:C92" si="2">C$16</f>
        <v>-1586115.478619779</v>
      </c>
      <c r="D29" s="10"/>
      <c r="E29" s="10">
        <f t="shared" si="1"/>
        <v>-1785942.5379880019</v>
      </c>
      <c r="F29" s="10"/>
      <c r="G29" s="10"/>
      <c r="H29" s="60"/>
      <c r="I29" s="10"/>
      <c r="J29" s="10"/>
      <c r="K29" s="10"/>
      <c r="L29" s="10"/>
    </row>
    <row r="30" spans="1:15" x14ac:dyDescent="0.25">
      <c r="A30">
        <f t="shared" si="0"/>
        <v>27</v>
      </c>
      <c r="B30">
        <f t="shared" ref="B30:B93" si="3">B29+1</f>
        <v>3</v>
      </c>
      <c r="C30" s="10">
        <f t="shared" si="2"/>
        <v>-1586115.478619779</v>
      </c>
      <c r="D30" s="10"/>
      <c r="E30" s="10">
        <f t="shared" si="1"/>
        <v>-1785942.5379880019</v>
      </c>
      <c r="F30" s="10"/>
      <c r="G30" s="10"/>
      <c r="H30" s="60"/>
      <c r="I30" s="10"/>
      <c r="J30" s="10"/>
      <c r="K30" s="10"/>
      <c r="L30" s="10"/>
    </row>
    <row r="31" spans="1:15" x14ac:dyDescent="0.25">
      <c r="A31">
        <f t="shared" si="0"/>
        <v>28</v>
      </c>
      <c r="B31">
        <f t="shared" si="3"/>
        <v>4</v>
      </c>
      <c r="C31" s="10">
        <f t="shared" si="2"/>
        <v>-1586115.478619779</v>
      </c>
      <c r="D31" s="10"/>
      <c r="E31" s="10">
        <f t="shared" si="1"/>
        <v>-1785942.5379880019</v>
      </c>
      <c r="F31" s="10"/>
      <c r="G31" s="10"/>
      <c r="H31" s="60"/>
      <c r="I31" s="10"/>
      <c r="J31" s="10"/>
      <c r="K31" s="10"/>
      <c r="L31" s="10"/>
    </row>
    <row r="32" spans="1:15" x14ac:dyDescent="0.25">
      <c r="A32">
        <f t="shared" si="0"/>
        <v>29</v>
      </c>
      <c r="B32">
        <f t="shared" si="3"/>
        <v>5</v>
      </c>
      <c r="C32" s="10">
        <f t="shared" si="2"/>
        <v>-1586115.478619779</v>
      </c>
      <c r="D32" s="10"/>
      <c r="E32" s="10">
        <f t="shared" si="1"/>
        <v>-1785942.5379880019</v>
      </c>
      <c r="F32" s="10"/>
      <c r="G32" s="10"/>
      <c r="H32" s="60"/>
      <c r="I32" s="10"/>
      <c r="J32" s="10"/>
      <c r="K32" s="10"/>
      <c r="L32" s="10"/>
    </row>
    <row r="33" spans="1:12" x14ac:dyDescent="0.25">
      <c r="A33">
        <f t="shared" si="0"/>
        <v>30</v>
      </c>
      <c r="B33">
        <f t="shared" si="3"/>
        <v>6</v>
      </c>
      <c r="C33" s="10">
        <f t="shared" si="2"/>
        <v>-1586115.478619779</v>
      </c>
      <c r="D33" s="10"/>
      <c r="E33" s="10">
        <f t="shared" si="1"/>
        <v>-1785942.5379880019</v>
      </c>
      <c r="F33" s="10"/>
      <c r="G33" s="10"/>
      <c r="H33" s="60"/>
      <c r="I33" s="10"/>
      <c r="J33" s="10"/>
      <c r="K33" s="10"/>
      <c r="L33" s="10"/>
    </row>
    <row r="34" spans="1:12" x14ac:dyDescent="0.25">
      <c r="A34">
        <f t="shared" si="0"/>
        <v>31</v>
      </c>
      <c r="B34">
        <f t="shared" si="3"/>
        <v>7</v>
      </c>
      <c r="C34" s="10">
        <f t="shared" si="2"/>
        <v>-1586115.478619779</v>
      </c>
      <c r="D34" s="10"/>
      <c r="E34" s="10">
        <f t="shared" si="1"/>
        <v>-1785942.5379880019</v>
      </c>
      <c r="F34" s="10"/>
      <c r="G34" s="10"/>
      <c r="H34" s="60"/>
      <c r="I34" s="10"/>
      <c r="J34" s="10"/>
      <c r="K34" s="10"/>
      <c r="L34" s="10"/>
    </row>
    <row r="35" spans="1:12" x14ac:dyDescent="0.25">
      <c r="A35">
        <f t="shared" si="0"/>
        <v>32</v>
      </c>
      <c r="B35">
        <f t="shared" si="3"/>
        <v>8</v>
      </c>
      <c r="C35" s="10">
        <f t="shared" si="2"/>
        <v>-1586115.478619779</v>
      </c>
      <c r="D35" s="10"/>
      <c r="E35" s="10">
        <f t="shared" si="1"/>
        <v>-1785942.5379880019</v>
      </c>
      <c r="F35" s="10"/>
      <c r="G35" s="10"/>
      <c r="H35" s="60"/>
      <c r="I35" s="10"/>
      <c r="J35" s="10"/>
      <c r="K35" s="10"/>
      <c r="L35" s="10"/>
    </row>
    <row r="36" spans="1:12" x14ac:dyDescent="0.25">
      <c r="A36">
        <f t="shared" si="0"/>
        <v>33</v>
      </c>
      <c r="B36">
        <f t="shared" si="3"/>
        <v>9</v>
      </c>
      <c r="C36" s="10">
        <f t="shared" si="2"/>
        <v>-1586115.478619779</v>
      </c>
      <c r="D36" s="10"/>
      <c r="E36" s="10">
        <f t="shared" si="1"/>
        <v>-1785942.5379880019</v>
      </c>
      <c r="F36" s="10"/>
      <c r="G36" s="10"/>
      <c r="H36" s="60"/>
      <c r="I36" s="10"/>
      <c r="J36" s="10"/>
      <c r="K36" s="10"/>
      <c r="L36" s="10"/>
    </row>
    <row r="37" spans="1:12" x14ac:dyDescent="0.25">
      <c r="A37">
        <f t="shared" si="0"/>
        <v>34</v>
      </c>
      <c r="B37">
        <f t="shared" si="3"/>
        <v>10</v>
      </c>
      <c r="C37" s="10">
        <f t="shared" si="2"/>
        <v>-1586115.478619779</v>
      </c>
      <c r="D37" s="10"/>
      <c r="E37" s="10">
        <f t="shared" si="1"/>
        <v>-1785942.5379880019</v>
      </c>
      <c r="F37" s="10"/>
      <c r="G37" s="10"/>
      <c r="H37" s="60"/>
      <c r="I37" s="10"/>
      <c r="J37" s="10"/>
      <c r="K37" s="10"/>
      <c r="L37" s="10"/>
    </row>
    <row r="38" spans="1:12" x14ac:dyDescent="0.25">
      <c r="A38">
        <f t="shared" si="0"/>
        <v>35</v>
      </c>
      <c r="B38">
        <f t="shared" si="3"/>
        <v>11</v>
      </c>
      <c r="C38" s="10">
        <f t="shared" si="2"/>
        <v>-1586115.478619779</v>
      </c>
      <c r="D38" s="10"/>
      <c r="E38" s="10">
        <f t="shared" si="1"/>
        <v>-1785942.5379880019</v>
      </c>
      <c r="F38" s="10"/>
      <c r="G38" s="10"/>
      <c r="H38" s="60"/>
      <c r="I38" s="10"/>
      <c r="J38" s="10"/>
      <c r="K38" s="10"/>
      <c r="L38" s="10"/>
    </row>
    <row r="39" spans="1:12" x14ac:dyDescent="0.25">
      <c r="A39">
        <f t="shared" si="0"/>
        <v>36</v>
      </c>
      <c r="B39">
        <f t="shared" si="3"/>
        <v>12</v>
      </c>
      <c r="C39" s="10">
        <f t="shared" si="2"/>
        <v>-1586115.478619779</v>
      </c>
      <c r="D39" s="10"/>
      <c r="E39" s="10">
        <f t="shared" si="1"/>
        <v>-1785942.5379880019</v>
      </c>
      <c r="F39" s="10"/>
      <c r="G39" s="10"/>
      <c r="H39" s="60"/>
      <c r="I39" s="10"/>
      <c r="J39" s="10"/>
      <c r="K39" s="10"/>
      <c r="L39" s="10"/>
    </row>
    <row r="40" spans="1:12" x14ac:dyDescent="0.25">
      <c r="A40">
        <f t="shared" si="0"/>
        <v>37</v>
      </c>
      <c r="B40">
        <f t="shared" si="3"/>
        <v>13</v>
      </c>
      <c r="C40" s="10">
        <f t="shared" si="2"/>
        <v>-1586115.478619779</v>
      </c>
      <c r="D40" s="10"/>
      <c r="E40" s="10">
        <f t="shared" si="1"/>
        <v>-1785942.5379880019</v>
      </c>
      <c r="F40" s="10"/>
      <c r="G40" s="10"/>
      <c r="H40" s="60"/>
      <c r="I40" s="10"/>
      <c r="J40" s="10"/>
      <c r="K40" s="10"/>
      <c r="L40" s="10"/>
    </row>
    <row r="41" spans="1:12" x14ac:dyDescent="0.25">
      <c r="A41">
        <f t="shared" si="0"/>
        <v>38</v>
      </c>
      <c r="B41">
        <f t="shared" si="3"/>
        <v>14</v>
      </c>
      <c r="C41" s="10">
        <f t="shared" si="2"/>
        <v>-1586115.478619779</v>
      </c>
      <c r="D41" s="10"/>
      <c r="E41" s="10">
        <f t="shared" si="1"/>
        <v>-1785942.5379880019</v>
      </c>
      <c r="F41" s="10"/>
      <c r="G41" s="10"/>
      <c r="H41" s="60"/>
      <c r="I41" s="10"/>
      <c r="J41" s="10"/>
      <c r="K41" s="10"/>
      <c r="L41" s="10"/>
    </row>
    <row r="42" spans="1:12" x14ac:dyDescent="0.25">
      <c r="A42">
        <f t="shared" si="0"/>
        <v>39</v>
      </c>
      <c r="B42">
        <f t="shared" si="3"/>
        <v>15</v>
      </c>
      <c r="C42" s="10">
        <f t="shared" si="2"/>
        <v>-1586115.478619779</v>
      </c>
      <c r="D42" s="10"/>
      <c r="E42" s="10">
        <f t="shared" si="1"/>
        <v>-1785942.5379880019</v>
      </c>
      <c r="F42" s="10"/>
      <c r="G42" s="10"/>
      <c r="H42" s="60"/>
      <c r="I42" s="10"/>
      <c r="J42" s="10"/>
      <c r="K42" s="10"/>
      <c r="L42" s="10"/>
    </row>
    <row r="43" spans="1:12" x14ac:dyDescent="0.25">
      <c r="A43">
        <f t="shared" si="0"/>
        <v>40</v>
      </c>
      <c r="B43">
        <f t="shared" si="3"/>
        <v>16</v>
      </c>
      <c r="C43" s="10">
        <f t="shared" si="2"/>
        <v>-1586115.478619779</v>
      </c>
      <c r="D43" s="10"/>
      <c r="E43" s="10">
        <f t="shared" si="1"/>
        <v>-1785942.5379880019</v>
      </c>
      <c r="F43" s="10"/>
      <c r="G43" s="10"/>
      <c r="H43" s="60"/>
      <c r="I43" s="10"/>
      <c r="J43" s="10"/>
      <c r="K43" s="10"/>
      <c r="L43" s="10"/>
    </row>
    <row r="44" spans="1:12" x14ac:dyDescent="0.25">
      <c r="A44">
        <f t="shared" si="0"/>
        <v>41</v>
      </c>
      <c r="B44">
        <f t="shared" si="3"/>
        <v>17</v>
      </c>
      <c r="C44" s="10">
        <f t="shared" si="2"/>
        <v>-1586115.478619779</v>
      </c>
      <c r="D44" s="10"/>
      <c r="E44" s="10">
        <f t="shared" si="1"/>
        <v>-1785942.5379880019</v>
      </c>
      <c r="F44" s="10"/>
      <c r="G44" s="10"/>
      <c r="H44" s="60"/>
      <c r="I44" s="10"/>
      <c r="J44" s="10"/>
      <c r="K44" s="10"/>
      <c r="L44" s="10"/>
    </row>
    <row r="45" spans="1:12" x14ac:dyDescent="0.25">
      <c r="A45">
        <f t="shared" si="0"/>
        <v>42</v>
      </c>
      <c r="B45">
        <f t="shared" si="3"/>
        <v>18</v>
      </c>
      <c r="C45" s="10">
        <f t="shared" si="2"/>
        <v>-1586115.478619779</v>
      </c>
      <c r="D45" s="10"/>
      <c r="E45" s="10">
        <f t="shared" si="1"/>
        <v>-1785942.5379880019</v>
      </c>
      <c r="F45" s="10"/>
      <c r="G45" s="10"/>
      <c r="H45" s="60"/>
      <c r="I45" s="10"/>
      <c r="J45" s="10"/>
      <c r="K45" s="10"/>
      <c r="L45" s="10"/>
    </row>
    <row r="46" spans="1:12" x14ac:dyDescent="0.25">
      <c r="A46">
        <f t="shared" si="0"/>
        <v>43</v>
      </c>
      <c r="B46">
        <f t="shared" si="3"/>
        <v>19</v>
      </c>
      <c r="C46" s="10">
        <f t="shared" si="2"/>
        <v>-1586115.478619779</v>
      </c>
      <c r="D46" s="10"/>
      <c r="E46" s="10">
        <f t="shared" si="1"/>
        <v>-1785942.5379880019</v>
      </c>
      <c r="F46" s="10"/>
      <c r="G46" s="10"/>
      <c r="H46" s="60"/>
      <c r="I46" s="10"/>
      <c r="J46" s="10"/>
      <c r="K46" s="10"/>
      <c r="L46" s="10"/>
    </row>
    <row r="47" spans="1:12" x14ac:dyDescent="0.25">
      <c r="A47">
        <f t="shared" si="0"/>
        <v>44</v>
      </c>
      <c r="B47">
        <f t="shared" si="3"/>
        <v>20</v>
      </c>
      <c r="C47" s="10">
        <f t="shared" si="2"/>
        <v>-1586115.478619779</v>
      </c>
      <c r="D47" s="10"/>
      <c r="E47" s="10">
        <f t="shared" si="1"/>
        <v>-1785942.5379880019</v>
      </c>
      <c r="F47" s="10"/>
      <c r="G47" s="10"/>
      <c r="H47" s="60"/>
      <c r="I47" s="10"/>
      <c r="J47" s="10"/>
      <c r="K47" s="10"/>
      <c r="L47" s="10"/>
    </row>
    <row r="48" spans="1:12" x14ac:dyDescent="0.25">
      <c r="A48">
        <f t="shared" si="0"/>
        <v>45</v>
      </c>
      <c r="B48">
        <f t="shared" si="3"/>
        <v>21</v>
      </c>
      <c r="C48" s="10">
        <f t="shared" si="2"/>
        <v>-1586115.478619779</v>
      </c>
      <c r="D48" s="10"/>
      <c r="E48" s="10">
        <f t="shared" si="1"/>
        <v>-1785942.5379880019</v>
      </c>
      <c r="F48" s="10"/>
      <c r="G48" s="10"/>
      <c r="H48" s="60"/>
      <c r="I48" s="10"/>
      <c r="J48" s="10"/>
      <c r="K48" s="10"/>
      <c r="L48" s="10"/>
    </row>
    <row r="49" spans="1:12" x14ac:dyDescent="0.25">
      <c r="A49">
        <f t="shared" si="0"/>
        <v>46</v>
      </c>
      <c r="B49">
        <f t="shared" si="3"/>
        <v>22</v>
      </c>
      <c r="C49" s="10">
        <f t="shared" si="2"/>
        <v>-1586115.478619779</v>
      </c>
      <c r="D49" s="10"/>
      <c r="E49" s="10">
        <f t="shared" si="1"/>
        <v>-1785942.5379880019</v>
      </c>
      <c r="F49" s="10"/>
      <c r="G49" s="10"/>
      <c r="H49" s="60"/>
      <c r="I49" s="10"/>
      <c r="J49" s="10"/>
      <c r="K49" s="10"/>
      <c r="L49" s="10"/>
    </row>
    <row r="50" spans="1:12" x14ac:dyDescent="0.25">
      <c r="A50">
        <f t="shared" si="0"/>
        <v>47</v>
      </c>
      <c r="B50">
        <f t="shared" si="3"/>
        <v>23</v>
      </c>
      <c r="C50" s="10">
        <f t="shared" si="2"/>
        <v>-1586115.478619779</v>
      </c>
      <c r="D50" s="10"/>
      <c r="E50" s="10">
        <f t="shared" si="1"/>
        <v>-1785942.5379880019</v>
      </c>
      <c r="F50" s="10"/>
      <c r="G50" s="10"/>
      <c r="H50" s="60"/>
      <c r="I50" s="10"/>
      <c r="J50" s="10"/>
      <c r="K50" s="10"/>
      <c r="L50" s="10"/>
    </row>
    <row r="51" spans="1:12" x14ac:dyDescent="0.25">
      <c r="A51">
        <f t="shared" si="0"/>
        <v>48</v>
      </c>
      <c r="B51">
        <f t="shared" si="3"/>
        <v>24</v>
      </c>
      <c r="C51" s="10">
        <f t="shared" si="2"/>
        <v>-1586115.478619779</v>
      </c>
      <c r="D51" s="10"/>
      <c r="E51" s="10">
        <f t="shared" si="1"/>
        <v>-1785942.5379880019</v>
      </c>
      <c r="F51" s="10"/>
      <c r="G51" s="10"/>
      <c r="H51" s="60"/>
      <c r="I51" s="10"/>
      <c r="J51" s="10"/>
      <c r="K51" s="10"/>
      <c r="L51" s="10"/>
    </row>
    <row r="52" spans="1:12" x14ac:dyDescent="0.25">
      <c r="A52">
        <f t="shared" si="0"/>
        <v>49</v>
      </c>
      <c r="B52">
        <f t="shared" si="3"/>
        <v>25</v>
      </c>
      <c r="C52" s="10">
        <f t="shared" si="2"/>
        <v>-1586115.478619779</v>
      </c>
      <c r="D52" s="10"/>
      <c r="E52" s="10">
        <f t="shared" si="1"/>
        <v>-1785942.5379880019</v>
      </c>
      <c r="F52" s="10"/>
      <c r="G52" s="10"/>
      <c r="H52" s="60"/>
      <c r="I52" s="10"/>
      <c r="J52" s="10"/>
      <c r="K52" s="10"/>
      <c r="L52" s="10"/>
    </row>
    <row r="53" spans="1:12" x14ac:dyDescent="0.25">
      <c r="A53">
        <f t="shared" si="0"/>
        <v>50</v>
      </c>
      <c r="B53">
        <f t="shared" si="3"/>
        <v>26</v>
      </c>
      <c r="C53" s="10">
        <f t="shared" si="2"/>
        <v>-1586115.478619779</v>
      </c>
      <c r="D53" s="10"/>
      <c r="E53" s="10">
        <f t="shared" si="1"/>
        <v>-1785942.5379880019</v>
      </c>
      <c r="F53" s="10"/>
      <c r="G53" s="10"/>
      <c r="H53" s="60"/>
      <c r="I53" s="10"/>
      <c r="J53" s="10"/>
      <c r="K53" s="10"/>
      <c r="L53" s="10"/>
    </row>
    <row r="54" spans="1:12" x14ac:dyDescent="0.25">
      <c r="A54">
        <f t="shared" si="0"/>
        <v>51</v>
      </c>
      <c r="B54">
        <f t="shared" si="3"/>
        <v>27</v>
      </c>
      <c r="C54" s="10">
        <f t="shared" si="2"/>
        <v>-1586115.478619779</v>
      </c>
      <c r="D54" s="10"/>
      <c r="E54" s="10">
        <f t="shared" si="1"/>
        <v>-1785942.5379880019</v>
      </c>
      <c r="F54" s="10"/>
      <c r="G54" s="10"/>
      <c r="H54" s="60"/>
      <c r="I54" s="10"/>
      <c r="J54" s="10"/>
      <c r="K54" s="10"/>
      <c r="L54" s="10"/>
    </row>
    <row r="55" spans="1:12" x14ac:dyDescent="0.25">
      <c r="A55">
        <f t="shared" si="0"/>
        <v>52</v>
      </c>
      <c r="B55">
        <f t="shared" si="3"/>
        <v>28</v>
      </c>
      <c r="C55" s="10">
        <f t="shared" si="2"/>
        <v>-1586115.478619779</v>
      </c>
      <c r="D55" s="10"/>
      <c r="E55" s="10">
        <f t="shared" si="1"/>
        <v>-1785942.5379880019</v>
      </c>
      <c r="F55" s="10"/>
      <c r="G55" s="10"/>
      <c r="H55" s="60"/>
      <c r="I55" s="10"/>
      <c r="J55" s="10"/>
      <c r="K55" s="10"/>
      <c r="L55" s="10"/>
    </row>
    <row r="56" spans="1:12" x14ac:dyDescent="0.25">
      <c r="A56">
        <f t="shared" si="0"/>
        <v>53</v>
      </c>
      <c r="B56">
        <f t="shared" si="3"/>
        <v>29</v>
      </c>
      <c r="C56" s="10">
        <f t="shared" si="2"/>
        <v>-1586115.478619779</v>
      </c>
      <c r="D56" s="10"/>
      <c r="E56" s="10">
        <f t="shared" si="1"/>
        <v>-1785942.5379880019</v>
      </c>
      <c r="F56" s="10"/>
      <c r="G56" s="10"/>
      <c r="H56" s="60"/>
      <c r="I56" s="10"/>
      <c r="J56" s="10"/>
      <c r="K56" s="10"/>
      <c r="L56" s="10"/>
    </row>
    <row r="57" spans="1:12" x14ac:dyDescent="0.25">
      <c r="A57">
        <f t="shared" si="0"/>
        <v>54</v>
      </c>
      <c r="B57">
        <f t="shared" si="3"/>
        <v>30</v>
      </c>
      <c r="C57" s="10">
        <f t="shared" si="2"/>
        <v>-1586115.478619779</v>
      </c>
      <c r="D57" s="10"/>
      <c r="E57" s="10">
        <f t="shared" si="1"/>
        <v>-1785942.5379880019</v>
      </c>
      <c r="F57" s="10"/>
      <c r="G57" s="10"/>
      <c r="H57" s="60"/>
      <c r="I57" s="10"/>
      <c r="J57" s="10"/>
      <c r="K57" s="10"/>
      <c r="L57" s="10"/>
    </row>
    <row r="58" spans="1:12" x14ac:dyDescent="0.25">
      <c r="A58">
        <f t="shared" si="0"/>
        <v>55</v>
      </c>
      <c r="B58">
        <f t="shared" si="3"/>
        <v>31</v>
      </c>
      <c r="C58" s="10">
        <f t="shared" si="2"/>
        <v>-1586115.478619779</v>
      </c>
      <c r="D58" s="10"/>
      <c r="E58" s="10">
        <f t="shared" si="1"/>
        <v>-1785942.5379880019</v>
      </c>
      <c r="F58" s="10"/>
      <c r="G58" s="10"/>
      <c r="H58" s="60"/>
      <c r="I58" s="10"/>
      <c r="J58" s="10"/>
      <c r="K58" s="10"/>
      <c r="L58" s="10"/>
    </row>
    <row r="59" spans="1:12" x14ac:dyDescent="0.25">
      <c r="A59">
        <f t="shared" si="0"/>
        <v>56</v>
      </c>
      <c r="B59">
        <f t="shared" si="3"/>
        <v>32</v>
      </c>
      <c r="C59" s="10">
        <f t="shared" si="2"/>
        <v>-1586115.478619779</v>
      </c>
      <c r="D59" s="10"/>
      <c r="E59" s="10">
        <f t="shared" si="1"/>
        <v>-1785942.5379880019</v>
      </c>
      <c r="F59" s="10"/>
      <c r="G59" s="10"/>
      <c r="H59" s="60"/>
      <c r="I59" s="10"/>
      <c r="J59" s="10"/>
      <c r="K59" s="10"/>
      <c r="L59" s="10"/>
    </row>
    <row r="60" spans="1:12" x14ac:dyDescent="0.25">
      <c r="A60">
        <f t="shared" si="0"/>
        <v>57</v>
      </c>
      <c r="B60">
        <f t="shared" si="3"/>
        <v>33</v>
      </c>
      <c r="C60" s="10">
        <f t="shared" si="2"/>
        <v>-1586115.478619779</v>
      </c>
      <c r="D60" s="10"/>
      <c r="E60" s="10">
        <f t="shared" ref="E60:E91" si="4">IF($B60&gt;E$11*12,"",E$16)</f>
        <v>-1785942.5379880019</v>
      </c>
      <c r="F60" s="10"/>
      <c r="G60" s="10"/>
      <c r="H60" s="60"/>
      <c r="I60" s="10"/>
      <c r="J60" s="10"/>
      <c r="K60" s="10"/>
      <c r="L60" s="10"/>
    </row>
    <row r="61" spans="1:12" x14ac:dyDescent="0.25">
      <c r="A61">
        <f t="shared" si="0"/>
        <v>58</v>
      </c>
      <c r="B61">
        <f t="shared" si="3"/>
        <v>34</v>
      </c>
      <c r="C61" s="10">
        <f t="shared" si="2"/>
        <v>-1586115.478619779</v>
      </c>
      <c r="D61" s="10"/>
      <c r="E61" s="10">
        <f t="shared" si="4"/>
        <v>-1785942.5379880019</v>
      </c>
      <c r="F61" s="10"/>
      <c r="G61" s="10"/>
      <c r="H61" s="60"/>
      <c r="I61" s="10"/>
      <c r="J61" s="10"/>
      <c r="K61" s="10"/>
      <c r="L61" s="10"/>
    </row>
    <row r="62" spans="1:12" x14ac:dyDescent="0.25">
      <c r="A62">
        <f t="shared" si="0"/>
        <v>59</v>
      </c>
      <c r="B62">
        <f t="shared" si="3"/>
        <v>35</v>
      </c>
      <c r="C62" s="10">
        <f t="shared" si="2"/>
        <v>-1586115.478619779</v>
      </c>
      <c r="D62" s="10"/>
      <c r="E62" s="10">
        <f t="shared" si="4"/>
        <v>-1785942.5379880019</v>
      </c>
      <c r="F62" s="10"/>
      <c r="G62" s="10"/>
      <c r="H62" s="60"/>
      <c r="I62" s="10"/>
      <c r="J62" s="10"/>
      <c r="K62" s="10"/>
      <c r="L62" s="10"/>
    </row>
    <row r="63" spans="1:12" x14ac:dyDescent="0.25">
      <c r="A63">
        <f t="shared" si="0"/>
        <v>60</v>
      </c>
      <c r="B63">
        <f t="shared" si="3"/>
        <v>36</v>
      </c>
      <c r="C63" s="10">
        <f t="shared" si="2"/>
        <v>-1586115.478619779</v>
      </c>
      <c r="D63" s="10"/>
      <c r="E63" s="10">
        <f t="shared" si="4"/>
        <v>-1785942.5379880019</v>
      </c>
      <c r="F63" s="10"/>
      <c r="G63" s="10"/>
      <c r="H63" s="60"/>
      <c r="I63" s="10"/>
      <c r="J63" s="10"/>
      <c r="K63" s="10"/>
      <c r="L63" s="10"/>
    </row>
    <row r="64" spans="1:12" x14ac:dyDescent="0.25">
      <c r="A64">
        <f t="shared" si="0"/>
        <v>61</v>
      </c>
      <c r="B64">
        <f t="shared" si="3"/>
        <v>37</v>
      </c>
      <c r="C64" s="10">
        <f t="shared" si="2"/>
        <v>-1586115.478619779</v>
      </c>
      <c r="D64" s="10"/>
      <c r="E64" s="10">
        <f t="shared" si="4"/>
        <v>-1785942.5379880019</v>
      </c>
      <c r="F64" s="10"/>
      <c r="G64" s="10"/>
      <c r="H64" s="60"/>
      <c r="I64" s="10"/>
      <c r="J64" s="10"/>
      <c r="K64" s="10"/>
      <c r="L64" s="10"/>
    </row>
    <row r="65" spans="1:12" x14ac:dyDescent="0.25">
      <c r="A65">
        <f t="shared" si="0"/>
        <v>62</v>
      </c>
      <c r="B65">
        <f t="shared" si="3"/>
        <v>38</v>
      </c>
      <c r="C65" s="10">
        <f t="shared" si="2"/>
        <v>-1586115.478619779</v>
      </c>
      <c r="D65" s="10"/>
      <c r="E65" s="10">
        <f t="shared" si="4"/>
        <v>-1785942.5379880019</v>
      </c>
      <c r="F65" s="10"/>
      <c r="G65" s="10"/>
      <c r="H65" s="60"/>
      <c r="I65" s="10"/>
      <c r="J65" s="10"/>
      <c r="K65" s="10"/>
      <c r="L65" s="10"/>
    </row>
    <row r="66" spans="1:12" x14ac:dyDescent="0.25">
      <c r="A66">
        <f t="shared" si="0"/>
        <v>63</v>
      </c>
      <c r="B66">
        <f t="shared" si="3"/>
        <v>39</v>
      </c>
      <c r="C66" s="10">
        <f t="shared" si="2"/>
        <v>-1586115.478619779</v>
      </c>
      <c r="D66" s="10"/>
      <c r="E66" s="10">
        <f t="shared" si="4"/>
        <v>-1785942.5379880019</v>
      </c>
      <c r="F66" s="10"/>
      <c r="G66" s="10"/>
      <c r="H66" s="60"/>
      <c r="I66" s="10"/>
      <c r="J66" s="10"/>
      <c r="K66" s="10"/>
      <c r="L66" s="10"/>
    </row>
    <row r="67" spans="1:12" x14ac:dyDescent="0.25">
      <c r="A67">
        <f t="shared" si="0"/>
        <v>64</v>
      </c>
      <c r="B67">
        <f t="shared" si="3"/>
        <v>40</v>
      </c>
      <c r="C67" s="10">
        <f t="shared" si="2"/>
        <v>-1586115.478619779</v>
      </c>
      <c r="D67" s="10"/>
      <c r="E67" s="10">
        <f t="shared" si="4"/>
        <v>-1785942.5379880019</v>
      </c>
      <c r="F67" s="10"/>
      <c r="G67" s="10"/>
      <c r="H67" s="60"/>
      <c r="I67" s="10"/>
      <c r="J67" s="10"/>
      <c r="K67" s="10"/>
      <c r="L67" s="10"/>
    </row>
    <row r="68" spans="1:12" x14ac:dyDescent="0.25">
      <c r="A68">
        <f t="shared" si="0"/>
        <v>65</v>
      </c>
      <c r="B68">
        <f t="shared" si="3"/>
        <v>41</v>
      </c>
      <c r="C68" s="10">
        <f t="shared" si="2"/>
        <v>-1586115.478619779</v>
      </c>
      <c r="D68" s="10"/>
      <c r="E68" s="10">
        <f t="shared" si="4"/>
        <v>-1785942.5379880019</v>
      </c>
      <c r="F68" s="10"/>
      <c r="G68" s="10"/>
      <c r="H68" s="60"/>
      <c r="I68" s="10"/>
      <c r="J68" s="10"/>
      <c r="K68" s="10"/>
      <c r="L68" s="10"/>
    </row>
    <row r="69" spans="1:12" x14ac:dyDescent="0.25">
      <c r="A69">
        <f t="shared" si="0"/>
        <v>66</v>
      </c>
      <c r="B69">
        <f t="shared" si="3"/>
        <v>42</v>
      </c>
      <c r="C69" s="10">
        <f t="shared" si="2"/>
        <v>-1586115.478619779</v>
      </c>
      <c r="D69" s="10"/>
      <c r="E69" s="10">
        <f t="shared" si="4"/>
        <v>-1785942.5379880019</v>
      </c>
      <c r="F69" s="10"/>
      <c r="G69" s="10"/>
      <c r="H69" s="60"/>
      <c r="I69" s="10"/>
      <c r="J69" s="10"/>
      <c r="K69" s="10"/>
      <c r="L69" s="10"/>
    </row>
    <row r="70" spans="1:12" x14ac:dyDescent="0.25">
      <c r="A70">
        <f t="shared" si="0"/>
        <v>67</v>
      </c>
      <c r="B70">
        <f t="shared" si="3"/>
        <v>43</v>
      </c>
      <c r="C70" s="10">
        <f t="shared" si="2"/>
        <v>-1586115.478619779</v>
      </c>
      <c r="D70" s="10"/>
      <c r="E70" s="10">
        <f t="shared" si="4"/>
        <v>-1785942.5379880019</v>
      </c>
      <c r="F70" s="10"/>
      <c r="G70" s="10"/>
      <c r="H70" s="60"/>
      <c r="I70" s="10"/>
      <c r="J70" s="10"/>
      <c r="K70" s="10"/>
      <c r="L70" s="10"/>
    </row>
    <row r="71" spans="1:12" x14ac:dyDescent="0.25">
      <c r="A71">
        <f t="shared" ref="A71:A134" si="5">A70+1</f>
        <v>68</v>
      </c>
      <c r="B71">
        <f t="shared" si="3"/>
        <v>44</v>
      </c>
      <c r="C71" s="10">
        <f t="shared" si="2"/>
        <v>-1586115.478619779</v>
      </c>
      <c r="D71" s="10"/>
      <c r="E71" s="10">
        <f t="shared" si="4"/>
        <v>-1785942.5379880019</v>
      </c>
      <c r="F71" s="10"/>
      <c r="G71" s="10"/>
      <c r="H71" s="60"/>
      <c r="I71" s="10"/>
      <c r="J71" s="10"/>
      <c r="K71" s="10"/>
      <c r="L71" s="10"/>
    </row>
    <row r="72" spans="1:12" x14ac:dyDescent="0.25">
      <c r="A72">
        <f t="shared" si="5"/>
        <v>69</v>
      </c>
      <c r="B72">
        <f t="shared" si="3"/>
        <v>45</v>
      </c>
      <c r="C72" s="10">
        <f t="shared" si="2"/>
        <v>-1586115.478619779</v>
      </c>
      <c r="D72" s="10"/>
      <c r="E72" s="10">
        <f t="shared" si="4"/>
        <v>-1785942.5379880019</v>
      </c>
      <c r="F72" s="10"/>
      <c r="G72" s="10"/>
      <c r="H72" s="60"/>
      <c r="I72" s="10"/>
      <c r="J72" s="10"/>
      <c r="K72" s="10"/>
      <c r="L72" s="10"/>
    </row>
    <row r="73" spans="1:12" x14ac:dyDescent="0.25">
      <c r="A73">
        <f t="shared" si="5"/>
        <v>70</v>
      </c>
      <c r="B73">
        <f t="shared" si="3"/>
        <v>46</v>
      </c>
      <c r="C73" s="10">
        <f t="shared" si="2"/>
        <v>-1586115.478619779</v>
      </c>
      <c r="D73" s="10"/>
      <c r="E73" s="10">
        <f t="shared" si="4"/>
        <v>-1785942.5379880019</v>
      </c>
      <c r="F73" s="10"/>
      <c r="G73" s="10"/>
      <c r="H73" s="60"/>
      <c r="I73" s="10"/>
      <c r="J73" s="10"/>
      <c r="K73" s="10"/>
      <c r="L73" s="10"/>
    </row>
    <row r="74" spans="1:12" x14ac:dyDescent="0.25">
      <c r="A74">
        <f t="shared" si="5"/>
        <v>71</v>
      </c>
      <c r="B74">
        <f t="shared" si="3"/>
        <v>47</v>
      </c>
      <c r="C74" s="10">
        <f t="shared" si="2"/>
        <v>-1586115.478619779</v>
      </c>
      <c r="D74" s="10"/>
      <c r="E74" s="10">
        <f t="shared" si="4"/>
        <v>-1785942.5379880019</v>
      </c>
      <c r="F74" s="10"/>
      <c r="G74" s="10"/>
      <c r="H74" s="60"/>
      <c r="I74" s="10"/>
      <c r="J74" s="10"/>
      <c r="K74" s="10"/>
      <c r="L74" s="10"/>
    </row>
    <row r="75" spans="1:12" x14ac:dyDescent="0.25">
      <c r="A75">
        <f t="shared" si="5"/>
        <v>72</v>
      </c>
      <c r="B75">
        <f t="shared" si="3"/>
        <v>48</v>
      </c>
      <c r="C75" s="10">
        <f t="shared" si="2"/>
        <v>-1586115.478619779</v>
      </c>
      <c r="D75" s="10"/>
      <c r="E75" s="10">
        <f t="shared" si="4"/>
        <v>-1785942.5379880019</v>
      </c>
      <c r="F75" s="10"/>
      <c r="G75" s="10"/>
      <c r="H75" s="60"/>
      <c r="I75" s="10"/>
      <c r="J75" s="10"/>
      <c r="K75" s="10"/>
      <c r="L75" s="10"/>
    </row>
    <row r="76" spans="1:12" x14ac:dyDescent="0.25">
      <c r="A76">
        <f t="shared" si="5"/>
        <v>73</v>
      </c>
      <c r="B76">
        <f t="shared" si="3"/>
        <v>49</v>
      </c>
      <c r="C76" s="10">
        <f t="shared" si="2"/>
        <v>-1586115.478619779</v>
      </c>
      <c r="D76" s="10"/>
      <c r="E76" s="10">
        <f t="shared" si="4"/>
        <v>-1785942.5379880019</v>
      </c>
      <c r="F76" s="10"/>
      <c r="G76" s="10"/>
      <c r="H76" s="60"/>
      <c r="I76" s="10"/>
      <c r="J76" s="10"/>
      <c r="K76" s="10"/>
      <c r="L76" s="10"/>
    </row>
    <row r="77" spans="1:12" x14ac:dyDescent="0.25">
      <c r="A77">
        <f t="shared" si="5"/>
        <v>74</v>
      </c>
      <c r="B77">
        <f t="shared" si="3"/>
        <v>50</v>
      </c>
      <c r="C77" s="10">
        <f t="shared" si="2"/>
        <v>-1586115.478619779</v>
      </c>
      <c r="D77" s="10"/>
      <c r="E77" s="10">
        <f t="shared" si="4"/>
        <v>-1785942.5379880019</v>
      </c>
      <c r="F77" s="10"/>
      <c r="G77" s="10"/>
      <c r="H77" s="60"/>
      <c r="I77" s="10"/>
      <c r="J77" s="10"/>
      <c r="K77" s="10"/>
      <c r="L77" s="10"/>
    </row>
    <row r="78" spans="1:12" x14ac:dyDescent="0.25">
      <c r="A78">
        <f t="shared" si="5"/>
        <v>75</v>
      </c>
      <c r="B78">
        <f t="shared" si="3"/>
        <v>51</v>
      </c>
      <c r="C78" s="10">
        <f t="shared" si="2"/>
        <v>-1586115.478619779</v>
      </c>
      <c r="D78" s="10"/>
      <c r="E78" s="10">
        <f t="shared" si="4"/>
        <v>-1785942.5379880019</v>
      </c>
      <c r="F78" s="10"/>
      <c r="G78" s="10"/>
      <c r="H78" s="60"/>
      <c r="I78" s="10"/>
      <c r="J78" s="10"/>
      <c r="K78" s="10"/>
      <c r="L78" s="10"/>
    </row>
    <row r="79" spans="1:12" x14ac:dyDescent="0.25">
      <c r="A79">
        <f t="shared" si="5"/>
        <v>76</v>
      </c>
      <c r="B79">
        <f t="shared" si="3"/>
        <v>52</v>
      </c>
      <c r="C79" s="10">
        <f t="shared" si="2"/>
        <v>-1586115.478619779</v>
      </c>
      <c r="D79" s="10"/>
      <c r="E79" s="10">
        <f t="shared" si="4"/>
        <v>-1785942.5379880019</v>
      </c>
      <c r="F79" s="10"/>
      <c r="G79" s="10"/>
      <c r="H79" s="60"/>
      <c r="I79" s="10"/>
      <c r="J79" s="10"/>
      <c r="K79" s="10"/>
      <c r="L79" s="10"/>
    </row>
    <row r="80" spans="1:12" x14ac:dyDescent="0.25">
      <c r="A80">
        <f t="shared" si="5"/>
        <v>77</v>
      </c>
      <c r="B80">
        <f t="shared" si="3"/>
        <v>53</v>
      </c>
      <c r="C80" s="10">
        <f t="shared" si="2"/>
        <v>-1586115.478619779</v>
      </c>
      <c r="D80" s="10"/>
      <c r="E80" s="10">
        <f t="shared" si="4"/>
        <v>-1785942.5379880019</v>
      </c>
      <c r="F80" s="10"/>
      <c r="G80" s="10"/>
      <c r="H80" s="60"/>
      <c r="I80" s="10"/>
      <c r="J80" s="10"/>
      <c r="K80" s="10"/>
      <c r="L80" s="10"/>
    </row>
    <row r="81" spans="1:12" x14ac:dyDescent="0.25">
      <c r="A81">
        <f t="shared" si="5"/>
        <v>78</v>
      </c>
      <c r="B81">
        <f t="shared" si="3"/>
        <v>54</v>
      </c>
      <c r="C81" s="10">
        <f t="shared" si="2"/>
        <v>-1586115.478619779</v>
      </c>
      <c r="D81" s="10"/>
      <c r="E81" s="10">
        <f t="shared" si="4"/>
        <v>-1785942.5379880019</v>
      </c>
      <c r="F81" s="10"/>
      <c r="G81" s="10"/>
      <c r="H81" s="60"/>
      <c r="I81" s="10"/>
      <c r="J81" s="10"/>
      <c r="K81" s="10"/>
      <c r="L81" s="10"/>
    </row>
    <row r="82" spans="1:12" x14ac:dyDescent="0.25">
      <c r="A82">
        <f t="shared" si="5"/>
        <v>79</v>
      </c>
      <c r="B82">
        <f t="shared" si="3"/>
        <v>55</v>
      </c>
      <c r="C82" s="10">
        <f t="shared" si="2"/>
        <v>-1586115.478619779</v>
      </c>
      <c r="D82" s="10"/>
      <c r="E82" s="10">
        <f t="shared" si="4"/>
        <v>-1785942.5379880019</v>
      </c>
      <c r="F82" s="10"/>
      <c r="G82" s="10"/>
      <c r="H82" s="60"/>
      <c r="I82" s="10"/>
      <c r="J82" s="10"/>
      <c r="K82" s="10"/>
      <c r="L82" s="10"/>
    </row>
    <row r="83" spans="1:12" x14ac:dyDescent="0.25">
      <c r="A83">
        <f t="shared" si="5"/>
        <v>80</v>
      </c>
      <c r="B83">
        <f t="shared" si="3"/>
        <v>56</v>
      </c>
      <c r="C83" s="10">
        <f t="shared" si="2"/>
        <v>-1586115.478619779</v>
      </c>
      <c r="D83" s="10"/>
      <c r="E83" s="10">
        <f t="shared" si="4"/>
        <v>-1785942.5379880019</v>
      </c>
      <c r="F83" s="10"/>
      <c r="G83" s="10"/>
      <c r="H83" s="60"/>
      <c r="I83" s="10"/>
      <c r="J83" s="10"/>
      <c r="K83" s="10"/>
      <c r="L83" s="10"/>
    </row>
    <row r="84" spans="1:12" x14ac:dyDescent="0.25">
      <c r="A84">
        <f t="shared" si="5"/>
        <v>81</v>
      </c>
      <c r="B84">
        <f t="shared" si="3"/>
        <v>57</v>
      </c>
      <c r="C84" s="10">
        <f t="shared" si="2"/>
        <v>-1586115.478619779</v>
      </c>
      <c r="D84" s="10"/>
      <c r="E84" s="10">
        <f t="shared" si="4"/>
        <v>-1785942.5379880019</v>
      </c>
      <c r="F84" s="10"/>
      <c r="G84" s="10"/>
      <c r="H84" s="60"/>
      <c r="I84" s="10"/>
      <c r="J84" s="10"/>
      <c r="K84" s="10"/>
      <c r="L84" s="10"/>
    </row>
    <row r="85" spans="1:12" x14ac:dyDescent="0.25">
      <c r="A85">
        <f t="shared" si="5"/>
        <v>82</v>
      </c>
      <c r="B85">
        <f t="shared" si="3"/>
        <v>58</v>
      </c>
      <c r="C85" s="10">
        <f t="shared" si="2"/>
        <v>-1586115.478619779</v>
      </c>
      <c r="D85" s="10"/>
      <c r="E85" s="10">
        <f t="shared" si="4"/>
        <v>-1785942.5379880019</v>
      </c>
      <c r="F85" s="10"/>
      <c r="G85" s="10"/>
      <c r="H85" s="60"/>
      <c r="I85" s="10"/>
      <c r="J85" s="10"/>
      <c r="K85" s="10"/>
      <c r="L85" s="10"/>
    </row>
    <row r="86" spans="1:12" x14ac:dyDescent="0.25">
      <c r="A86">
        <f t="shared" si="5"/>
        <v>83</v>
      </c>
      <c r="B86">
        <f t="shared" si="3"/>
        <v>59</v>
      </c>
      <c r="C86" s="10">
        <f t="shared" si="2"/>
        <v>-1586115.478619779</v>
      </c>
      <c r="D86" s="10"/>
      <c r="E86" s="10">
        <f t="shared" si="4"/>
        <v>-1785942.5379880019</v>
      </c>
      <c r="F86" s="10"/>
      <c r="G86" s="10"/>
      <c r="H86" s="60"/>
      <c r="I86" s="10"/>
      <c r="J86" s="10"/>
      <c r="K86" s="10"/>
      <c r="L86" s="10"/>
    </row>
    <row r="87" spans="1:12" x14ac:dyDescent="0.25">
      <c r="A87">
        <f t="shared" si="5"/>
        <v>84</v>
      </c>
      <c r="B87">
        <f t="shared" si="3"/>
        <v>60</v>
      </c>
      <c r="C87" s="10">
        <f t="shared" si="2"/>
        <v>-1586115.478619779</v>
      </c>
      <c r="D87" s="10"/>
      <c r="E87" s="10">
        <f t="shared" si="4"/>
        <v>-1785942.5379880019</v>
      </c>
      <c r="F87" s="57"/>
      <c r="G87" s="10"/>
      <c r="H87" s="60"/>
      <c r="I87" s="10"/>
      <c r="J87" s="10"/>
      <c r="K87" s="10"/>
      <c r="L87" s="10"/>
    </row>
    <row r="88" spans="1:12" x14ac:dyDescent="0.25">
      <c r="A88">
        <f t="shared" si="5"/>
        <v>85</v>
      </c>
      <c r="B88">
        <f t="shared" si="3"/>
        <v>61</v>
      </c>
      <c r="C88" s="10">
        <f t="shared" si="2"/>
        <v>-1586115.478619779</v>
      </c>
      <c r="D88" s="10"/>
      <c r="E88" s="10">
        <f t="shared" si="4"/>
        <v>-1785942.5379880019</v>
      </c>
      <c r="F88" s="10"/>
      <c r="G88" s="10"/>
      <c r="H88" s="60"/>
      <c r="I88" s="10"/>
      <c r="J88" s="10"/>
      <c r="K88" s="10"/>
      <c r="L88" s="10"/>
    </row>
    <row r="89" spans="1:12" x14ac:dyDescent="0.25">
      <c r="A89">
        <f t="shared" si="5"/>
        <v>86</v>
      </c>
      <c r="B89">
        <f t="shared" si="3"/>
        <v>62</v>
      </c>
      <c r="C89" s="10">
        <f t="shared" si="2"/>
        <v>-1586115.478619779</v>
      </c>
      <c r="D89" s="10"/>
      <c r="E89" s="10">
        <f t="shared" si="4"/>
        <v>-1785942.5379880019</v>
      </c>
      <c r="F89" s="10"/>
      <c r="G89" s="10"/>
      <c r="H89" s="60"/>
      <c r="I89" s="10"/>
      <c r="J89" s="10"/>
      <c r="K89" s="10"/>
      <c r="L89" s="10"/>
    </row>
    <row r="90" spans="1:12" x14ac:dyDescent="0.25">
      <c r="A90">
        <f t="shared" si="5"/>
        <v>87</v>
      </c>
      <c r="B90">
        <f t="shared" si="3"/>
        <v>63</v>
      </c>
      <c r="C90" s="10">
        <f t="shared" si="2"/>
        <v>-1586115.478619779</v>
      </c>
      <c r="D90" s="10"/>
      <c r="E90" s="10">
        <f t="shared" si="4"/>
        <v>-1785942.5379880019</v>
      </c>
      <c r="F90" s="10"/>
      <c r="G90" s="10"/>
      <c r="H90" s="60"/>
      <c r="I90" s="10"/>
      <c r="J90" s="10"/>
      <c r="K90" s="10"/>
      <c r="L90" s="10"/>
    </row>
    <row r="91" spans="1:12" x14ac:dyDescent="0.25">
      <c r="A91">
        <f t="shared" si="5"/>
        <v>88</v>
      </c>
      <c r="B91">
        <f t="shared" si="3"/>
        <v>64</v>
      </c>
      <c r="C91" s="10">
        <f t="shared" si="2"/>
        <v>-1586115.478619779</v>
      </c>
      <c r="D91" s="10"/>
      <c r="E91" s="10">
        <f t="shared" si="4"/>
        <v>-1785942.5379880019</v>
      </c>
      <c r="F91" s="10"/>
      <c r="G91" s="10"/>
      <c r="H91" s="60"/>
      <c r="I91" s="10"/>
      <c r="J91" s="10"/>
      <c r="K91" s="10"/>
      <c r="L91" s="10"/>
    </row>
    <row r="92" spans="1:12" x14ac:dyDescent="0.25">
      <c r="A92">
        <f t="shared" si="5"/>
        <v>89</v>
      </c>
      <c r="B92">
        <f t="shared" si="3"/>
        <v>65</v>
      </c>
      <c r="C92" s="10">
        <f t="shared" si="2"/>
        <v>-1586115.478619779</v>
      </c>
      <c r="D92" s="10"/>
      <c r="E92" s="10">
        <f t="shared" ref="E92:E123" si="6">IF($B92&gt;E$11*12,"",E$16)</f>
        <v>-1785942.5379880019</v>
      </c>
      <c r="F92" s="10"/>
      <c r="G92" s="10"/>
      <c r="H92" s="60"/>
      <c r="I92" s="10"/>
      <c r="J92" s="10"/>
      <c r="K92" s="10"/>
      <c r="L92" s="10"/>
    </row>
    <row r="93" spans="1:12" x14ac:dyDescent="0.25">
      <c r="A93">
        <f t="shared" si="5"/>
        <v>90</v>
      </c>
      <c r="B93">
        <f t="shared" si="3"/>
        <v>66</v>
      </c>
      <c r="C93" s="10">
        <f t="shared" ref="C93:C156" si="7">C$16</f>
        <v>-1586115.478619779</v>
      </c>
      <c r="D93" s="10"/>
      <c r="E93" s="10">
        <f t="shared" si="6"/>
        <v>-1785942.5379880019</v>
      </c>
      <c r="F93" s="10"/>
      <c r="G93" s="10"/>
      <c r="H93" s="60"/>
      <c r="I93" s="10"/>
      <c r="J93" s="10"/>
      <c r="K93" s="10"/>
      <c r="L93" s="10"/>
    </row>
    <row r="94" spans="1:12" x14ac:dyDescent="0.25">
      <c r="A94">
        <f t="shared" si="5"/>
        <v>91</v>
      </c>
      <c r="B94">
        <f t="shared" ref="B94:B157" si="8">B93+1</f>
        <v>67</v>
      </c>
      <c r="C94" s="10">
        <f t="shared" si="7"/>
        <v>-1586115.478619779</v>
      </c>
      <c r="D94" s="10"/>
      <c r="E94" s="10">
        <f t="shared" si="6"/>
        <v>-1785942.5379880019</v>
      </c>
      <c r="F94" s="10"/>
      <c r="G94" s="10"/>
      <c r="H94" s="60"/>
      <c r="I94" s="10"/>
      <c r="J94" s="10"/>
      <c r="K94" s="10"/>
      <c r="L94" s="10"/>
    </row>
    <row r="95" spans="1:12" x14ac:dyDescent="0.25">
      <c r="A95">
        <f t="shared" si="5"/>
        <v>92</v>
      </c>
      <c r="B95">
        <f t="shared" si="8"/>
        <v>68</v>
      </c>
      <c r="C95" s="10">
        <f t="shared" si="7"/>
        <v>-1586115.478619779</v>
      </c>
      <c r="D95" s="10"/>
      <c r="E95" s="10">
        <f t="shared" si="6"/>
        <v>-1785942.5379880019</v>
      </c>
      <c r="F95" s="10"/>
      <c r="G95" s="10"/>
      <c r="H95" s="60"/>
      <c r="I95" s="10"/>
      <c r="J95" s="10"/>
      <c r="K95" s="10"/>
      <c r="L95" s="10"/>
    </row>
    <row r="96" spans="1:12" x14ac:dyDescent="0.25">
      <c r="A96">
        <f t="shared" si="5"/>
        <v>93</v>
      </c>
      <c r="B96">
        <f t="shared" si="8"/>
        <v>69</v>
      </c>
      <c r="C96" s="10">
        <f t="shared" si="7"/>
        <v>-1586115.478619779</v>
      </c>
      <c r="D96" s="10"/>
      <c r="E96" s="10">
        <f t="shared" si="6"/>
        <v>-1785942.5379880019</v>
      </c>
      <c r="F96" s="10"/>
      <c r="G96" s="10"/>
      <c r="H96" s="60"/>
      <c r="I96" s="10"/>
      <c r="J96" s="10"/>
      <c r="K96" s="10"/>
      <c r="L96" s="10"/>
    </row>
    <row r="97" spans="1:12" x14ac:dyDescent="0.25">
      <c r="A97">
        <f t="shared" si="5"/>
        <v>94</v>
      </c>
      <c r="B97">
        <f t="shared" si="8"/>
        <v>70</v>
      </c>
      <c r="C97" s="10">
        <f t="shared" si="7"/>
        <v>-1586115.478619779</v>
      </c>
      <c r="D97" s="10"/>
      <c r="E97" s="10">
        <f t="shared" si="6"/>
        <v>-1785942.5379880019</v>
      </c>
      <c r="F97" s="10"/>
      <c r="G97" s="10"/>
      <c r="H97" s="60"/>
      <c r="I97" s="10"/>
      <c r="J97" s="10"/>
      <c r="K97" s="10"/>
      <c r="L97" s="10"/>
    </row>
    <row r="98" spans="1:12" x14ac:dyDescent="0.25">
      <c r="A98">
        <f t="shared" si="5"/>
        <v>95</v>
      </c>
      <c r="B98">
        <f t="shared" si="8"/>
        <v>71</v>
      </c>
      <c r="C98" s="10">
        <f t="shared" si="7"/>
        <v>-1586115.478619779</v>
      </c>
      <c r="D98" s="10"/>
      <c r="E98" s="10">
        <f t="shared" si="6"/>
        <v>-1785942.5379880019</v>
      </c>
      <c r="F98" s="10"/>
      <c r="G98" s="10"/>
      <c r="H98" s="60"/>
      <c r="I98" s="10"/>
      <c r="J98" s="10"/>
      <c r="K98" s="10"/>
      <c r="L98" s="10"/>
    </row>
    <row r="99" spans="1:12" x14ac:dyDescent="0.25">
      <c r="A99">
        <f t="shared" si="5"/>
        <v>96</v>
      </c>
      <c r="B99">
        <f t="shared" si="8"/>
        <v>72</v>
      </c>
      <c r="C99" s="10">
        <f t="shared" si="7"/>
        <v>-1586115.478619779</v>
      </c>
      <c r="D99" s="10"/>
      <c r="E99" s="10">
        <f t="shared" si="6"/>
        <v>-1785942.5379880019</v>
      </c>
      <c r="F99" s="10"/>
      <c r="G99" s="10"/>
      <c r="H99" s="60"/>
      <c r="I99" s="10"/>
      <c r="J99" s="10"/>
      <c r="K99" s="10"/>
      <c r="L99" s="10"/>
    </row>
    <row r="100" spans="1:12" x14ac:dyDescent="0.25">
      <c r="A100">
        <f t="shared" si="5"/>
        <v>97</v>
      </c>
      <c r="B100">
        <f t="shared" si="8"/>
        <v>73</v>
      </c>
      <c r="C100" s="10">
        <f t="shared" si="7"/>
        <v>-1586115.478619779</v>
      </c>
      <c r="D100" s="10"/>
      <c r="E100" s="10">
        <f t="shared" si="6"/>
        <v>-1785942.5379880019</v>
      </c>
      <c r="F100" s="10"/>
      <c r="G100" s="10"/>
      <c r="H100" s="60"/>
      <c r="I100" s="10"/>
      <c r="J100" s="10"/>
      <c r="K100" s="10"/>
      <c r="L100" s="10"/>
    </row>
    <row r="101" spans="1:12" x14ac:dyDescent="0.25">
      <c r="A101">
        <f t="shared" si="5"/>
        <v>98</v>
      </c>
      <c r="B101">
        <f t="shared" si="8"/>
        <v>74</v>
      </c>
      <c r="C101" s="10">
        <f t="shared" si="7"/>
        <v>-1586115.478619779</v>
      </c>
      <c r="D101" s="10"/>
      <c r="E101" s="10">
        <f t="shared" si="6"/>
        <v>-1785942.5379880019</v>
      </c>
      <c r="F101" s="10"/>
      <c r="G101" s="10"/>
      <c r="H101" s="60"/>
      <c r="I101" s="10"/>
      <c r="J101" s="10"/>
      <c r="K101" s="10"/>
      <c r="L101" s="10"/>
    </row>
    <row r="102" spans="1:12" x14ac:dyDescent="0.25">
      <c r="A102">
        <f t="shared" si="5"/>
        <v>99</v>
      </c>
      <c r="B102">
        <f t="shared" si="8"/>
        <v>75</v>
      </c>
      <c r="C102" s="10">
        <f t="shared" si="7"/>
        <v>-1586115.478619779</v>
      </c>
      <c r="D102" s="10"/>
      <c r="E102" s="10">
        <f t="shared" si="6"/>
        <v>-1785942.5379880019</v>
      </c>
      <c r="F102" s="10"/>
      <c r="G102" s="10"/>
      <c r="H102" s="60"/>
      <c r="I102" s="10"/>
      <c r="J102" s="10"/>
      <c r="K102" s="10"/>
      <c r="L102" s="10"/>
    </row>
    <row r="103" spans="1:12" x14ac:dyDescent="0.25">
      <c r="A103">
        <f t="shared" si="5"/>
        <v>100</v>
      </c>
      <c r="B103">
        <f t="shared" si="8"/>
        <v>76</v>
      </c>
      <c r="C103" s="10">
        <f t="shared" si="7"/>
        <v>-1586115.478619779</v>
      </c>
      <c r="D103" s="10"/>
      <c r="E103" s="10">
        <f t="shared" si="6"/>
        <v>-1785942.5379880019</v>
      </c>
      <c r="F103" s="10"/>
      <c r="G103" s="10"/>
      <c r="H103" s="60"/>
      <c r="I103" s="10"/>
      <c r="J103" s="10"/>
      <c r="K103" s="10"/>
      <c r="L103" s="10"/>
    </row>
    <row r="104" spans="1:12" x14ac:dyDescent="0.25">
      <c r="A104">
        <f t="shared" si="5"/>
        <v>101</v>
      </c>
      <c r="B104">
        <f t="shared" si="8"/>
        <v>77</v>
      </c>
      <c r="C104" s="10">
        <f t="shared" si="7"/>
        <v>-1586115.478619779</v>
      </c>
      <c r="D104" s="10"/>
      <c r="E104" s="10">
        <f t="shared" si="6"/>
        <v>-1785942.5379880019</v>
      </c>
      <c r="F104" s="10"/>
      <c r="G104" s="10"/>
      <c r="H104" s="60"/>
      <c r="I104" s="10"/>
      <c r="J104" s="10"/>
      <c r="K104" s="10"/>
      <c r="L104" s="10"/>
    </row>
    <row r="105" spans="1:12" x14ac:dyDescent="0.25">
      <c r="A105">
        <f t="shared" si="5"/>
        <v>102</v>
      </c>
      <c r="B105">
        <f t="shared" si="8"/>
        <v>78</v>
      </c>
      <c r="C105" s="10">
        <f t="shared" si="7"/>
        <v>-1586115.478619779</v>
      </c>
      <c r="D105" s="10"/>
      <c r="E105" s="10">
        <f t="shared" si="6"/>
        <v>-1785942.5379880019</v>
      </c>
      <c r="F105" s="10"/>
      <c r="G105" s="10"/>
      <c r="H105" s="60"/>
      <c r="I105" s="10"/>
      <c r="J105" s="10"/>
      <c r="K105" s="10"/>
      <c r="L105" s="10"/>
    </row>
    <row r="106" spans="1:12" x14ac:dyDescent="0.25">
      <c r="A106">
        <f t="shared" si="5"/>
        <v>103</v>
      </c>
      <c r="B106">
        <f t="shared" si="8"/>
        <v>79</v>
      </c>
      <c r="C106" s="10">
        <f t="shared" si="7"/>
        <v>-1586115.478619779</v>
      </c>
      <c r="D106" s="10"/>
      <c r="E106" s="10">
        <f t="shared" si="6"/>
        <v>-1785942.5379880019</v>
      </c>
      <c r="F106" s="10"/>
      <c r="G106" s="10"/>
      <c r="H106" s="60"/>
      <c r="I106" s="10"/>
      <c r="J106" s="10"/>
      <c r="K106" s="10"/>
      <c r="L106" s="10"/>
    </row>
    <row r="107" spans="1:12" x14ac:dyDescent="0.25">
      <c r="A107">
        <f t="shared" si="5"/>
        <v>104</v>
      </c>
      <c r="B107">
        <f t="shared" si="8"/>
        <v>80</v>
      </c>
      <c r="C107" s="10">
        <f t="shared" si="7"/>
        <v>-1586115.478619779</v>
      </c>
      <c r="D107" s="10"/>
      <c r="E107" s="10">
        <f t="shared" si="6"/>
        <v>-1785942.5379880019</v>
      </c>
      <c r="F107" s="10"/>
      <c r="G107" s="10"/>
      <c r="H107" s="60"/>
      <c r="I107" s="10"/>
      <c r="J107" s="10"/>
      <c r="K107" s="10"/>
      <c r="L107" s="10"/>
    </row>
    <row r="108" spans="1:12" x14ac:dyDescent="0.25">
      <c r="A108">
        <f t="shared" si="5"/>
        <v>105</v>
      </c>
      <c r="B108">
        <f t="shared" si="8"/>
        <v>81</v>
      </c>
      <c r="C108" s="10">
        <f t="shared" si="7"/>
        <v>-1586115.478619779</v>
      </c>
      <c r="D108" s="10"/>
      <c r="E108" s="10">
        <f t="shared" si="6"/>
        <v>-1785942.5379880019</v>
      </c>
      <c r="F108" s="10"/>
      <c r="G108" s="10"/>
      <c r="H108" s="60"/>
      <c r="I108" s="10"/>
      <c r="J108" s="10"/>
      <c r="K108" s="10"/>
      <c r="L108" s="10"/>
    </row>
    <row r="109" spans="1:12" x14ac:dyDescent="0.25">
      <c r="A109">
        <f t="shared" si="5"/>
        <v>106</v>
      </c>
      <c r="B109">
        <f t="shared" si="8"/>
        <v>82</v>
      </c>
      <c r="C109" s="10">
        <f t="shared" si="7"/>
        <v>-1586115.478619779</v>
      </c>
      <c r="D109" s="10"/>
      <c r="E109" s="10">
        <f t="shared" si="6"/>
        <v>-1785942.5379880019</v>
      </c>
      <c r="F109" s="10"/>
      <c r="G109" s="10"/>
      <c r="H109" s="60"/>
      <c r="I109" s="10"/>
      <c r="J109" s="10"/>
      <c r="K109" s="10"/>
      <c r="L109" s="10"/>
    </row>
    <row r="110" spans="1:12" x14ac:dyDescent="0.25">
      <c r="A110">
        <f t="shared" si="5"/>
        <v>107</v>
      </c>
      <c r="B110">
        <f t="shared" si="8"/>
        <v>83</v>
      </c>
      <c r="C110" s="10">
        <f t="shared" si="7"/>
        <v>-1586115.478619779</v>
      </c>
      <c r="D110" s="10"/>
      <c r="E110" s="10">
        <f t="shared" si="6"/>
        <v>-1785942.5379880019</v>
      </c>
      <c r="F110" s="10"/>
      <c r="G110" s="10"/>
      <c r="H110" s="60"/>
      <c r="I110" s="10"/>
      <c r="J110" s="10"/>
      <c r="K110" s="10"/>
      <c r="L110" s="10"/>
    </row>
    <row r="111" spans="1:12" x14ac:dyDescent="0.25">
      <c r="A111">
        <f t="shared" si="5"/>
        <v>108</v>
      </c>
      <c r="B111">
        <f t="shared" si="8"/>
        <v>84</v>
      </c>
      <c r="C111" s="10">
        <f t="shared" si="7"/>
        <v>-1586115.478619779</v>
      </c>
      <c r="D111" s="10"/>
      <c r="E111" s="10">
        <f t="shared" si="6"/>
        <v>-1785942.5379880019</v>
      </c>
      <c r="F111" s="10"/>
      <c r="G111" s="10"/>
      <c r="H111" s="60"/>
      <c r="I111" s="10"/>
      <c r="J111" s="10"/>
      <c r="K111" s="10"/>
      <c r="L111" s="10"/>
    </row>
    <row r="112" spans="1:12" x14ac:dyDescent="0.25">
      <c r="A112">
        <f t="shared" si="5"/>
        <v>109</v>
      </c>
      <c r="B112">
        <f t="shared" si="8"/>
        <v>85</v>
      </c>
      <c r="C112" s="10">
        <f t="shared" si="7"/>
        <v>-1586115.478619779</v>
      </c>
      <c r="D112" s="10"/>
      <c r="E112" s="10">
        <f t="shared" si="6"/>
        <v>-1785942.5379880019</v>
      </c>
      <c r="F112" s="10"/>
      <c r="G112" s="10"/>
      <c r="H112" s="60"/>
      <c r="I112" s="10"/>
      <c r="J112" s="10"/>
      <c r="K112" s="10"/>
      <c r="L112" s="10"/>
    </row>
    <row r="113" spans="1:12" x14ac:dyDescent="0.25">
      <c r="A113">
        <f t="shared" si="5"/>
        <v>110</v>
      </c>
      <c r="B113">
        <f t="shared" si="8"/>
        <v>86</v>
      </c>
      <c r="C113" s="10">
        <f t="shared" si="7"/>
        <v>-1586115.478619779</v>
      </c>
      <c r="D113" s="10"/>
      <c r="E113" s="10">
        <f t="shared" si="6"/>
        <v>-1785942.5379880019</v>
      </c>
      <c r="F113" s="10"/>
      <c r="G113" s="10"/>
      <c r="H113" s="60"/>
      <c r="I113" s="10"/>
      <c r="J113" s="10"/>
      <c r="K113" s="10"/>
      <c r="L113" s="10"/>
    </row>
    <row r="114" spans="1:12" x14ac:dyDescent="0.25">
      <c r="A114">
        <f t="shared" si="5"/>
        <v>111</v>
      </c>
      <c r="B114">
        <f t="shared" si="8"/>
        <v>87</v>
      </c>
      <c r="C114" s="10">
        <f t="shared" si="7"/>
        <v>-1586115.478619779</v>
      </c>
      <c r="D114" s="10"/>
      <c r="E114" s="10">
        <f t="shared" si="6"/>
        <v>-1785942.5379880019</v>
      </c>
      <c r="F114" s="10"/>
      <c r="G114" s="10"/>
      <c r="H114" s="60"/>
      <c r="I114" s="10"/>
      <c r="J114" s="10"/>
      <c r="K114" s="10"/>
      <c r="L114" s="10"/>
    </row>
    <row r="115" spans="1:12" x14ac:dyDescent="0.25">
      <c r="A115">
        <f t="shared" si="5"/>
        <v>112</v>
      </c>
      <c r="B115">
        <f t="shared" si="8"/>
        <v>88</v>
      </c>
      <c r="C115" s="10">
        <f t="shared" si="7"/>
        <v>-1586115.478619779</v>
      </c>
      <c r="D115" s="10"/>
      <c r="E115" s="10">
        <f t="shared" si="6"/>
        <v>-1785942.5379880019</v>
      </c>
      <c r="F115" s="10"/>
      <c r="G115" s="10"/>
      <c r="H115" s="60"/>
      <c r="I115" s="10"/>
      <c r="J115" s="10"/>
      <c r="K115" s="10"/>
      <c r="L115" s="10"/>
    </row>
    <row r="116" spans="1:12" x14ac:dyDescent="0.25">
      <c r="A116">
        <f t="shared" si="5"/>
        <v>113</v>
      </c>
      <c r="B116">
        <f t="shared" si="8"/>
        <v>89</v>
      </c>
      <c r="C116" s="10">
        <f t="shared" si="7"/>
        <v>-1586115.478619779</v>
      </c>
      <c r="D116" s="10"/>
      <c r="E116" s="10">
        <f t="shared" si="6"/>
        <v>-1785942.5379880019</v>
      </c>
      <c r="F116" s="10"/>
      <c r="G116" s="10"/>
      <c r="H116" s="60"/>
      <c r="I116" s="10"/>
      <c r="J116" s="10"/>
      <c r="K116" s="10"/>
      <c r="L116" s="10"/>
    </row>
    <row r="117" spans="1:12" x14ac:dyDescent="0.25">
      <c r="A117">
        <f t="shared" si="5"/>
        <v>114</v>
      </c>
      <c r="B117">
        <f t="shared" si="8"/>
        <v>90</v>
      </c>
      <c r="C117" s="10">
        <f t="shared" si="7"/>
        <v>-1586115.478619779</v>
      </c>
      <c r="D117" s="10"/>
      <c r="E117" s="10">
        <f t="shared" si="6"/>
        <v>-1785942.5379880019</v>
      </c>
      <c r="F117" s="10"/>
      <c r="G117" s="10"/>
      <c r="H117" s="60"/>
      <c r="I117" s="10"/>
      <c r="J117" s="10"/>
      <c r="K117" s="10"/>
      <c r="L117" s="10"/>
    </row>
    <row r="118" spans="1:12" x14ac:dyDescent="0.25">
      <c r="A118">
        <f t="shared" si="5"/>
        <v>115</v>
      </c>
      <c r="B118">
        <f t="shared" si="8"/>
        <v>91</v>
      </c>
      <c r="C118" s="10">
        <f t="shared" si="7"/>
        <v>-1586115.478619779</v>
      </c>
      <c r="D118" s="10"/>
      <c r="E118" s="10">
        <f t="shared" si="6"/>
        <v>-1785942.5379880019</v>
      </c>
      <c r="F118" s="10"/>
      <c r="G118" s="10"/>
      <c r="H118" s="60"/>
      <c r="I118" s="10"/>
      <c r="J118" s="10"/>
      <c r="K118" s="10"/>
      <c r="L118" s="10"/>
    </row>
    <row r="119" spans="1:12" x14ac:dyDescent="0.25">
      <c r="A119">
        <f t="shared" si="5"/>
        <v>116</v>
      </c>
      <c r="B119">
        <f t="shared" si="8"/>
        <v>92</v>
      </c>
      <c r="C119" s="10">
        <f t="shared" si="7"/>
        <v>-1586115.478619779</v>
      </c>
      <c r="D119" s="10"/>
      <c r="E119" s="10">
        <f t="shared" si="6"/>
        <v>-1785942.5379880019</v>
      </c>
      <c r="F119" s="10"/>
      <c r="G119" s="10"/>
      <c r="H119" s="60"/>
      <c r="I119" s="10"/>
      <c r="J119" s="10"/>
      <c r="K119" s="10"/>
      <c r="L119" s="10"/>
    </row>
    <row r="120" spans="1:12" x14ac:dyDescent="0.25">
      <c r="A120">
        <f t="shared" si="5"/>
        <v>117</v>
      </c>
      <c r="B120">
        <f t="shared" si="8"/>
        <v>93</v>
      </c>
      <c r="C120" s="10">
        <f t="shared" si="7"/>
        <v>-1586115.478619779</v>
      </c>
      <c r="D120" s="10"/>
      <c r="E120" s="10">
        <f t="shared" si="6"/>
        <v>-1785942.5379880019</v>
      </c>
      <c r="F120" s="10"/>
      <c r="G120" s="10"/>
      <c r="H120" s="60"/>
      <c r="I120" s="10"/>
      <c r="J120" s="10"/>
      <c r="K120" s="10"/>
      <c r="L120" s="10"/>
    </row>
    <row r="121" spans="1:12" x14ac:dyDescent="0.25">
      <c r="A121">
        <f t="shared" si="5"/>
        <v>118</v>
      </c>
      <c r="B121">
        <f t="shared" si="8"/>
        <v>94</v>
      </c>
      <c r="C121" s="10">
        <f t="shared" si="7"/>
        <v>-1586115.478619779</v>
      </c>
      <c r="D121" s="10"/>
      <c r="E121" s="10">
        <f t="shared" si="6"/>
        <v>-1785942.5379880019</v>
      </c>
      <c r="F121" s="10"/>
      <c r="G121" s="10"/>
      <c r="H121" s="60"/>
      <c r="I121" s="10"/>
      <c r="J121" s="10"/>
      <c r="K121" s="10"/>
      <c r="L121" s="10"/>
    </row>
    <row r="122" spans="1:12" x14ac:dyDescent="0.25">
      <c r="A122">
        <f t="shared" si="5"/>
        <v>119</v>
      </c>
      <c r="B122">
        <f t="shared" si="8"/>
        <v>95</v>
      </c>
      <c r="C122" s="10">
        <f t="shared" si="7"/>
        <v>-1586115.478619779</v>
      </c>
      <c r="D122" s="10"/>
      <c r="E122" s="10">
        <f t="shared" si="6"/>
        <v>-1785942.5379880019</v>
      </c>
      <c r="F122" s="10"/>
      <c r="G122" s="10"/>
      <c r="H122" s="60"/>
      <c r="I122" s="10"/>
      <c r="J122" s="10"/>
      <c r="K122" s="10"/>
      <c r="L122" s="10"/>
    </row>
    <row r="123" spans="1:12" x14ac:dyDescent="0.25">
      <c r="A123">
        <f t="shared" si="5"/>
        <v>120</v>
      </c>
      <c r="B123">
        <f t="shared" si="8"/>
        <v>96</v>
      </c>
      <c r="C123" s="10">
        <f t="shared" si="7"/>
        <v>-1586115.478619779</v>
      </c>
      <c r="D123" s="10"/>
      <c r="E123" s="10">
        <f t="shared" si="6"/>
        <v>-1785942.5379880019</v>
      </c>
      <c r="F123" s="10"/>
      <c r="G123" s="10"/>
      <c r="H123" s="60"/>
      <c r="I123" s="10"/>
      <c r="J123" s="10"/>
      <c r="K123" s="10"/>
      <c r="L123" s="10"/>
    </row>
    <row r="124" spans="1:12" x14ac:dyDescent="0.25">
      <c r="A124">
        <f t="shared" si="5"/>
        <v>121</v>
      </c>
      <c r="B124">
        <f t="shared" si="8"/>
        <v>97</v>
      </c>
      <c r="C124" s="10">
        <f t="shared" si="7"/>
        <v>-1586115.478619779</v>
      </c>
      <c r="D124" s="10"/>
      <c r="E124" s="10">
        <f t="shared" ref="E124:E155" si="9">IF($B124&gt;E$11*12,"",E$16)</f>
        <v>-1785942.5379880019</v>
      </c>
      <c r="F124" s="10"/>
      <c r="G124" s="10"/>
      <c r="H124" s="60"/>
      <c r="I124" s="10"/>
      <c r="J124" s="10"/>
      <c r="K124" s="10"/>
      <c r="L124" s="10"/>
    </row>
    <row r="125" spans="1:12" x14ac:dyDescent="0.25">
      <c r="A125">
        <f t="shared" si="5"/>
        <v>122</v>
      </c>
      <c r="B125">
        <f t="shared" si="8"/>
        <v>98</v>
      </c>
      <c r="C125" s="10">
        <f t="shared" si="7"/>
        <v>-1586115.478619779</v>
      </c>
      <c r="D125" s="10"/>
      <c r="E125" s="10">
        <f t="shared" si="9"/>
        <v>-1785942.5379880019</v>
      </c>
      <c r="F125" s="10"/>
      <c r="G125" s="10"/>
      <c r="H125" s="60"/>
      <c r="I125" s="10"/>
      <c r="J125" s="10"/>
      <c r="K125" s="10"/>
      <c r="L125" s="10"/>
    </row>
    <row r="126" spans="1:12" x14ac:dyDescent="0.25">
      <c r="A126">
        <f t="shared" si="5"/>
        <v>123</v>
      </c>
      <c r="B126">
        <f t="shared" si="8"/>
        <v>99</v>
      </c>
      <c r="C126" s="10">
        <f t="shared" si="7"/>
        <v>-1586115.478619779</v>
      </c>
      <c r="D126" s="10"/>
      <c r="E126" s="10">
        <f t="shared" si="9"/>
        <v>-1785942.5379880019</v>
      </c>
      <c r="F126" s="10"/>
      <c r="G126" s="10"/>
      <c r="H126" s="60"/>
      <c r="I126" s="10"/>
      <c r="J126" s="10"/>
      <c r="K126" s="10"/>
      <c r="L126" s="10"/>
    </row>
    <row r="127" spans="1:12" x14ac:dyDescent="0.25">
      <c r="A127">
        <f t="shared" si="5"/>
        <v>124</v>
      </c>
      <c r="B127">
        <f t="shared" si="8"/>
        <v>100</v>
      </c>
      <c r="C127" s="10">
        <f t="shared" si="7"/>
        <v>-1586115.478619779</v>
      </c>
      <c r="D127" s="10"/>
      <c r="E127" s="10">
        <f t="shared" si="9"/>
        <v>-1785942.5379880019</v>
      </c>
      <c r="F127" s="10"/>
      <c r="G127" s="10"/>
      <c r="H127" s="60"/>
      <c r="I127" s="10"/>
      <c r="J127" s="10"/>
      <c r="K127" s="10"/>
      <c r="L127" s="10"/>
    </row>
    <row r="128" spans="1:12" x14ac:dyDescent="0.25">
      <c r="A128">
        <f t="shared" si="5"/>
        <v>125</v>
      </c>
      <c r="B128">
        <f t="shared" si="8"/>
        <v>101</v>
      </c>
      <c r="C128" s="10">
        <f t="shared" si="7"/>
        <v>-1586115.478619779</v>
      </c>
      <c r="D128" s="10"/>
      <c r="E128" s="10">
        <f t="shared" si="9"/>
        <v>-1785942.5379880019</v>
      </c>
      <c r="F128" s="10"/>
      <c r="G128" s="10"/>
      <c r="H128" s="60"/>
      <c r="I128" s="10"/>
      <c r="J128" s="10"/>
      <c r="K128" s="10"/>
      <c r="L128" s="10"/>
    </row>
    <row r="129" spans="1:12" x14ac:dyDescent="0.25">
      <c r="A129">
        <f t="shared" si="5"/>
        <v>126</v>
      </c>
      <c r="B129">
        <f t="shared" si="8"/>
        <v>102</v>
      </c>
      <c r="C129" s="10">
        <f t="shared" si="7"/>
        <v>-1586115.478619779</v>
      </c>
      <c r="D129" s="10"/>
      <c r="E129" s="10">
        <f t="shared" si="9"/>
        <v>-1785942.5379880019</v>
      </c>
      <c r="F129" s="10"/>
      <c r="G129" s="10"/>
      <c r="H129" s="60"/>
      <c r="I129" s="10"/>
      <c r="J129" s="10"/>
      <c r="K129" s="10"/>
      <c r="L129" s="10"/>
    </row>
    <row r="130" spans="1:12" x14ac:dyDescent="0.25">
      <c r="A130">
        <f t="shared" si="5"/>
        <v>127</v>
      </c>
      <c r="B130">
        <f t="shared" si="8"/>
        <v>103</v>
      </c>
      <c r="C130" s="10">
        <f t="shared" si="7"/>
        <v>-1586115.478619779</v>
      </c>
      <c r="D130" s="10"/>
      <c r="E130" s="10">
        <f t="shared" si="9"/>
        <v>-1785942.5379880019</v>
      </c>
      <c r="F130" s="10"/>
      <c r="G130" s="10"/>
      <c r="H130" s="60"/>
      <c r="I130" s="10"/>
      <c r="J130" s="10"/>
      <c r="K130" s="10"/>
      <c r="L130" s="10"/>
    </row>
    <row r="131" spans="1:12" x14ac:dyDescent="0.25">
      <c r="A131">
        <f t="shared" si="5"/>
        <v>128</v>
      </c>
      <c r="B131">
        <f t="shared" si="8"/>
        <v>104</v>
      </c>
      <c r="C131" s="10">
        <f t="shared" si="7"/>
        <v>-1586115.478619779</v>
      </c>
      <c r="D131" s="10"/>
      <c r="E131" s="10">
        <f t="shared" si="9"/>
        <v>-1785942.5379880019</v>
      </c>
      <c r="F131" s="10"/>
      <c r="G131" s="10"/>
      <c r="H131" s="60"/>
      <c r="I131" s="10"/>
      <c r="J131" s="10"/>
      <c r="K131" s="10"/>
      <c r="L131" s="10"/>
    </row>
    <row r="132" spans="1:12" x14ac:dyDescent="0.25">
      <c r="A132">
        <f t="shared" si="5"/>
        <v>129</v>
      </c>
      <c r="B132">
        <f t="shared" si="8"/>
        <v>105</v>
      </c>
      <c r="C132" s="10">
        <f t="shared" si="7"/>
        <v>-1586115.478619779</v>
      </c>
      <c r="D132" s="10"/>
      <c r="E132" s="10">
        <f t="shared" si="9"/>
        <v>-1785942.5379880019</v>
      </c>
      <c r="F132" s="10"/>
      <c r="G132" s="10"/>
      <c r="H132" s="60"/>
      <c r="I132" s="10"/>
      <c r="J132" s="10"/>
      <c r="K132" s="10"/>
      <c r="L132" s="10"/>
    </row>
    <row r="133" spans="1:12" x14ac:dyDescent="0.25">
      <c r="A133">
        <f t="shared" si="5"/>
        <v>130</v>
      </c>
      <c r="B133">
        <f t="shared" si="8"/>
        <v>106</v>
      </c>
      <c r="C133" s="10">
        <f t="shared" si="7"/>
        <v>-1586115.478619779</v>
      </c>
      <c r="D133" s="10"/>
      <c r="E133" s="10">
        <f t="shared" si="9"/>
        <v>-1785942.5379880019</v>
      </c>
      <c r="F133" s="10"/>
      <c r="G133" s="10"/>
      <c r="H133" s="60"/>
      <c r="I133" s="10"/>
      <c r="J133" s="10"/>
      <c r="K133" s="10"/>
      <c r="L133" s="10"/>
    </row>
    <row r="134" spans="1:12" x14ac:dyDescent="0.25">
      <c r="A134">
        <f t="shared" si="5"/>
        <v>131</v>
      </c>
      <c r="B134">
        <f t="shared" si="8"/>
        <v>107</v>
      </c>
      <c r="C134" s="10">
        <f t="shared" si="7"/>
        <v>-1586115.478619779</v>
      </c>
      <c r="D134" s="10"/>
      <c r="E134" s="10">
        <f t="shared" si="9"/>
        <v>-1785942.5379880019</v>
      </c>
      <c r="F134" s="10"/>
      <c r="G134" s="10"/>
      <c r="H134" s="60"/>
      <c r="I134" s="10"/>
      <c r="J134" s="10"/>
      <c r="K134" s="10"/>
      <c r="L134" s="10"/>
    </row>
    <row r="135" spans="1:12" x14ac:dyDescent="0.25">
      <c r="A135">
        <f t="shared" ref="A135:A184" si="10">A134+1</f>
        <v>132</v>
      </c>
      <c r="B135">
        <f t="shared" si="8"/>
        <v>108</v>
      </c>
      <c r="C135" s="10">
        <f t="shared" si="7"/>
        <v>-1586115.478619779</v>
      </c>
      <c r="D135" s="10"/>
      <c r="E135" s="10">
        <f t="shared" si="9"/>
        <v>-1785942.5379880019</v>
      </c>
      <c r="F135" s="10"/>
      <c r="G135" s="10"/>
      <c r="H135" s="60"/>
      <c r="I135" s="10"/>
      <c r="J135" s="10"/>
      <c r="K135" s="10"/>
      <c r="L135" s="10"/>
    </row>
    <row r="136" spans="1:12" x14ac:dyDescent="0.25">
      <c r="A136">
        <f t="shared" si="10"/>
        <v>133</v>
      </c>
      <c r="B136">
        <f t="shared" si="8"/>
        <v>109</v>
      </c>
      <c r="C136" s="10">
        <f t="shared" si="7"/>
        <v>-1586115.478619779</v>
      </c>
      <c r="D136" s="10"/>
      <c r="E136" s="10">
        <f t="shared" si="9"/>
        <v>-1785942.5379880019</v>
      </c>
      <c r="F136" s="10"/>
      <c r="G136" s="10"/>
      <c r="H136" s="60"/>
      <c r="I136" s="10"/>
      <c r="J136" s="10"/>
      <c r="K136" s="10"/>
      <c r="L136" s="10"/>
    </row>
    <row r="137" spans="1:12" x14ac:dyDescent="0.25">
      <c r="A137">
        <f t="shared" si="10"/>
        <v>134</v>
      </c>
      <c r="B137">
        <f t="shared" si="8"/>
        <v>110</v>
      </c>
      <c r="C137" s="10">
        <f t="shared" si="7"/>
        <v>-1586115.478619779</v>
      </c>
      <c r="D137" s="10"/>
      <c r="E137" s="10">
        <f t="shared" si="9"/>
        <v>-1785942.5379880019</v>
      </c>
      <c r="F137" s="10"/>
      <c r="G137" s="10"/>
      <c r="H137" s="60"/>
      <c r="I137" s="10"/>
      <c r="J137" s="10"/>
      <c r="K137" s="10"/>
      <c r="L137" s="10"/>
    </row>
    <row r="138" spans="1:12" x14ac:dyDescent="0.25">
      <c r="A138">
        <f t="shared" si="10"/>
        <v>135</v>
      </c>
      <c r="B138">
        <f t="shared" si="8"/>
        <v>111</v>
      </c>
      <c r="C138" s="10">
        <f t="shared" si="7"/>
        <v>-1586115.478619779</v>
      </c>
      <c r="D138" s="10"/>
      <c r="E138" s="10">
        <f t="shared" si="9"/>
        <v>-1785942.5379880019</v>
      </c>
      <c r="F138" s="10"/>
      <c r="G138" s="10"/>
      <c r="H138" s="60"/>
      <c r="I138" s="10"/>
      <c r="J138" s="10"/>
      <c r="K138" s="10"/>
      <c r="L138" s="10"/>
    </row>
    <row r="139" spans="1:12" x14ac:dyDescent="0.25">
      <c r="A139">
        <f t="shared" si="10"/>
        <v>136</v>
      </c>
      <c r="B139">
        <f t="shared" si="8"/>
        <v>112</v>
      </c>
      <c r="C139" s="10">
        <f t="shared" si="7"/>
        <v>-1586115.478619779</v>
      </c>
      <c r="D139" s="10"/>
      <c r="E139" s="10">
        <f t="shared" si="9"/>
        <v>-1785942.5379880019</v>
      </c>
      <c r="F139" s="10"/>
      <c r="G139" s="10"/>
      <c r="H139" s="60"/>
      <c r="I139" s="10"/>
      <c r="J139" s="10"/>
      <c r="K139" s="10"/>
      <c r="L139" s="10"/>
    </row>
    <row r="140" spans="1:12" x14ac:dyDescent="0.25">
      <c r="A140">
        <f t="shared" si="10"/>
        <v>137</v>
      </c>
      <c r="B140">
        <f t="shared" si="8"/>
        <v>113</v>
      </c>
      <c r="C140" s="10">
        <f t="shared" si="7"/>
        <v>-1586115.478619779</v>
      </c>
      <c r="D140" s="10"/>
      <c r="E140" s="10">
        <f t="shared" si="9"/>
        <v>-1785942.5379880019</v>
      </c>
      <c r="F140" s="10"/>
      <c r="G140" s="10"/>
      <c r="H140" s="60"/>
      <c r="I140" s="10"/>
      <c r="J140" s="10"/>
      <c r="K140" s="10"/>
      <c r="L140" s="10"/>
    </row>
    <row r="141" spans="1:12" x14ac:dyDescent="0.25">
      <c r="A141">
        <f t="shared" si="10"/>
        <v>138</v>
      </c>
      <c r="B141">
        <f t="shared" si="8"/>
        <v>114</v>
      </c>
      <c r="C141" s="10">
        <f t="shared" si="7"/>
        <v>-1586115.478619779</v>
      </c>
      <c r="D141" s="10"/>
      <c r="E141" s="10">
        <f t="shared" si="9"/>
        <v>-1785942.5379880019</v>
      </c>
      <c r="F141" s="10"/>
      <c r="G141" s="10"/>
      <c r="H141" s="60"/>
      <c r="I141" s="10"/>
      <c r="J141" s="10"/>
      <c r="K141" s="10"/>
      <c r="L141" s="10"/>
    </row>
    <row r="142" spans="1:12" x14ac:dyDescent="0.25">
      <c r="A142">
        <f t="shared" si="10"/>
        <v>139</v>
      </c>
      <c r="B142">
        <f t="shared" si="8"/>
        <v>115</v>
      </c>
      <c r="C142" s="10">
        <f t="shared" si="7"/>
        <v>-1586115.478619779</v>
      </c>
      <c r="D142" s="10"/>
      <c r="E142" s="10">
        <f t="shared" si="9"/>
        <v>-1785942.5379880019</v>
      </c>
      <c r="F142" s="10"/>
      <c r="G142" s="10"/>
      <c r="H142" s="60"/>
      <c r="I142" s="10"/>
      <c r="J142" s="10"/>
      <c r="K142" s="10"/>
      <c r="L142" s="10"/>
    </row>
    <row r="143" spans="1:12" x14ac:dyDescent="0.25">
      <c r="A143">
        <f t="shared" si="10"/>
        <v>140</v>
      </c>
      <c r="B143">
        <f t="shared" si="8"/>
        <v>116</v>
      </c>
      <c r="C143" s="10">
        <f t="shared" si="7"/>
        <v>-1586115.478619779</v>
      </c>
      <c r="D143" s="10"/>
      <c r="E143" s="10">
        <f t="shared" si="9"/>
        <v>-1785942.5379880019</v>
      </c>
      <c r="F143" s="10"/>
      <c r="G143" s="10"/>
      <c r="H143" s="60"/>
      <c r="I143" s="10"/>
      <c r="J143" s="10"/>
      <c r="K143" s="10"/>
      <c r="L143" s="10"/>
    </row>
    <row r="144" spans="1:12" x14ac:dyDescent="0.25">
      <c r="A144">
        <f t="shared" si="10"/>
        <v>141</v>
      </c>
      <c r="B144">
        <f t="shared" si="8"/>
        <v>117</v>
      </c>
      <c r="C144" s="10">
        <f t="shared" si="7"/>
        <v>-1586115.478619779</v>
      </c>
      <c r="D144" s="10"/>
      <c r="E144" s="10">
        <f t="shared" si="9"/>
        <v>-1785942.5379880019</v>
      </c>
      <c r="F144" s="10"/>
      <c r="G144" s="10"/>
      <c r="H144" s="60"/>
      <c r="I144" s="10"/>
      <c r="J144" s="10"/>
      <c r="K144" s="10"/>
      <c r="L144" s="10"/>
    </row>
    <row r="145" spans="1:12" x14ac:dyDescent="0.25">
      <c r="A145">
        <f t="shared" si="10"/>
        <v>142</v>
      </c>
      <c r="B145">
        <f t="shared" si="8"/>
        <v>118</v>
      </c>
      <c r="C145" s="10">
        <f t="shared" si="7"/>
        <v>-1586115.478619779</v>
      </c>
      <c r="D145" s="10"/>
      <c r="E145" s="10">
        <f t="shared" si="9"/>
        <v>-1785942.5379880019</v>
      </c>
      <c r="F145" s="10"/>
      <c r="G145" s="10"/>
      <c r="H145" s="60"/>
      <c r="I145" s="10"/>
      <c r="J145" s="10"/>
      <c r="K145" s="10"/>
      <c r="L145" s="10"/>
    </row>
    <row r="146" spans="1:12" x14ac:dyDescent="0.25">
      <c r="A146">
        <f t="shared" si="10"/>
        <v>143</v>
      </c>
      <c r="B146">
        <f t="shared" si="8"/>
        <v>119</v>
      </c>
      <c r="C146" s="10">
        <f t="shared" si="7"/>
        <v>-1586115.478619779</v>
      </c>
      <c r="D146" s="10"/>
      <c r="E146" s="10">
        <f t="shared" si="9"/>
        <v>-1785942.5379880019</v>
      </c>
      <c r="F146" s="10"/>
      <c r="G146" s="10"/>
      <c r="H146" s="60"/>
      <c r="I146" s="10"/>
      <c r="J146" s="10"/>
      <c r="K146" s="10"/>
      <c r="L146" s="10"/>
    </row>
    <row r="147" spans="1:12" x14ac:dyDescent="0.25">
      <c r="A147">
        <f t="shared" si="10"/>
        <v>144</v>
      </c>
      <c r="B147">
        <f t="shared" si="8"/>
        <v>120</v>
      </c>
      <c r="C147" s="10">
        <f t="shared" si="7"/>
        <v>-1586115.478619779</v>
      </c>
      <c r="D147" s="10"/>
      <c r="E147" s="10">
        <f t="shared" si="9"/>
        <v>-1785942.5379880019</v>
      </c>
      <c r="F147" s="10"/>
      <c r="G147" s="10"/>
      <c r="H147" s="60"/>
      <c r="I147" s="10"/>
      <c r="J147" s="10"/>
      <c r="K147" s="10"/>
      <c r="L147" s="10"/>
    </row>
    <row r="148" spans="1:12" x14ac:dyDescent="0.25">
      <c r="A148">
        <f t="shared" si="10"/>
        <v>145</v>
      </c>
      <c r="B148">
        <f t="shared" si="8"/>
        <v>121</v>
      </c>
      <c r="C148" s="10">
        <f t="shared" si="7"/>
        <v>-1586115.478619779</v>
      </c>
      <c r="D148" s="10"/>
      <c r="E148" s="10">
        <f t="shared" si="9"/>
        <v>-1785942.5379880019</v>
      </c>
      <c r="F148" s="10"/>
      <c r="G148" s="10"/>
      <c r="H148" s="60"/>
      <c r="I148" s="10"/>
      <c r="J148" s="10"/>
      <c r="K148" s="10"/>
      <c r="L148" s="10"/>
    </row>
    <row r="149" spans="1:12" x14ac:dyDescent="0.25">
      <c r="A149">
        <f t="shared" si="10"/>
        <v>146</v>
      </c>
      <c r="B149">
        <f t="shared" si="8"/>
        <v>122</v>
      </c>
      <c r="C149" s="10">
        <f t="shared" si="7"/>
        <v>-1586115.478619779</v>
      </c>
      <c r="D149" s="10"/>
      <c r="E149" s="10">
        <f t="shared" si="9"/>
        <v>-1785942.5379880019</v>
      </c>
      <c r="F149" s="10"/>
      <c r="G149" s="10"/>
      <c r="H149" s="60"/>
      <c r="I149" s="10"/>
      <c r="J149" s="10"/>
      <c r="K149" s="10"/>
      <c r="L149" s="10"/>
    </row>
    <row r="150" spans="1:12" x14ac:dyDescent="0.25">
      <c r="A150">
        <f t="shared" si="10"/>
        <v>147</v>
      </c>
      <c r="B150">
        <f t="shared" si="8"/>
        <v>123</v>
      </c>
      <c r="C150" s="10">
        <f t="shared" si="7"/>
        <v>-1586115.478619779</v>
      </c>
      <c r="D150" s="10"/>
      <c r="E150" s="10">
        <f t="shared" si="9"/>
        <v>-1785942.5379880019</v>
      </c>
      <c r="F150" s="10"/>
      <c r="G150" s="10"/>
      <c r="H150" s="60"/>
      <c r="I150" s="10"/>
      <c r="J150" s="10"/>
      <c r="K150" s="10"/>
      <c r="L150" s="10"/>
    </row>
    <row r="151" spans="1:12" x14ac:dyDescent="0.25">
      <c r="A151">
        <f t="shared" si="10"/>
        <v>148</v>
      </c>
      <c r="B151">
        <f t="shared" si="8"/>
        <v>124</v>
      </c>
      <c r="C151" s="10">
        <f t="shared" si="7"/>
        <v>-1586115.478619779</v>
      </c>
      <c r="D151" s="10"/>
      <c r="E151" s="10">
        <f t="shared" si="9"/>
        <v>-1785942.5379880019</v>
      </c>
      <c r="F151" s="10"/>
      <c r="G151" s="10"/>
      <c r="H151" s="60"/>
      <c r="I151" s="10"/>
      <c r="J151" s="10"/>
      <c r="K151" s="10"/>
      <c r="L151" s="10"/>
    </row>
    <row r="152" spans="1:12" x14ac:dyDescent="0.25">
      <c r="A152">
        <f t="shared" si="10"/>
        <v>149</v>
      </c>
      <c r="B152">
        <f t="shared" si="8"/>
        <v>125</v>
      </c>
      <c r="C152" s="10">
        <f t="shared" si="7"/>
        <v>-1586115.478619779</v>
      </c>
      <c r="D152" s="10"/>
      <c r="E152" s="10">
        <f t="shared" si="9"/>
        <v>-1785942.5379880019</v>
      </c>
      <c r="F152" s="10"/>
      <c r="G152" s="10"/>
      <c r="H152" s="60"/>
      <c r="I152" s="10"/>
      <c r="J152" s="10"/>
      <c r="K152" s="10"/>
      <c r="L152" s="10"/>
    </row>
    <row r="153" spans="1:12" x14ac:dyDescent="0.25">
      <c r="A153">
        <f t="shared" si="10"/>
        <v>150</v>
      </c>
      <c r="B153">
        <f t="shared" si="8"/>
        <v>126</v>
      </c>
      <c r="C153" s="10">
        <f t="shared" si="7"/>
        <v>-1586115.478619779</v>
      </c>
      <c r="D153" s="10"/>
      <c r="E153" s="10">
        <f t="shared" si="9"/>
        <v>-1785942.5379880019</v>
      </c>
      <c r="F153" s="10"/>
      <c r="G153" s="10"/>
      <c r="H153" s="60"/>
      <c r="I153" s="10"/>
      <c r="J153" s="10"/>
      <c r="K153" s="10"/>
      <c r="L153" s="10"/>
    </row>
    <row r="154" spans="1:12" x14ac:dyDescent="0.25">
      <c r="A154">
        <f t="shared" si="10"/>
        <v>151</v>
      </c>
      <c r="B154">
        <f t="shared" si="8"/>
        <v>127</v>
      </c>
      <c r="C154" s="10">
        <f t="shared" si="7"/>
        <v>-1586115.478619779</v>
      </c>
      <c r="D154" s="10"/>
      <c r="E154" s="10">
        <f t="shared" si="9"/>
        <v>-1785942.5379880019</v>
      </c>
      <c r="F154" s="10"/>
      <c r="G154" s="10"/>
      <c r="H154" s="60"/>
      <c r="I154" s="10"/>
      <c r="J154" s="10"/>
      <c r="K154" s="10"/>
      <c r="L154" s="10"/>
    </row>
    <row r="155" spans="1:12" x14ac:dyDescent="0.25">
      <c r="A155">
        <f t="shared" si="10"/>
        <v>152</v>
      </c>
      <c r="B155">
        <f t="shared" si="8"/>
        <v>128</v>
      </c>
      <c r="C155" s="10">
        <f t="shared" si="7"/>
        <v>-1586115.478619779</v>
      </c>
      <c r="D155" s="10"/>
      <c r="E155" s="10">
        <f t="shared" si="9"/>
        <v>-1785942.5379880019</v>
      </c>
      <c r="F155" s="10"/>
      <c r="G155" s="10"/>
      <c r="H155" s="60"/>
      <c r="I155" s="10"/>
      <c r="J155" s="10"/>
      <c r="K155" s="10"/>
      <c r="L155" s="10"/>
    </row>
    <row r="156" spans="1:12" x14ac:dyDescent="0.25">
      <c r="A156">
        <f t="shared" si="10"/>
        <v>153</v>
      </c>
      <c r="B156">
        <f t="shared" si="8"/>
        <v>129</v>
      </c>
      <c r="C156" s="10">
        <f t="shared" si="7"/>
        <v>-1586115.478619779</v>
      </c>
      <c r="D156" s="10"/>
      <c r="E156" s="10">
        <f t="shared" ref="E156:E183" si="11">IF($B156&gt;E$11*12,"",E$16)</f>
        <v>-1785942.5379880019</v>
      </c>
      <c r="F156" s="10"/>
      <c r="G156" s="10"/>
      <c r="H156" s="60"/>
      <c r="I156" s="10"/>
      <c r="J156" s="10"/>
      <c r="K156" s="10"/>
      <c r="L156" s="10"/>
    </row>
    <row r="157" spans="1:12" x14ac:dyDescent="0.25">
      <c r="A157">
        <f t="shared" si="10"/>
        <v>154</v>
      </c>
      <c r="B157">
        <f t="shared" si="8"/>
        <v>130</v>
      </c>
      <c r="C157" s="10">
        <f t="shared" ref="C157:C183" si="12">C$16</f>
        <v>-1586115.478619779</v>
      </c>
      <c r="D157" s="10"/>
      <c r="E157" s="10">
        <f t="shared" si="11"/>
        <v>-1785942.5379880019</v>
      </c>
      <c r="F157" s="10"/>
      <c r="G157" s="10"/>
      <c r="H157" s="60"/>
      <c r="I157" s="10"/>
      <c r="J157" s="10"/>
      <c r="K157" s="10"/>
      <c r="L157" s="10"/>
    </row>
    <row r="158" spans="1:12" x14ac:dyDescent="0.25">
      <c r="A158">
        <f t="shared" si="10"/>
        <v>155</v>
      </c>
      <c r="B158">
        <f t="shared" ref="B158:B183" si="13">B157+1</f>
        <v>131</v>
      </c>
      <c r="C158" s="10">
        <f t="shared" si="12"/>
        <v>-1586115.478619779</v>
      </c>
      <c r="D158" s="10"/>
      <c r="E158" s="10">
        <f t="shared" si="11"/>
        <v>-1785942.5379880019</v>
      </c>
      <c r="F158" s="10"/>
      <c r="G158" s="10"/>
      <c r="H158" s="60"/>
      <c r="I158" s="10"/>
      <c r="J158" s="10"/>
      <c r="K158" s="10"/>
      <c r="L158" s="10"/>
    </row>
    <row r="159" spans="1:12" x14ac:dyDescent="0.25">
      <c r="A159">
        <f t="shared" si="10"/>
        <v>156</v>
      </c>
      <c r="B159">
        <f t="shared" si="13"/>
        <v>132</v>
      </c>
      <c r="C159" s="10">
        <f t="shared" si="12"/>
        <v>-1586115.478619779</v>
      </c>
      <c r="D159" s="10"/>
      <c r="E159" s="10">
        <f t="shared" si="11"/>
        <v>-1785942.5379880019</v>
      </c>
      <c r="F159" s="10"/>
      <c r="G159" s="10"/>
      <c r="H159" s="60"/>
      <c r="I159" s="10"/>
      <c r="J159" s="10"/>
      <c r="K159" s="10"/>
      <c r="L159" s="10"/>
    </row>
    <row r="160" spans="1:12" x14ac:dyDescent="0.25">
      <c r="A160">
        <f t="shared" si="10"/>
        <v>157</v>
      </c>
      <c r="B160">
        <f t="shared" si="13"/>
        <v>133</v>
      </c>
      <c r="C160" s="10">
        <f t="shared" si="12"/>
        <v>-1586115.478619779</v>
      </c>
      <c r="D160" s="10"/>
      <c r="E160" s="10">
        <f t="shared" si="11"/>
        <v>-1785942.5379880019</v>
      </c>
      <c r="F160" s="10"/>
      <c r="G160" s="10"/>
      <c r="H160" s="60"/>
      <c r="I160" s="10"/>
      <c r="J160" s="10"/>
      <c r="K160" s="10"/>
      <c r="L160" s="10"/>
    </row>
    <row r="161" spans="1:12" x14ac:dyDescent="0.25">
      <c r="A161">
        <f t="shared" si="10"/>
        <v>158</v>
      </c>
      <c r="B161">
        <f t="shared" si="13"/>
        <v>134</v>
      </c>
      <c r="C161" s="10">
        <f t="shared" si="12"/>
        <v>-1586115.478619779</v>
      </c>
      <c r="D161" s="10"/>
      <c r="E161" s="10">
        <f t="shared" si="11"/>
        <v>-1785942.5379880019</v>
      </c>
      <c r="F161" s="10"/>
      <c r="G161" s="10"/>
      <c r="H161" s="60"/>
      <c r="I161" s="10"/>
      <c r="J161" s="10"/>
      <c r="K161" s="10"/>
      <c r="L161" s="10"/>
    </row>
    <row r="162" spans="1:12" x14ac:dyDescent="0.25">
      <c r="A162">
        <f t="shared" si="10"/>
        <v>159</v>
      </c>
      <c r="B162">
        <f t="shared" si="13"/>
        <v>135</v>
      </c>
      <c r="C162" s="10">
        <f t="shared" si="12"/>
        <v>-1586115.478619779</v>
      </c>
      <c r="D162" s="10"/>
      <c r="E162" s="10">
        <f t="shared" si="11"/>
        <v>-1785942.5379880019</v>
      </c>
      <c r="F162" s="10"/>
      <c r="G162" s="10"/>
      <c r="H162" s="60"/>
      <c r="I162" s="10"/>
      <c r="J162" s="10"/>
      <c r="K162" s="10"/>
      <c r="L162" s="10"/>
    </row>
    <row r="163" spans="1:12" x14ac:dyDescent="0.25">
      <c r="A163">
        <f t="shared" si="10"/>
        <v>160</v>
      </c>
      <c r="B163">
        <f t="shared" si="13"/>
        <v>136</v>
      </c>
      <c r="C163" s="10">
        <f t="shared" si="12"/>
        <v>-1586115.478619779</v>
      </c>
      <c r="D163" s="10"/>
      <c r="E163" s="10">
        <f t="shared" si="11"/>
        <v>-1785942.5379880019</v>
      </c>
      <c r="F163" s="10"/>
      <c r="G163" s="10"/>
      <c r="H163" s="60"/>
      <c r="I163" s="10"/>
      <c r="J163" s="10"/>
      <c r="K163" s="10"/>
      <c r="L163" s="10"/>
    </row>
    <row r="164" spans="1:12" x14ac:dyDescent="0.25">
      <c r="A164">
        <f t="shared" si="10"/>
        <v>161</v>
      </c>
      <c r="B164">
        <f t="shared" si="13"/>
        <v>137</v>
      </c>
      <c r="C164" s="10">
        <f t="shared" si="12"/>
        <v>-1586115.478619779</v>
      </c>
      <c r="D164" s="10"/>
      <c r="E164" s="10">
        <f t="shared" si="11"/>
        <v>-1785942.5379880019</v>
      </c>
      <c r="F164" s="10"/>
      <c r="G164" s="10"/>
      <c r="H164" s="60"/>
      <c r="I164" s="10"/>
      <c r="J164" s="10"/>
      <c r="K164" s="10"/>
      <c r="L164" s="10"/>
    </row>
    <row r="165" spans="1:12" x14ac:dyDescent="0.25">
      <c r="A165">
        <f t="shared" si="10"/>
        <v>162</v>
      </c>
      <c r="B165">
        <f t="shared" si="13"/>
        <v>138</v>
      </c>
      <c r="C165" s="10">
        <f t="shared" si="12"/>
        <v>-1586115.478619779</v>
      </c>
      <c r="D165" s="10"/>
      <c r="E165" s="10">
        <f t="shared" si="11"/>
        <v>-1785942.5379880019</v>
      </c>
      <c r="F165" s="10"/>
      <c r="G165" s="10"/>
      <c r="H165" s="60"/>
      <c r="I165" s="10"/>
      <c r="J165" s="10"/>
      <c r="K165" s="10"/>
      <c r="L165" s="10"/>
    </row>
    <row r="166" spans="1:12" x14ac:dyDescent="0.25">
      <c r="A166">
        <f t="shared" si="10"/>
        <v>163</v>
      </c>
      <c r="B166">
        <f t="shared" si="13"/>
        <v>139</v>
      </c>
      <c r="C166" s="10">
        <f t="shared" si="12"/>
        <v>-1586115.478619779</v>
      </c>
      <c r="D166" s="10"/>
      <c r="E166" s="10">
        <f t="shared" si="11"/>
        <v>-1785942.5379880019</v>
      </c>
      <c r="F166" s="10"/>
      <c r="G166" s="10"/>
      <c r="H166" s="60"/>
      <c r="I166" s="10"/>
      <c r="J166" s="10"/>
      <c r="K166" s="10"/>
      <c r="L166" s="10"/>
    </row>
    <row r="167" spans="1:12" x14ac:dyDescent="0.25">
      <c r="A167">
        <f t="shared" si="10"/>
        <v>164</v>
      </c>
      <c r="B167">
        <f t="shared" si="13"/>
        <v>140</v>
      </c>
      <c r="C167" s="10">
        <f t="shared" si="12"/>
        <v>-1586115.478619779</v>
      </c>
      <c r="D167" s="10"/>
      <c r="E167" s="10">
        <f t="shared" si="11"/>
        <v>-1785942.5379880019</v>
      </c>
      <c r="F167" s="10"/>
      <c r="G167" s="10"/>
      <c r="H167" s="60"/>
      <c r="I167" s="10"/>
      <c r="J167" s="10"/>
      <c r="K167" s="10"/>
      <c r="L167" s="10"/>
    </row>
    <row r="168" spans="1:12" x14ac:dyDescent="0.25">
      <c r="A168">
        <f t="shared" si="10"/>
        <v>165</v>
      </c>
      <c r="B168">
        <f t="shared" si="13"/>
        <v>141</v>
      </c>
      <c r="C168" s="10">
        <f t="shared" si="12"/>
        <v>-1586115.478619779</v>
      </c>
      <c r="D168" s="10"/>
      <c r="E168" s="10">
        <f t="shared" si="11"/>
        <v>-1785942.5379880019</v>
      </c>
      <c r="F168" s="10"/>
      <c r="G168" s="10"/>
      <c r="H168" s="60"/>
      <c r="I168" s="10"/>
      <c r="J168" s="10"/>
      <c r="K168" s="10"/>
      <c r="L168" s="10"/>
    </row>
    <row r="169" spans="1:12" x14ac:dyDescent="0.25">
      <c r="A169">
        <f t="shared" si="10"/>
        <v>166</v>
      </c>
      <c r="B169">
        <f t="shared" si="13"/>
        <v>142</v>
      </c>
      <c r="C169" s="10">
        <f t="shared" si="12"/>
        <v>-1586115.478619779</v>
      </c>
      <c r="D169" s="10"/>
      <c r="E169" s="10">
        <f t="shared" si="11"/>
        <v>-1785942.5379880019</v>
      </c>
      <c r="F169" s="10"/>
      <c r="G169" s="10"/>
      <c r="H169" s="60"/>
      <c r="I169" s="10"/>
      <c r="J169" s="10"/>
      <c r="K169" s="10"/>
      <c r="L169" s="10"/>
    </row>
    <row r="170" spans="1:12" x14ac:dyDescent="0.25">
      <c r="A170">
        <f t="shared" si="10"/>
        <v>167</v>
      </c>
      <c r="B170">
        <f t="shared" si="13"/>
        <v>143</v>
      </c>
      <c r="C170" s="10">
        <f t="shared" si="12"/>
        <v>-1586115.478619779</v>
      </c>
      <c r="D170" s="10"/>
      <c r="E170" s="10">
        <f t="shared" si="11"/>
        <v>-1785942.5379880019</v>
      </c>
      <c r="F170" s="10"/>
      <c r="G170" s="10"/>
      <c r="H170" s="60"/>
      <c r="I170" s="10"/>
      <c r="J170" s="10"/>
      <c r="K170" s="10"/>
      <c r="L170" s="10"/>
    </row>
    <row r="171" spans="1:12" x14ac:dyDescent="0.25">
      <c r="A171">
        <f t="shared" si="10"/>
        <v>168</v>
      </c>
      <c r="B171">
        <f t="shared" si="13"/>
        <v>144</v>
      </c>
      <c r="C171" s="10">
        <f t="shared" si="12"/>
        <v>-1586115.478619779</v>
      </c>
      <c r="D171" s="10"/>
      <c r="E171" s="10">
        <f t="shared" si="11"/>
        <v>-1785942.5379880019</v>
      </c>
      <c r="F171" s="10"/>
      <c r="G171" s="10"/>
      <c r="H171" s="60"/>
      <c r="I171" s="10"/>
      <c r="J171" s="10"/>
      <c r="K171" s="10"/>
      <c r="L171" s="10"/>
    </row>
    <row r="172" spans="1:12" x14ac:dyDescent="0.25">
      <c r="A172">
        <f t="shared" si="10"/>
        <v>169</v>
      </c>
      <c r="B172">
        <f t="shared" si="13"/>
        <v>145</v>
      </c>
      <c r="C172" s="10">
        <f t="shared" si="12"/>
        <v>-1586115.478619779</v>
      </c>
      <c r="D172" s="10"/>
      <c r="E172" s="10">
        <f t="shared" si="11"/>
        <v>-1785942.5379880019</v>
      </c>
      <c r="F172" s="10"/>
      <c r="G172" s="10"/>
      <c r="H172" s="60"/>
      <c r="I172" s="10"/>
      <c r="J172" s="10"/>
      <c r="K172" s="10"/>
      <c r="L172" s="10"/>
    </row>
    <row r="173" spans="1:12" x14ac:dyDescent="0.25">
      <c r="A173">
        <f t="shared" si="10"/>
        <v>170</v>
      </c>
      <c r="B173">
        <f t="shared" si="13"/>
        <v>146</v>
      </c>
      <c r="C173" s="10">
        <f t="shared" si="12"/>
        <v>-1586115.478619779</v>
      </c>
      <c r="D173" s="10"/>
      <c r="E173" s="10">
        <f t="shared" si="11"/>
        <v>-1785942.5379880019</v>
      </c>
      <c r="F173" s="10"/>
      <c r="G173" s="10"/>
      <c r="H173" s="60"/>
      <c r="I173" s="10"/>
      <c r="J173" s="10"/>
      <c r="K173" s="10"/>
      <c r="L173" s="10"/>
    </row>
    <row r="174" spans="1:12" x14ac:dyDescent="0.25">
      <c r="A174">
        <f t="shared" si="10"/>
        <v>171</v>
      </c>
      <c r="B174">
        <f t="shared" si="13"/>
        <v>147</v>
      </c>
      <c r="C174" s="10">
        <f t="shared" si="12"/>
        <v>-1586115.478619779</v>
      </c>
      <c r="D174" s="10"/>
      <c r="E174" s="10">
        <f t="shared" si="11"/>
        <v>-1785942.5379880019</v>
      </c>
      <c r="F174" s="10"/>
      <c r="G174" s="10"/>
      <c r="H174" s="60"/>
      <c r="I174" s="10"/>
      <c r="J174" s="10"/>
      <c r="K174" s="10"/>
      <c r="L174" s="10"/>
    </row>
    <row r="175" spans="1:12" x14ac:dyDescent="0.25">
      <c r="A175">
        <f t="shared" si="10"/>
        <v>172</v>
      </c>
      <c r="B175">
        <f t="shared" si="13"/>
        <v>148</v>
      </c>
      <c r="C175" s="10">
        <f t="shared" si="12"/>
        <v>-1586115.478619779</v>
      </c>
      <c r="D175" s="10"/>
      <c r="E175" s="10">
        <f t="shared" si="11"/>
        <v>-1785942.5379880019</v>
      </c>
      <c r="F175" s="10"/>
      <c r="G175" s="10"/>
      <c r="H175" s="60"/>
      <c r="I175" s="10"/>
      <c r="J175" s="10"/>
      <c r="K175" s="10"/>
      <c r="L175" s="10"/>
    </row>
    <row r="176" spans="1:12" x14ac:dyDescent="0.25">
      <c r="A176">
        <f t="shared" si="10"/>
        <v>173</v>
      </c>
      <c r="B176">
        <f t="shared" si="13"/>
        <v>149</v>
      </c>
      <c r="C176" s="10">
        <f t="shared" si="12"/>
        <v>-1586115.478619779</v>
      </c>
      <c r="D176" s="10"/>
      <c r="E176" s="10">
        <f t="shared" si="11"/>
        <v>-1785942.5379880019</v>
      </c>
      <c r="F176" s="10"/>
      <c r="G176" s="10"/>
      <c r="H176" s="60"/>
      <c r="I176" s="10"/>
      <c r="J176" s="10"/>
      <c r="K176" s="10"/>
      <c r="L176" s="10"/>
    </row>
    <row r="177" spans="1:12" x14ac:dyDescent="0.25">
      <c r="A177">
        <f t="shared" si="10"/>
        <v>174</v>
      </c>
      <c r="B177">
        <f t="shared" si="13"/>
        <v>150</v>
      </c>
      <c r="C177" s="10">
        <f t="shared" si="12"/>
        <v>-1586115.478619779</v>
      </c>
      <c r="D177" s="10"/>
      <c r="E177" s="10">
        <f t="shared" si="11"/>
        <v>-1785942.5379880019</v>
      </c>
      <c r="F177" s="10"/>
      <c r="G177" s="10"/>
      <c r="H177" s="60"/>
      <c r="I177" s="10"/>
      <c r="J177" s="10"/>
      <c r="K177" s="10"/>
      <c r="L177" s="10"/>
    </row>
    <row r="178" spans="1:12" x14ac:dyDescent="0.25">
      <c r="A178">
        <f t="shared" si="10"/>
        <v>175</v>
      </c>
      <c r="B178">
        <f t="shared" si="13"/>
        <v>151</v>
      </c>
      <c r="C178" s="10">
        <f t="shared" si="12"/>
        <v>-1586115.478619779</v>
      </c>
      <c r="D178" s="10"/>
      <c r="E178" s="10">
        <f t="shared" si="11"/>
        <v>-1785942.5379880019</v>
      </c>
      <c r="F178" s="10"/>
      <c r="G178" s="10"/>
      <c r="H178" s="60"/>
      <c r="I178" s="10"/>
      <c r="J178" s="10"/>
      <c r="K178" s="10"/>
      <c r="L178" s="10"/>
    </row>
    <row r="179" spans="1:12" x14ac:dyDescent="0.25">
      <c r="A179">
        <f t="shared" si="10"/>
        <v>176</v>
      </c>
      <c r="B179">
        <f t="shared" si="13"/>
        <v>152</v>
      </c>
      <c r="C179" s="10">
        <f t="shared" si="12"/>
        <v>-1586115.478619779</v>
      </c>
      <c r="D179" s="10"/>
      <c r="E179" s="10">
        <f t="shared" si="11"/>
        <v>-1785942.5379880019</v>
      </c>
      <c r="F179" s="10"/>
      <c r="G179" s="10"/>
      <c r="H179" s="60"/>
      <c r="I179" s="10"/>
      <c r="J179" s="10"/>
      <c r="K179" s="10"/>
      <c r="L179" s="10"/>
    </row>
    <row r="180" spans="1:12" x14ac:dyDescent="0.25">
      <c r="A180">
        <f t="shared" si="10"/>
        <v>177</v>
      </c>
      <c r="B180">
        <f t="shared" si="13"/>
        <v>153</v>
      </c>
      <c r="C180" s="10">
        <f t="shared" si="12"/>
        <v>-1586115.478619779</v>
      </c>
      <c r="D180" s="10"/>
      <c r="E180" s="10">
        <f t="shared" si="11"/>
        <v>-1785942.5379880019</v>
      </c>
      <c r="F180" s="10"/>
      <c r="G180" s="10"/>
      <c r="H180" s="60"/>
      <c r="I180" s="10"/>
      <c r="J180" s="10"/>
      <c r="K180" s="10"/>
      <c r="L180" s="10"/>
    </row>
    <row r="181" spans="1:12" x14ac:dyDescent="0.25">
      <c r="A181">
        <f t="shared" si="10"/>
        <v>178</v>
      </c>
      <c r="B181">
        <f t="shared" si="13"/>
        <v>154</v>
      </c>
      <c r="C181" s="10">
        <f t="shared" si="12"/>
        <v>-1586115.478619779</v>
      </c>
      <c r="D181" s="10"/>
      <c r="E181" s="10">
        <f t="shared" si="11"/>
        <v>-1785942.5379880019</v>
      </c>
      <c r="F181" s="10"/>
      <c r="G181" s="10"/>
      <c r="H181" s="60"/>
      <c r="I181" s="10"/>
      <c r="J181" s="10"/>
      <c r="K181" s="10"/>
      <c r="L181" s="10"/>
    </row>
    <row r="182" spans="1:12" x14ac:dyDescent="0.25">
      <c r="A182">
        <f t="shared" si="10"/>
        <v>179</v>
      </c>
      <c r="B182">
        <f t="shared" si="13"/>
        <v>155</v>
      </c>
      <c r="C182" s="10">
        <f t="shared" si="12"/>
        <v>-1586115.478619779</v>
      </c>
      <c r="D182" s="10"/>
      <c r="E182" s="10">
        <f t="shared" si="11"/>
        <v>-1785942.5379880019</v>
      </c>
      <c r="F182" s="10"/>
      <c r="G182" s="10"/>
      <c r="H182" s="60"/>
      <c r="I182" s="10"/>
      <c r="J182" s="10"/>
      <c r="K182" s="10"/>
      <c r="L182" s="10"/>
    </row>
    <row r="183" spans="1:12" x14ac:dyDescent="0.25">
      <c r="A183">
        <f t="shared" si="10"/>
        <v>180</v>
      </c>
      <c r="B183">
        <f t="shared" si="13"/>
        <v>156</v>
      </c>
      <c r="C183" s="57">
        <f t="shared" si="12"/>
        <v>-1586115.478619779</v>
      </c>
      <c r="D183" s="10"/>
      <c r="E183" s="57">
        <f t="shared" si="11"/>
        <v>-1785942.5379880019</v>
      </c>
      <c r="F183" s="10"/>
      <c r="G183" s="10"/>
      <c r="H183" s="60"/>
      <c r="I183" s="10"/>
      <c r="J183" s="10"/>
      <c r="K183" s="10"/>
      <c r="L183" s="10"/>
    </row>
    <row r="184" spans="1:12" x14ac:dyDescent="0.25">
      <c r="A184">
        <f t="shared" si="10"/>
        <v>181</v>
      </c>
      <c r="C184" s="10">
        <f>SUM(C28:C183)</f>
        <v>-247434014.66468605</v>
      </c>
      <c r="E184" s="10">
        <f>SUM(E28:E183)</f>
        <v>-278607035.92612886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8" workbookViewId="0">
      <selection activeCell="C7" sqref="C7"/>
    </sheetView>
  </sheetViews>
  <sheetFormatPr defaultRowHeight="15" x14ac:dyDescent="0.25"/>
  <cols>
    <col min="2" max="2" width="50.28515625" customWidth="1"/>
    <col min="3" max="3" width="22.7109375" style="1" customWidth="1"/>
    <col min="4" max="4" width="4" style="1" customWidth="1"/>
    <col min="5" max="6" width="22.7109375" style="1" customWidth="1"/>
    <col min="8" max="8" width="27.42578125" customWidth="1"/>
    <col min="9" max="9" width="15.140625" bestFit="1" customWidth="1"/>
    <col min="11" max="11" width="9.42578125" bestFit="1" customWidth="1"/>
    <col min="12" max="12" width="11.5703125" bestFit="1" customWidth="1"/>
  </cols>
  <sheetData>
    <row r="1" spans="1:13" ht="15.75" x14ac:dyDescent="0.25">
      <c r="A1" s="68"/>
      <c r="B1" s="69" t="s">
        <v>0</v>
      </c>
      <c r="C1" s="70" t="s">
        <v>103</v>
      </c>
      <c r="D1" s="27"/>
      <c r="E1" s="27"/>
      <c r="F1" s="27"/>
    </row>
    <row r="2" spans="1:13" ht="15.75" x14ac:dyDescent="0.25">
      <c r="A2" s="71"/>
      <c r="B2" s="28" t="s">
        <v>1</v>
      </c>
      <c r="C2" s="72"/>
      <c r="D2" s="27"/>
      <c r="E2" s="26"/>
      <c r="F2" s="26"/>
    </row>
    <row r="3" spans="1:13" ht="15.75" x14ac:dyDescent="0.25">
      <c r="A3" s="71"/>
      <c r="B3" s="28" t="s">
        <v>2</v>
      </c>
      <c r="C3" s="73"/>
    </row>
    <row r="4" spans="1:13" ht="15.75" x14ac:dyDescent="0.25">
      <c r="A4" s="71"/>
      <c r="B4" s="28" t="s">
        <v>3</v>
      </c>
      <c r="C4" s="73"/>
    </row>
    <row r="5" spans="1:13" x14ac:dyDescent="0.25">
      <c r="A5" s="71"/>
      <c r="C5" s="73"/>
    </row>
    <row r="6" spans="1:13" x14ac:dyDescent="0.25">
      <c r="A6" s="71" t="s">
        <v>4</v>
      </c>
      <c r="C6" s="73"/>
      <c r="I6" s="9"/>
      <c r="J6" s="9"/>
      <c r="K6" s="9"/>
      <c r="L6" s="9"/>
      <c r="M6" s="9"/>
    </row>
    <row r="7" spans="1:13" x14ac:dyDescent="0.25">
      <c r="A7" s="71">
        <v>1</v>
      </c>
      <c r="B7" s="23" t="s">
        <v>5</v>
      </c>
      <c r="C7" s="74">
        <f>'KSH 2 Revenue Requirement'!D10</f>
        <v>204500938.5</v>
      </c>
      <c r="D7" s="52"/>
      <c r="E7" s="38"/>
      <c r="H7" s="23"/>
    </row>
    <row r="8" spans="1:13" x14ac:dyDescent="0.25">
      <c r="A8" s="71">
        <v>2</v>
      </c>
      <c r="C8" s="73"/>
    </row>
    <row r="9" spans="1:13" x14ac:dyDescent="0.25">
      <c r="A9" s="71">
        <v>3</v>
      </c>
      <c r="B9" s="75" t="s">
        <v>6</v>
      </c>
      <c r="C9" s="73"/>
      <c r="H9" s="23"/>
    </row>
    <row r="10" spans="1:13" x14ac:dyDescent="0.25">
      <c r="A10" s="71">
        <v>4</v>
      </c>
      <c r="C10" s="73"/>
      <c r="E10" s="38"/>
      <c r="H10" s="23"/>
      <c r="I10" s="35"/>
      <c r="J10" s="35"/>
      <c r="K10" s="35"/>
      <c r="L10" s="35"/>
      <c r="M10" s="35"/>
    </row>
    <row r="11" spans="1:13" x14ac:dyDescent="0.25">
      <c r="A11" s="71">
        <v>5</v>
      </c>
      <c r="B11" t="s">
        <v>7</v>
      </c>
      <c r="C11" s="73">
        <v>1900000</v>
      </c>
      <c r="E11" s="38"/>
    </row>
    <row r="12" spans="1:13" x14ac:dyDescent="0.25">
      <c r="A12" s="71">
        <v>6</v>
      </c>
      <c r="B12" t="s">
        <v>8</v>
      </c>
      <c r="C12" s="73">
        <v>840000</v>
      </c>
      <c r="E12" s="38"/>
      <c r="H12" s="23"/>
      <c r="I12" s="36"/>
    </row>
    <row r="13" spans="1:13" x14ac:dyDescent="0.25">
      <c r="A13" s="71">
        <v>7</v>
      </c>
      <c r="B13" t="s">
        <v>9</v>
      </c>
      <c r="C13" s="73">
        <v>200000</v>
      </c>
      <c r="E13" s="38"/>
    </row>
    <row r="14" spans="1:13" x14ac:dyDescent="0.25">
      <c r="A14" s="71">
        <v>8</v>
      </c>
      <c r="B14" t="s">
        <v>10</v>
      </c>
      <c r="C14" s="73">
        <f>300000-45000</f>
        <v>255000</v>
      </c>
      <c r="E14" s="38"/>
      <c r="I14" s="30"/>
    </row>
    <row r="15" spans="1:13" x14ac:dyDescent="0.25">
      <c r="A15" s="71">
        <v>9</v>
      </c>
      <c r="B15" t="s">
        <v>11</v>
      </c>
      <c r="C15" s="73">
        <v>50000</v>
      </c>
      <c r="E15" s="38"/>
      <c r="I15" s="30"/>
    </row>
    <row r="16" spans="1:13" x14ac:dyDescent="0.25">
      <c r="A16" s="71">
        <v>10</v>
      </c>
      <c r="B16" t="s">
        <v>12</v>
      </c>
      <c r="C16" s="73">
        <f>7200+128000</f>
        <v>135200</v>
      </c>
      <c r="E16" s="38"/>
      <c r="I16" s="30"/>
    </row>
    <row r="17" spans="1:14" ht="17.25" x14ac:dyDescent="0.4">
      <c r="A17" s="71">
        <v>11</v>
      </c>
      <c r="B17" t="s">
        <v>13</v>
      </c>
      <c r="C17" s="76" t="s">
        <v>14</v>
      </c>
      <c r="D17" s="50"/>
      <c r="E17" s="38"/>
      <c r="I17" s="30"/>
    </row>
    <row r="18" spans="1:14" x14ac:dyDescent="0.25">
      <c r="A18" s="71">
        <v>13</v>
      </c>
      <c r="B18" t="s">
        <v>15</v>
      </c>
      <c r="C18" s="77">
        <f>SUM(C11:C17)</f>
        <v>3380200</v>
      </c>
      <c r="D18" s="37"/>
      <c r="E18" s="1" t="str">
        <f>"Sum Lines "&amp;A11&amp;"-"&amp;A16</f>
        <v>Sum Lines 5-10</v>
      </c>
    </row>
    <row r="19" spans="1:14" x14ac:dyDescent="0.25">
      <c r="A19" s="71">
        <v>14</v>
      </c>
      <c r="C19" s="73"/>
    </row>
    <row r="20" spans="1:14" x14ac:dyDescent="0.25">
      <c r="A20" s="71">
        <v>15</v>
      </c>
      <c r="C20" s="73"/>
    </row>
    <row r="21" spans="1:14" x14ac:dyDescent="0.25">
      <c r="A21" s="71">
        <v>16</v>
      </c>
      <c r="B21" t="s">
        <v>16</v>
      </c>
      <c r="C21" s="78">
        <v>9.2700000000000004E-5</v>
      </c>
      <c r="D21" s="49"/>
      <c r="E21" s="38" t="s">
        <v>17</v>
      </c>
    </row>
    <row r="22" spans="1:14" x14ac:dyDescent="0.25">
      <c r="A22" s="71">
        <v>17</v>
      </c>
      <c r="B22" t="s">
        <v>18</v>
      </c>
      <c r="C22" s="79">
        <f>0.0575%*2</f>
        <v>1.15E-3</v>
      </c>
      <c r="D22" s="67"/>
      <c r="E22" s="38" t="s">
        <v>19</v>
      </c>
    </row>
    <row r="23" spans="1:14" x14ac:dyDescent="0.25">
      <c r="A23" s="71">
        <v>18</v>
      </c>
      <c r="B23" t="s">
        <v>20</v>
      </c>
      <c r="C23" s="80">
        <f>C21+C22</f>
        <v>1.2427E-3</v>
      </c>
      <c r="D23" s="67"/>
      <c r="E23" s="1" t="str">
        <f>"Line "&amp;A20&amp;" + Line "&amp;A21</f>
        <v>Line 15 + Line 16</v>
      </c>
    </row>
    <row r="24" spans="1:14" x14ac:dyDescent="0.25">
      <c r="A24" s="71">
        <v>19</v>
      </c>
      <c r="B24" t="s">
        <v>21</v>
      </c>
      <c r="C24" s="81">
        <f>(C7+C18)*C23</f>
        <v>258333.89081395001</v>
      </c>
      <c r="D24" s="51"/>
      <c r="E24" s="1" t="str">
        <f>"(Line "&amp;A7&amp;" + Line "&amp;A17&amp;") * Line "&amp;A22</f>
        <v>(Line 1 + Line 11) * Line 17</v>
      </c>
      <c r="F24" s="38"/>
    </row>
    <row r="25" spans="1:14" x14ac:dyDescent="0.25">
      <c r="A25" s="71">
        <v>20</v>
      </c>
      <c r="C25" s="73"/>
    </row>
    <row r="26" spans="1:14" x14ac:dyDescent="0.25">
      <c r="A26" s="71">
        <v>22</v>
      </c>
      <c r="B26" s="23" t="s">
        <v>22</v>
      </c>
      <c r="C26" s="74">
        <f>C24+C18</f>
        <v>3638533.89081395</v>
      </c>
      <c r="D26" s="52"/>
      <c r="E26" s="1" t="str">
        <f>"Line "&amp;A17&amp;" + Line "&amp;A23</f>
        <v>Line 11 + Line 18</v>
      </c>
    </row>
    <row r="27" spans="1:14" x14ac:dyDescent="0.25">
      <c r="A27" s="71">
        <v>23</v>
      </c>
      <c r="B27" s="23"/>
      <c r="C27" s="74"/>
      <c r="D27" s="53"/>
      <c r="E27" s="37"/>
      <c r="F27" s="37"/>
      <c r="J27" t="s">
        <v>23</v>
      </c>
      <c r="N27" t="s">
        <v>24</v>
      </c>
    </row>
    <row r="28" spans="1:14" x14ac:dyDescent="0.25">
      <c r="A28" s="71">
        <v>24</v>
      </c>
      <c r="B28" s="23" t="s">
        <v>25</v>
      </c>
      <c r="C28" s="74">
        <f>C7+C26</f>
        <v>208139472.39081395</v>
      </c>
      <c r="D28" s="53"/>
      <c r="E28" s="37"/>
      <c r="F28" s="37"/>
    </row>
    <row r="29" spans="1:14" x14ac:dyDescent="0.25">
      <c r="A29" s="71">
        <v>25</v>
      </c>
      <c r="C29" s="82"/>
      <c r="D29"/>
      <c r="E29"/>
      <c r="F29"/>
    </row>
    <row r="30" spans="1:14" x14ac:dyDescent="0.25">
      <c r="A30" s="71">
        <v>26</v>
      </c>
      <c r="B30" s="75" t="s">
        <v>26</v>
      </c>
      <c r="C30" s="73"/>
      <c r="D30" s="37"/>
      <c r="E30" s="37"/>
      <c r="F30" s="37"/>
    </row>
    <row r="31" spans="1:14" x14ac:dyDescent="0.25">
      <c r="A31" s="71">
        <v>27</v>
      </c>
      <c r="C31" s="73"/>
      <c r="D31" s="37"/>
      <c r="E31" s="37"/>
      <c r="F31" s="37"/>
    </row>
    <row r="32" spans="1:14" x14ac:dyDescent="0.25">
      <c r="A32" s="71">
        <v>28</v>
      </c>
      <c r="B32" t="s">
        <v>27</v>
      </c>
      <c r="C32" s="73">
        <v>50000</v>
      </c>
      <c r="E32" s="38"/>
      <c r="F32" s="37"/>
    </row>
    <row r="33" spans="1:6" x14ac:dyDescent="0.25">
      <c r="A33" s="71">
        <v>29</v>
      </c>
      <c r="B33" t="s">
        <v>28</v>
      </c>
      <c r="C33" s="73">
        <v>5000</v>
      </c>
      <c r="E33" s="38"/>
      <c r="F33" s="37"/>
    </row>
    <row r="34" spans="1:6" x14ac:dyDescent="0.25">
      <c r="A34" s="71">
        <v>30</v>
      </c>
      <c r="B34" t="s">
        <v>29</v>
      </c>
      <c r="C34" s="73">
        <v>75000</v>
      </c>
      <c r="E34" s="38"/>
      <c r="F34" s="37"/>
    </row>
    <row r="35" spans="1:6" x14ac:dyDescent="0.25">
      <c r="A35" s="71">
        <v>31</v>
      </c>
      <c r="B35" t="s">
        <v>7</v>
      </c>
      <c r="C35" s="73">
        <v>35000</v>
      </c>
      <c r="E35" s="38"/>
    </row>
    <row r="36" spans="1:6" x14ac:dyDescent="0.25">
      <c r="A36" s="71">
        <v>32</v>
      </c>
      <c r="B36" t="s">
        <v>30</v>
      </c>
      <c r="C36" s="73">
        <v>40000</v>
      </c>
      <c r="E36" s="38"/>
    </row>
    <row r="37" spans="1:6" ht="30" x14ac:dyDescent="0.25">
      <c r="A37" s="71">
        <v>33</v>
      </c>
      <c r="B37" s="54" t="s">
        <v>31</v>
      </c>
      <c r="C37" s="73">
        <f>(0.5%*(C7+C26))*7.06%</f>
        <v>73473.23375395732</v>
      </c>
      <c r="E37" s="38"/>
    </row>
    <row r="38" spans="1:6" x14ac:dyDescent="0.25">
      <c r="A38" s="71">
        <v>34</v>
      </c>
      <c r="B38" t="s">
        <v>32</v>
      </c>
      <c r="C38" s="73">
        <v>10000</v>
      </c>
      <c r="E38" s="38"/>
    </row>
    <row r="39" spans="1:6" x14ac:dyDescent="0.25">
      <c r="A39" s="71">
        <v>35</v>
      </c>
      <c r="B39" t="s">
        <v>33</v>
      </c>
      <c r="C39" s="77">
        <v>10000</v>
      </c>
      <c r="D39" s="37"/>
      <c r="E39" s="38"/>
    </row>
    <row r="40" spans="1:6" x14ac:dyDescent="0.25">
      <c r="A40" s="71">
        <v>36</v>
      </c>
      <c r="B40" s="23" t="s">
        <v>34</v>
      </c>
      <c r="C40" s="74">
        <f>SUM(C32:C39)</f>
        <v>298473.23375395732</v>
      </c>
      <c r="D40" s="53"/>
    </row>
    <row r="41" spans="1:6" x14ac:dyDescent="0.25">
      <c r="A41" s="71">
        <v>37</v>
      </c>
      <c r="C41" s="73"/>
      <c r="D41" s="37"/>
    </row>
    <row r="42" spans="1:6" x14ac:dyDescent="0.25">
      <c r="A42" s="83">
        <v>38</v>
      </c>
      <c r="B42" s="84" t="s">
        <v>35</v>
      </c>
      <c r="C42" s="85">
        <f>C40/12</f>
        <v>24872.769479496445</v>
      </c>
      <c r="D42" s="52"/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="150" zoomScaleNormal="150" workbookViewId="0">
      <selection activeCell="D13" sqref="D13"/>
    </sheetView>
  </sheetViews>
  <sheetFormatPr defaultRowHeight="15" x14ac:dyDescent="0.25"/>
  <cols>
    <col min="2" max="2" width="3.5703125" customWidth="1"/>
    <col min="3" max="3" width="71.42578125" customWidth="1"/>
    <col min="4" max="4" width="16.7109375" style="1" bestFit="1" customWidth="1"/>
    <col min="5" max="5" width="2.85546875" customWidth="1"/>
    <col min="6" max="6" width="21.140625" customWidth="1"/>
    <col min="7" max="7" width="15.42578125" bestFit="1" customWidth="1"/>
    <col min="8" max="8" width="14.7109375" bestFit="1" customWidth="1"/>
  </cols>
  <sheetData>
    <row r="1" spans="1:8" ht="15.75" x14ac:dyDescent="0.25">
      <c r="C1" s="28" t="s">
        <v>0</v>
      </c>
      <c r="D1" s="91" t="s">
        <v>36</v>
      </c>
    </row>
    <row r="2" spans="1:8" ht="15.75" x14ac:dyDescent="0.25">
      <c r="C2" s="28" t="s">
        <v>1</v>
      </c>
      <c r="D2" s="26"/>
    </row>
    <row r="3" spans="1:8" ht="15.75" x14ac:dyDescent="0.25">
      <c r="C3" s="28" t="s">
        <v>2</v>
      </c>
    </row>
    <row r="4" spans="1:8" ht="15.75" x14ac:dyDescent="0.25">
      <c r="C4" s="28" t="s">
        <v>3</v>
      </c>
    </row>
    <row r="6" spans="1:8" x14ac:dyDescent="0.25">
      <c r="A6" t="s">
        <v>4</v>
      </c>
    </row>
    <row r="7" spans="1:8" x14ac:dyDescent="0.25">
      <c r="A7">
        <v>1</v>
      </c>
      <c r="C7" t="s">
        <v>37</v>
      </c>
      <c r="D7" s="1">
        <v>193402197.90000001</v>
      </c>
      <c r="E7" s="56"/>
      <c r="F7">
        <f>0.0677/12</f>
        <v>5.6416666666666664E-3</v>
      </c>
      <c r="G7" s="90">
        <f>D7*0.0677*10/12</f>
        <v>10911107.331525</v>
      </c>
    </row>
    <row r="8" spans="1:8" x14ac:dyDescent="0.25">
      <c r="A8">
        <v>2</v>
      </c>
      <c r="C8" t="s">
        <v>38</v>
      </c>
      <c r="D8" s="37">
        <v>10957634.729999999</v>
      </c>
      <c r="E8" s="56"/>
      <c r="F8" s="34">
        <f>FV(F7,10,0,-D7)</f>
        <v>204594519.7905598</v>
      </c>
      <c r="G8" s="34">
        <f>F8-D7</f>
        <v>11192321.890559793</v>
      </c>
    </row>
    <row r="9" spans="1:8" x14ac:dyDescent="0.25">
      <c r="A9">
        <v>3</v>
      </c>
      <c r="C9" t="s">
        <v>39</v>
      </c>
      <c r="D9" s="2">
        <v>141105.87000000002</v>
      </c>
    </row>
    <row r="10" spans="1:8" x14ac:dyDescent="0.25">
      <c r="A10">
        <v>5</v>
      </c>
      <c r="C10" t="s">
        <v>40</v>
      </c>
      <c r="D10" s="1">
        <f>SUM(D7:D9)</f>
        <v>204500938.5</v>
      </c>
      <c r="H10" s="30">
        <f>D10-D9</f>
        <v>204359832.63</v>
      </c>
    </row>
    <row r="11" spans="1:8" x14ac:dyDescent="0.25">
      <c r="A11">
        <v>6</v>
      </c>
      <c r="H11" s="90">
        <f>0.00677*D7</f>
        <v>1309332.8797830001</v>
      </c>
    </row>
    <row r="12" spans="1:8" x14ac:dyDescent="0.25">
      <c r="A12">
        <v>7</v>
      </c>
      <c r="C12" t="s">
        <v>41</v>
      </c>
      <c r="D12" s="2">
        <f>'KSH 1 - Bond Financing Costs'!C26</f>
        <v>3638533.89081395</v>
      </c>
    </row>
    <row r="13" spans="1:8" x14ac:dyDescent="0.25">
      <c r="A13">
        <v>8</v>
      </c>
      <c r="C13" t="s">
        <v>42</v>
      </c>
      <c r="D13" s="1">
        <f>D10+D12</f>
        <v>208139472.39081395</v>
      </c>
      <c r="F13" s="90">
        <f>D12+(D19*13)</f>
        <v>7518685.9296153951</v>
      </c>
    </row>
    <row r="14" spans="1:8" x14ac:dyDescent="0.25">
      <c r="A14">
        <v>9</v>
      </c>
      <c r="H14">
        <f>D8/H11</f>
        <v>8.3688685277773232</v>
      </c>
    </row>
    <row r="15" spans="1:8" x14ac:dyDescent="0.25">
      <c r="A15">
        <v>10</v>
      </c>
      <c r="C15" t="s">
        <v>43</v>
      </c>
      <c r="D15" s="21">
        <v>2.47E-2</v>
      </c>
    </row>
    <row r="16" spans="1:8" x14ac:dyDescent="0.25">
      <c r="A16">
        <v>11</v>
      </c>
      <c r="C16" t="s">
        <v>44</v>
      </c>
      <c r="D16" s="39">
        <v>13</v>
      </c>
    </row>
    <row r="17" spans="1:6" x14ac:dyDescent="0.25">
      <c r="A17">
        <v>12</v>
      </c>
      <c r="C17" s="23" t="s">
        <v>45</v>
      </c>
      <c r="D17" s="52">
        <f>-PMT(D15/12,D16*12,D13)</f>
        <v>1561242.7091402826</v>
      </c>
      <c r="E17" s="56"/>
    </row>
    <row r="18" spans="1:6" x14ac:dyDescent="0.25">
      <c r="A18">
        <v>13</v>
      </c>
    </row>
    <row r="19" spans="1:6" x14ac:dyDescent="0.25">
      <c r="A19">
        <v>14</v>
      </c>
      <c r="C19" t="s">
        <v>46</v>
      </c>
      <c r="D19" s="1">
        <f>'KSH 1 - Bond Financing Costs'!C40</f>
        <v>298473.23375395732</v>
      </c>
      <c r="F19" s="1"/>
    </row>
    <row r="20" spans="1:6" x14ac:dyDescent="0.25">
      <c r="A20">
        <v>15</v>
      </c>
      <c r="C20" t="s">
        <v>47</v>
      </c>
      <c r="D20" s="1">
        <f>D19/12</f>
        <v>24872.769479496445</v>
      </c>
    </row>
    <row r="21" spans="1:6" x14ac:dyDescent="0.25">
      <c r="A21">
        <v>16</v>
      </c>
    </row>
    <row r="22" spans="1:6" ht="15.75" thickBot="1" x14ac:dyDescent="0.3">
      <c r="A22">
        <v>17</v>
      </c>
      <c r="C22" s="24" t="s">
        <v>48</v>
      </c>
      <c r="D22" s="25">
        <f>D17+D20</f>
        <v>1586115.478619779</v>
      </c>
      <c r="F22" s="30">
        <f>D22*12</f>
        <v>19033385.74343735</v>
      </c>
    </row>
    <row r="23" spans="1:6" ht="15.75" thickTop="1" x14ac:dyDescent="0.25"/>
    <row r="31" spans="1:6" x14ac:dyDescent="0.25">
      <c r="C31" s="5"/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workbookViewId="0">
      <selection activeCell="I32" sqref="I32"/>
    </sheetView>
  </sheetViews>
  <sheetFormatPr defaultRowHeight="15" x14ac:dyDescent="0.25"/>
  <cols>
    <col min="2" max="2" width="26.85546875" customWidth="1"/>
    <col min="3" max="3" width="17.42578125" customWidth="1"/>
    <col min="4" max="14" width="14.5703125" customWidth="1"/>
    <col min="16" max="16" width="13.42578125" style="3" customWidth="1"/>
    <col min="18" max="18" width="15" bestFit="1" customWidth="1"/>
    <col min="19" max="19" width="21" customWidth="1"/>
    <col min="20" max="20" width="10.85546875" customWidth="1"/>
    <col min="21" max="21" width="15.5703125" customWidth="1"/>
    <col min="22" max="22" width="15.140625" customWidth="1"/>
    <col min="23" max="23" width="11.5703125" customWidth="1"/>
    <col min="24" max="25" width="21" customWidth="1"/>
  </cols>
  <sheetData>
    <row r="1" spans="2:23" ht="14.45" customHeight="1" x14ac:dyDescent="0.25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27" t="s">
        <v>104</v>
      </c>
      <c r="P1"/>
    </row>
    <row r="2" spans="2:23" ht="14.45" customHeight="1" x14ac:dyDescent="0.25"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6"/>
      <c r="P2"/>
    </row>
    <row r="3" spans="2:23" ht="14.45" customHeight="1" x14ac:dyDescent="0.25">
      <c r="B3" s="109" t="s">
        <v>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"/>
      <c r="P3"/>
    </row>
    <row r="4" spans="2:23" ht="14.45" customHeight="1" x14ac:dyDescent="0.25">
      <c r="B4" s="109" t="s">
        <v>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P4"/>
      <c r="S4" s="58" t="s">
        <v>63</v>
      </c>
      <c r="T4" s="89" t="s">
        <v>64</v>
      </c>
      <c r="U4" s="3" t="s">
        <v>65</v>
      </c>
      <c r="V4" s="3" t="s">
        <v>66</v>
      </c>
      <c r="W4" s="3" t="s">
        <v>67</v>
      </c>
    </row>
    <row r="5" spans="2:23" x14ac:dyDescent="0.25">
      <c r="S5" s="58"/>
      <c r="T5" s="3" t="s">
        <v>68</v>
      </c>
      <c r="U5" s="3" t="s">
        <v>69</v>
      </c>
      <c r="V5" s="3" t="s">
        <v>70</v>
      </c>
      <c r="W5" s="3" t="s">
        <v>71</v>
      </c>
    </row>
    <row r="6" spans="2:23" x14ac:dyDescent="0.25">
      <c r="S6" s="88" t="s">
        <v>72</v>
      </c>
      <c r="T6" s="21">
        <f>'KSH 4 - SUTC calculation'!C15</f>
        <v>0.44375311754592817</v>
      </c>
      <c r="U6" s="48">
        <f>'KSH 4 - SUTC calculation'!C16</f>
        <v>8446124.2611045483</v>
      </c>
      <c r="V6" s="6">
        <v>1672672383</v>
      </c>
      <c r="W6" s="87">
        <f t="shared" ref="W6:W17" si="0">U6/V6</f>
        <v>5.0494791131519201E-3</v>
      </c>
    </row>
    <row r="7" spans="2:23" x14ac:dyDescent="0.25">
      <c r="B7" s="23" t="s">
        <v>73</v>
      </c>
      <c r="S7" s="88" t="s">
        <v>74</v>
      </c>
      <c r="T7" s="21">
        <f>'KSH 4 - SUTC calculation'!D15</f>
        <v>8.933607305647745E-2</v>
      </c>
      <c r="U7" s="48">
        <f>'KSH 4 - SUTC calculation'!D16</f>
        <v>1700367.9392878355</v>
      </c>
      <c r="V7" s="6">
        <v>314902557</v>
      </c>
      <c r="W7" s="87">
        <f t="shared" si="0"/>
        <v>5.3996638054858203E-3</v>
      </c>
    </row>
    <row r="8" spans="2:23" x14ac:dyDescent="0.25">
      <c r="B8" s="23"/>
      <c r="S8" s="88" t="s">
        <v>75</v>
      </c>
      <c r="T8" s="21">
        <f>'KSH 4 - SUTC calculation'!E15</f>
        <v>2.0122393758149278E-2</v>
      </c>
      <c r="U8" s="48">
        <f>'KSH 4 - SUTC calculation'!E16</f>
        <v>382997.28248019121</v>
      </c>
      <c r="V8" s="6">
        <v>79755494</v>
      </c>
      <c r="W8" s="87">
        <f t="shared" si="0"/>
        <v>4.8021429405250907E-3</v>
      </c>
    </row>
    <row r="9" spans="2:23" x14ac:dyDescent="0.25">
      <c r="C9" s="4">
        <f>'KSH 2 Revenue Requirement'!D22</f>
        <v>1586115.478619779</v>
      </c>
      <c r="D9" t="s">
        <v>60</v>
      </c>
      <c r="F9" s="7"/>
      <c r="R9" s="7"/>
      <c r="S9" s="88" t="s">
        <v>76</v>
      </c>
      <c r="T9" s="21">
        <f>'KSH 4 - SUTC calculation'!F15</f>
        <v>0.18296118925042912</v>
      </c>
      <c r="U9" s="48">
        <f>'KSH 4 - SUTC calculation'!F16</f>
        <v>3482370.8910814603</v>
      </c>
      <c r="V9" s="6">
        <v>837326668</v>
      </c>
      <c r="W9" s="87">
        <f t="shared" si="0"/>
        <v>4.1589155393787847E-3</v>
      </c>
    </row>
    <row r="10" spans="2:23" x14ac:dyDescent="0.25">
      <c r="C10" s="4">
        <f>C9*12</f>
        <v>19033385.74343735</v>
      </c>
      <c r="D10" t="s">
        <v>77</v>
      </c>
      <c r="F10" s="7"/>
      <c r="R10" s="7"/>
      <c r="S10" s="88" t="s">
        <v>78</v>
      </c>
      <c r="T10" s="21">
        <f>'KSH 4 - SUTC calculation'!G15</f>
        <v>1.1258584859542979E-2</v>
      </c>
      <c r="U10" s="48">
        <f>'KSH 4 - SUTC calculation'!G16</f>
        <v>214288.98855690492</v>
      </c>
      <c r="V10" s="6">
        <v>69477754</v>
      </c>
      <c r="W10" s="87">
        <f t="shared" si="0"/>
        <v>3.084282035900368E-3</v>
      </c>
    </row>
    <row r="11" spans="2:23" x14ac:dyDescent="0.25">
      <c r="S11" s="88" t="s">
        <v>79</v>
      </c>
      <c r="T11" s="21">
        <f>'KSH 4 - SUTC calculation'!H15</f>
        <v>7.6907370492079491E-2</v>
      </c>
      <c r="U11" s="48">
        <f>'KSH 4 - SUTC calculation'!H16</f>
        <v>1463807.6490892002</v>
      </c>
      <c r="V11" s="6">
        <v>340335347</v>
      </c>
      <c r="W11" s="87">
        <f t="shared" si="0"/>
        <v>4.3010744020344155E-3</v>
      </c>
    </row>
    <row r="12" spans="2:23" s="8" customFormat="1" ht="30" x14ac:dyDescent="0.25">
      <c r="C12" s="8" t="s">
        <v>72</v>
      </c>
      <c r="D12" s="8" t="s">
        <v>74</v>
      </c>
      <c r="E12" s="8" t="s">
        <v>75</v>
      </c>
      <c r="F12" s="8" t="s">
        <v>76</v>
      </c>
      <c r="G12" s="8" t="s">
        <v>78</v>
      </c>
      <c r="H12" s="8" t="s">
        <v>79</v>
      </c>
      <c r="I12" s="8" t="s">
        <v>80</v>
      </c>
      <c r="J12" s="8" t="s">
        <v>81</v>
      </c>
      <c r="K12" s="8" t="s">
        <v>82</v>
      </c>
      <c r="L12" s="8" t="s">
        <v>83</v>
      </c>
      <c r="M12" s="8" t="s">
        <v>84</v>
      </c>
      <c r="N12" s="8" t="s">
        <v>85</v>
      </c>
      <c r="S12" s="88" t="s">
        <v>80</v>
      </c>
      <c r="T12" s="21">
        <f>'KSH 4 - SUTC calculation'!I15</f>
        <v>1.5422492682032446E-4</v>
      </c>
      <c r="U12" s="48">
        <f>'KSH 4 - SUTC calculation'!I16</f>
        <v>2935.4225234246323</v>
      </c>
      <c r="V12" s="6">
        <v>452711</v>
      </c>
      <c r="W12" s="87">
        <f t="shared" si="0"/>
        <v>6.4840980745434337E-3</v>
      </c>
    </row>
    <row r="13" spans="2:23" s="9" customFormat="1" x14ac:dyDescent="0.25">
      <c r="C13" s="9" t="s">
        <v>86</v>
      </c>
      <c r="D13" s="9" t="s">
        <v>87</v>
      </c>
      <c r="E13" s="9" t="s">
        <v>88</v>
      </c>
      <c r="F13" s="9" t="s">
        <v>89</v>
      </c>
      <c r="G13" s="9" t="s">
        <v>90</v>
      </c>
      <c r="H13" s="9" t="s">
        <v>91</v>
      </c>
      <c r="I13" s="9" t="s">
        <v>92</v>
      </c>
      <c r="J13" s="9" t="s">
        <v>93</v>
      </c>
      <c r="K13" s="9" t="s">
        <v>94</v>
      </c>
      <c r="L13" s="9" t="s">
        <v>95</v>
      </c>
      <c r="M13" s="9" t="s">
        <v>96</v>
      </c>
      <c r="N13" s="9" t="s">
        <v>97</v>
      </c>
      <c r="P13" s="9" t="s">
        <v>53</v>
      </c>
      <c r="S13" s="88" t="s">
        <v>81</v>
      </c>
      <c r="T13" s="21">
        <f>'KSH 4 - SUTC calculation'!J15</f>
        <v>0.16206145955818479</v>
      </c>
      <c r="U13" s="48">
        <f>'KSH 4 - SUTC calculation'!J16</f>
        <v>3084578.2739154031</v>
      </c>
      <c r="V13" s="6">
        <v>874735928</v>
      </c>
      <c r="W13" s="87">
        <f t="shared" si="0"/>
        <v>3.5262965372509576E-3</v>
      </c>
    </row>
    <row r="14" spans="2:23" s="4" customFormat="1" x14ac:dyDescent="0.25">
      <c r="B14" s="4" t="s">
        <v>98</v>
      </c>
      <c r="C14" s="10">
        <v>314277199</v>
      </c>
      <c r="D14" s="10">
        <v>63270070</v>
      </c>
      <c r="E14" s="10">
        <v>14251189</v>
      </c>
      <c r="F14" s="10">
        <v>129577749</v>
      </c>
      <c r="G14" s="10">
        <v>7973615</v>
      </c>
      <c r="H14" s="10">
        <v>54467748</v>
      </c>
      <c r="I14" s="10">
        <v>109226</v>
      </c>
      <c r="J14" s="10">
        <v>114776031</v>
      </c>
      <c r="K14" s="10">
        <v>22039</v>
      </c>
      <c r="L14" s="10">
        <v>4417117</v>
      </c>
      <c r="M14" s="10">
        <v>4973992</v>
      </c>
      <c r="N14" s="10">
        <v>109357</v>
      </c>
      <c r="P14" s="10">
        <f>SUM(C14:N14)</f>
        <v>708225332</v>
      </c>
      <c r="S14" s="88" t="s">
        <v>82</v>
      </c>
      <c r="T14" s="21">
        <f>'KSH 4 - SUTC calculation'!K15</f>
        <v>3.1118627086894431E-5</v>
      </c>
      <c r="U14" s="48">
        <f>'KSH 4 - SUTC calculation'!K16</f>
        <v>592.29283315103976</v>
      </c>
      <c r="V14" s="6">
        <v>136106</v>
      </c>
      <c r="W14" s="87">
        <f t="shared" si="0"/>
        <v>4.3517025932070571E-3</v>
      </c>
    </row>
    <row r="15" spans="2:23" s="4" customFormat="1" x14ac:dyDescent="0.25">
      <c r="B15" s="4" t="s">
        <v>64</v>
      </c>
      <c r="C15" s="31">
        <f>C14/$P14</f>
        <v>0.44375311754592817</v>
      </c>
      <c r="D15" s="31">
        <f t="shared" ref="D15:N15" si="1">D14/$P14</f>
        <v>8.933607305647745E-2</v>
      </c>
      <c r="E15" s="31">
        <f t="shared" si="1"/>
        <v>2.0122393758149278E-2</v>
      </c>
      <c r="F15" s="31">
        <f t="shared" si="1"/>
        <v>0.18296118925042912</v>
      </c>
      <c r="G15" s="31">
        <f t="shared" si="1"/>
        <v>1.1258584859542979E-2</v>
      </c>
      <c r="H15" s="31">
        <f t="shared" si="1"/>
        <v>7.6907370492079491E-2</v>
      </c>
      <c r="I15" s="31">
        <f t="shared" si="1"/>
        <v>1.5422492682032446E-4</v>
      </c>
      <c r="J15" s="31">
        <f t="shared" si="1"/>
        <v>0.16206145955818479</v>
      </c>
      <c r="K15" s="31">
        <f t="shared" si="1"/>
        <v>3.1118627086894431E-5</v>
      </c>
      <c r="L15" s="31">
        <f t="shared" si="1"/>
        <v>6.2368808349826154E-3</v>
      </c>
      <c r="M15" s="31">
        <f t="shared" si="1"/>
        <v>7.0231771941193424E-3</v>
      </c>
      <c r="N15" s="31">
        <f t="shared" si="1"/>
        <v>1.5440989619953328E-4</v>
      </c>
      <c r="O15" s="32"/>
      <c r="P15" s="33">
        <f>SUM(C15:N15)</f>
        <v>1.0000000000000002</v>
      </c>
      <c r="S15" s="88" t="s">
        <v>83</v>
      </c>
      <c r="T15" s="21">
        <f>'KSH 4 - SUTC calculation'!L15</f>
        <v>6.2368808349826154E-3</v>
      </c>
      <c r="U15" s="48">
        <f>'KSH 4 - SUTC calculation'!L16</f>
        <v>118708.95876807574</v>
      </c>
      <c r="V15" s="6">
        <v>17854334</v>
      </c>
      <c r="W15" s="87">
        <f t="shared" si="0"/>
        <v>6.6487475124009524E-3</v>
      </c>
    </row>
    <row r="16" spans="2:23" s="4" customFormat="1" x14ac:dyDescent="0.25">
      <c r="B16" s="4" t="s">
        <v>99</v>
      </c>
      <c r="C16" s="10">
        <f>C15*$C10</f>
        <v>8446124.2611045483</v>
      </c>
      <c r="D16" s="10">
        <f t="shared" ref="D16:N16" si="2">D15*$C10</f>
        <v>1700367.9392878355</v>
      </c>
      <c r="E16" s="10">
        <f t="shared" si="2"/>
        <v>382997.28248019121</v>
      </c>
      <c r="F16" s="10">
        <f t="shared" si="2"/>
        <v>3482370.8910814603</v>
      </c>
      <c r="G16" s="10">
        <f t="shared" si="2"/>
        <v>214288.98855690492</v>
      </c>
      <c r="H16" s="10">
        <f t="shared" si="2"/>
        <v>1463807.6490892002</v>
      </c>
      <c r="I16" s="10">
        <f t="shared" si="2"/>
        <v>2935.4225234246323</v>
      </c>
      <c r="J16" s="10">
        <f t="shared" si="2"/>
        <v>3084578.2739154031</v>
      </c>
      <c r="K16" s="10">
        <f t="shared" si="2"/>
        <v>592.29283315103976</v>
      </c>
      <c r="L16" s="10">
        <f t="shared" si="2"/>
        <v>118708.95876807574</v>
      </c>
      <c r="M16" s="10">
        <f t="shared" si="2"/>
        <v>133674.84068018541</v>
      </c>
      <c r="N16" s="10">
        <f t="shared" si="2"/>
        <v>2938.9431169698378</v>
      </c>
      <c r="P16" s="10">
        <f>SUM(C16:N16)</f>
        <v>19033385.74343735</v>
      </c>
      <c r="S16" s="88" t="s">
        <v>84</v>
      </c>
      <c r="T16" s="21">
        <f>'KSH 4 - SUTC calculation'!M15</f>
        <v>7.0231771941193424E-3</v>
      </c>
      <c r="U16" s="48">
        <f>'KSH 4 - SUTC calculation'!M16</f>
        <v>133674.84068018541</v>
      </c>
      <c r="V16" s="6">
        <v>12566733</v>
      </c>
      <c r="W16" s="87">
        <f t="shared" si="0"/>
        <v>1.0637199077929435E-2</v>
      </c>
    </row>
    <row r="17" spans="2:23" s="4" customFormat="1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P17" s="10"/>
      <c r="S17" s="88" t="s">
        <v>85</v>
      </c>
      <c r="T17" s="21">
        <f>'KSH 4 - SUTC calculation'!N15</f>
        <v>1.5440989619953328E-4</v>
      </c>
      <c r="U17" s="48">
        <f>'KSH 4 - SUTC calculation'!N16</f>
        <v>2938.9431169698378</v>
      </c>
      <c r="V17" s="6">
        <v>405972</v>
      </c>
      <c r="W17" s="87">
        <f t="shared" si="0"/>
        <v>7.239275410545155E-3</v>
      </c>
    </row>
    <row r="18" spans="2:23" s="6" customFormat="1" x14ac:dyDescent="0.25">
      <c r="B18" t="s">
        <v>66</v>
      </c>
      <c r="C18" s="12">
        <v>1672672383</v>
      </c>
      <c r="D18" s="12">
        <v>314902557</v>
      </c>
      <c r="E18" s="12">
        <v>79755494</v>
      </c>
      <c r="F18" s="12">
        <v>837326668</v>
      </c>
      <c r="G18" s="12">
        <v>69477754</v>
      </c>
      <c r="H18" s="12">
        <v>340335347</v>
      </c>
      <c r="I18" s="12">
        <v>452711</v>
      </c>
      <c r="J18" s="12">
        <v>874735928</v>
      </c>
      <c r="K18" s="12">
        <v>136106</v>
      </c>
      <c r="L18" s="12">
        <v>17854334</v>
      </c>
      <c r="M18" s="12">
        <v>12566733</v>
      </c>
      <c r="N18" s="12">
        <v>405972</v>
      </c>
      <c r="P18" s="12">
        <f>SUM(C18:N18)</f>
        <v>4220621987</v>
      </c>
      <c r="S18" s="58"/>
      <c r="T18" s="21"/>
      <c r="U18"/>
      <c r="V18"/>
      <c r="W18" s="87"/>
    </row>
    <row r="19" spans="2:23" s="44" customFormat="1" x14ac:dyDescent="0.25">
      <c r="B19" s="43" t="s">
        <v>67</v>
      </c>
      <c r="C19" s="45">
        <f>C16/C18</f>
        <v>5.0494791131519201E-3</v>
      </c>
      <c r="D19" s="45">
        <f t="shared" ref="D19:N19" si="3">D16/D18</f>
        <v>5.3996638054858203E-3</v>
      </c>
      <c r="E19" s="45">
        <f t="shared" si="3"/>
        <v>4.8021429405250907E-3</v>
      </c>
      <c r="F19" s="45">
        <f t="shared" si="3"/>
        <v>4.1589155393787847E-3</v>
      </c>
      <c r="G19" s="45">
        <f t="shared" si="3"/>
        <v>3.084282035900368E-3</v>
      </c>
      <c r="H19" s="45">
        <f t="shared" si="3"/>
        <v>4.3010744020344155E-3</v>
      </c>
      <c r="I19" s="45">
        <f t="shared" si="3"/>
        <v>6.4840980745434337E-3</v>
      </c>
      <c r="J19" s="45">
        <f t="shared" si="3"/>
        <v>3.5262965372509576E-3</v>
      </c>
      <c r="K19" s="45">
        <f t="shared" si="3"/>
        <v>4.3517025932070571E-3</v>
      </c>
      <c r="L19" s="45">
        <f t="shared" si="3"/>
        <v>6.6487475124009524E-3</v>
      </c>
      <c r="M19" s="45">
        <f t="shared" si="3"/>
        <v>1.0637199077929435E-2</v>
      </c>
      <c r="N19" s="45">
        <f t="shared" si="3"/>
        <v>7.239275410545155E-3</v>
      </c>
      <c r="P19" s="46"/>
      <c r="R19" s="47"/>
      <c r="S19" s="8" t="s">
        <v>100</v>
      </c>
      <c r="T19" s="21">
        <f>SUM(T6:T18)</f>
        <v>1.0000000000000002</v>
      </c>
      <c r="U19" s="48">
        <f>SUM(U6:U17)</f>
        <v>19033385.74343735</v>
      </c>
      <c r="V19" s="6">
        <f>SUM(V6:V17)</f>
        <v>4220621987</v>
      </c>
      <c r="W19" s="87">
        <f>U19/V19</f>
        <v>4.509616308227167E-3</v>
      </c>
    </row>
    <row r="20" spans="2:23" x14ac:dyDescent="0.25">
      <c r="C20" s="8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23" x14ac:dyDescent="0.25">
      <c r="C21" s="7">
        <f>C19*1000</f>
        <v>5.0494791131519197</v>
      </c>
    </row>
    <row r="24" spans="2:23" x14ac:dyDescent="0.25">
      <c r="C24" s="4"/>
    </row>
    <row r="25" spans="2:23" x14ac:dyDescent="0.25">
      <c r="C25" s="21"/>
    </row>
    <row r="26" spans="2:23" x14ac:dyDescent="0.25">
      <c r="C26" s="6"/>
    </row>
    <row r="27" spans="2:23" x14ac:dyDescent="0.25">
      <c r="C27" s="4"/>
    </row>
    <row r="29" spans="2:23" s="8" customFormat="1" x14ac:dyDescent="0.25"/>
    <row r="30" spans="2:23" s="9" customFormat="1" x14ac:dyDescent="0.25"/>
    <row r="31" spans="2:23" s="4" customFormat="1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P31" s="10"/>
    </row>
    <row r="32" spans="2:23" s="4" customFormat="1" x14ac:dyDescent="0.25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P32" s="11"/>
    </row>
    <row r="33" spans="2:19" s="4" customFormat="1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10"/>
    </row>
    <row r="34" spans="2:19" s="4" customFormat="1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P34" s="10"/>
    </row>
    <row r="35" spans="2:19" s="6" customFormat="1" x14ac:dyDescent="0.25">
      <c r="B35" t="s">
        <v>101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</row>
    <row r="36" spans="2:19" s="14" customFormat="1" x14ac:dyDescent="0.25">
      <c r="B36" s="55" t="s">
        <v>102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P36" s="15"/>
      <c r="R36" s="16"/>
      <c r="S36" s="16"/>
    </row>
    <row r="37" spans="2:19" x14ac:dyDescent="0.25">
      <c r="C37" s="2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9" x14ac:dyDescent="0.2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18"/>
    </row>
    <row r="39" spans="2:19" x14ac:dyDescent="0.25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19"/>
      <c r="P39" s="20"/>
    </row>
    <row r="41" spans="2:19" x14ac:dyDescent="0.25">
      <c r="B41" s="23"/>
      <c r="D41" s="7"/>
    </row>
    <row r="42" spans="2:19" x14ac:dyDescent="0.25">
      <c r="B42" s="23"/>
    </row>
    <row r="43" spans="2:19" x14ac:dyDescent="0.25">
      <c r="N43" s="34"/>
    </row>
  </sheetData>
  <mergeCells count="4">
    <mergeCell ref="B1:M1"/>
    <mergeCell ref="B2:M2"/>
    <mergeCell ref="B3:M3"/>
    <mergeCell ref="B4:M4"/>
  </mergeCells>
  <hyperlinks>
    <hyperlink ref="B36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AFCB5F558BA46A3AE12AB857C8DAD" ma:contentTypeVersion="6" ma:contentTypeDescription="Create a new document." ma:contentTypeScope="" ma:versionID="1dc150671265e2e1b05d174b55c86985">
  <xsd:schema xmlns:xsd="http://www.w3.org/2001/XMLSchema" xmlns:xs="http://www.w3.org/2001/XMLSchema" xmlns:p="http://schemas.microsoft.com/office/2006/metadata/properties" xmlns:ns2="ee50cfe5-9778-4480-8603-d0d109ff4d4b" xmlns:ns3="4f801a23-7207-4f22-90b7-7f05a4480efb" targetNamespace="http://schemas.microsoft.com/office/2006/metadata/properties" ma:root="true" ma:fieldsID="8fef29cdba00efced0efaa6046d04cd3" ns2:_="" ns3:_="">
    <xsd:import namespace="ee50cfe5-9778-4480-8603-d0d109ff4d4b"/>
    <xsd:import namespace="4f801a23-7207-4f22-90b7-7f05a448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cfe5-9778-4480-8603-d0d109ff4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01a23-7207-4f22-90b7-7f05a448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6225F-BE51-4983-9473-3FBDFE926C1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ee50cfe5-9778-4480-8603-d0d109ff4d4b"/>
    <ds:schemaRef ds:uri="http://purl.org/dc/terms/"/>
    <ds:schemaRef ds:uri="http://schemas.microsoft.com/office/infopath/2007/PartnerControls"/>
    <ds:schemaRef ds:uri="4f801a23-7207-4f22-90b7-7f05a4480ef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7C02DE-02C3-47FA-925C-D560FE346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0cfe5-9778-4480-8603-d0d109ff4d4b"/>
    <ds:schemaRef ds:uri="4f801a23-7207-4f22-90b7-7f05a4480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7ED9DA-3498-4FEA-BDCC-2592ADAA17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Schedule DM-R-3</vt:lpstr>
      <vt:lpstr>DM WP-Revised KSH-3</vt:lpstr>
      <vt:lpstr>KSH 1 - Bond Financing Costs</vt:lpstr>
      <vt:lpstr>KSH 2 Revenue Requirement</vt:lpstr>
      <vt:lpstr>KSH 4 - SUTC calculation</vt:lpstr>
      <vt:lpstr>'DM WP-Revised KSH-3'!Print_Area</vt:lpstr>
      <vt:lpstr>'KSH 1 - Bond Financing Costs'!Print_Area</vt:lpstr>
      <vt:lpstr>'Schedule DM-R-3'!Print_Area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Schaus Hall</dc:creator>
  <cp:keywords/>
  <dc:description/>
  <cp:lastModifiedBy>Hildebrand, Tiffany</cp:lastModifiedBy>
  <cp:revision/>
  <cp:lastPrinted>2022-06-09T14:04:32Z</cp:lastPrinted>
  <dcterms:created xsi:type="dcterms:W3CDTF">2021-11-18T17:59:00Z</dcterms:created>
  <dcterms:modified xsi:type="dcterms:W3CDTF">2022-06-09T15:50:07Z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0x010100918AFCB5F558BA46A3AE12AB857C8DAD</vt:lpwstr>
  </property>
  <property fmtid="{D5CDD505-2E9C-101B-9397-08002B2CF9AE}" pid="3" name="{A44787D4-0540-4523-9961-78E4036D8C6D}">
    <vt:lpwstr>{9222101F-8C7B-4F28-8DAB-C2914B984446}</vt:lpwstr>
  </property>
</Properties>
</file>