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codeName="ThisWorkbook"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 &amp; 4\Cycle 4\Cycle 4 semi-annual filing 2025-06\Metro workpapers\"/>
    </mc:Choice>
  </mc:AlternateContent>
  <xr:revisionPtr revIDLastSave="0" documentId="13_ncr:1_{F9E07F54-5882-44CB-ABBE-36BA50439428}" xr6:coauthVersionLast="47" xr6:coauthVersionMax="47" xr10:uidLastSave="{00000000-0000-0000-0000-000000000000}"/>
  <bookViews>
    <workbookView xWindow="28680" yWindow="-120" windowWidth="29040" windowHeight="15720" tabRatio="847" activeTab="1" xr2:uid="{00000000-000D-0000-FFFF-FFFF00000000}"/>
  </bookViews>
  <sheets>
    <sheet name="Index Table of Contents" sheetId="32" r:id="rId1"/>
    <sheet name="Tariff Tables" sheetId="5" r:id="rId2"/>
    <sheet name="DSIM Cycle Tables" sheetId="20" r:id="rId3"/>
    <sheet name="PPC Cycle 4" sheetId="39" r:id="rId4"/>
    <sheet name="PCR Cycle 3" sheetId="22" r:id="rId5"/>
    <sheet name="PCR Cycle 4" sheetId="36" r:id="rId6"/>
    <sheet name="PTD Cycle 3" sheetId="19" r:id="rId7"/>
    <sheet name="PTD Cycle 4" sheetId="38" r:id="rId8"/>
    <sheet name="TDR Cycle 2" sheetId="16" r:id="rId9"/>
    <sheet name="TDR Cycle 3" sheetId="24" r:id="rId10"/>
    <sheet name="TDR Cycle 4" sheetId="42" r:id="rId11"/>
    <sheet name="EO Cycle 2" sheetId="8" r:id="rId12"/>
    <sheet name="EO Cycle 3" sheetId="28" r:id="rId13"/>
    <sheet name="EO Cycle 4" sheetId="40" r:id="rId14"/>
    <sheet name="EOR Cycle 2" sheetId="23" r:id="rId15"/>
    <sheet name="EOR Cycle 3" sheetId="29" r:id="rId16"/>
    <sheet name="OA Cycle 3" sheetId="30"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1" hidden="1">'EO Cycle 2'!$A$4:$Q$104</definedName>
    <definedName name="_xlnm._FilterDatabase" localSheetId="12" hidden="1">'EO Cycle 3'!$A$4:$V$147</definedName>
    <definedName name="_xlnm.Print_Area" localSheetId="4">'PCR Cycle 3'!$A$1:$O$71</definedName>
    <definedName name="_xlnm.Print_Area" localSheetId="5">'PCR Cycle 4'!$A$1:$O$71</definedName>
    <definedName name="ServClassMapping">#REF!</definedName>
    <definedName name="solver_adj" localSheetId="4" hidden="1">'PCR Cycle 3'!$F$51</definedName>
    <definedName name="solver_adj" localSheetId="5" hidden="1">'PCR Cycle 4'!$F$51</definedName>
    <definedName name="solver_adj" localSheetId="8" hidden="1">'TDR Cycle 2'!#REF!</definedName>
    <definedName name="solver_adj" localSheetId="9" hidden="1">'TDR Cycle 3'!#REF!</definedName>
    <definedName name="solver_adj" localSheetId="10"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nwt" localSheetId="10" hidden="1">1</definedName>
    <definedName name="solver_opt" localSheetId="4" hidden="1">'PCR Cycle 3'!$F$59</definedName>
    <definedName name="solver_opt" localSheetId="5" hidden="1">'PCR Cycle 4'!$F$59</definedName>
    <definedName name="solver_opt" localSheetId="8" hidden="1">'TDR Cycle 2'!#REF!</definedName>
    <definedName name="solver_opt" localSheetId="9" hidden="1">'TDR Cycle 3'!#REF!</definedName>
    <definedName name="solver_opt" localSheetId="10"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5" l="1"/>
  <c r="AD25" i="5"/>
  <c r="AD24" i="5"/>
  <c r="AD23" i="5"/>
  <c r="Z23" i="5"/>
  <c r="Z24" i="5"/>
  <c r="Z26" i="5"/>
  <c r="M26" i="36" l="1"/>
  <c r="L26" i="36"/>
  <c r="K26" i="36"/>
  <c r="M25" i="36"/>
  <c r="L25" i="36"/>
  <c r="K25" i="36"/>
  <c r="M24" i="36"/>
  <c r="L24" i="36"/>
  <c r="K24" i="36"/>
  <c r="M23" i="36"/>
  <c r="L23" i="36"/>
  <c r="K23" i="36"/>
  <c r="M22" i="36"/>
  <c r="L22" i="36"/>
  <c r="K22" i="36"/>
  <c r="G8" i="5"/>
  <c r="G7" i="5"/>
  <c r="G6" i="5"/>
  <c r="AE15" i="5" s="1"/>
  <c r="G5" i="5"/>
  <c r="G4" i="5"/>
  <c r="U22" i="5" s="1"/>
  <c r="AE14" i="5"/>
  <c r="L34" i="42" l="1"/>
  <c r="K34" i="42"/>
  <c r="J34" i="42"/>
  <c r="I34" i="42"/>
  <c r="H34" i="42"/>
  <c r="G34" i="42"/>
  <c r="L33" i="42"/>
  <c r="K33" i="42"/>
  <c r="J33" i="42"/>
  <c r="I33" i="42"/>
  <c r="H33" i="42"/>
  <c r="G33" i="42"/>
  <c r="L32" i="42"/>
  <c r="K32" i="42"/>
  <c r="J32" i="42"/>
  <c r="I32" i="42"/>
  <c r="H32" i="42"/>
  <c r="G32" i="42"/>
  <c r="L31" i="42"/>
  <c r="K31" i="42"/>
  <c r="J31" i="42"/>
  <c r="I31" i="42"/>
  <c r="H31" i="42"/>
  <c r="G31" i="42"/>
  <c r="L30" i="42"/>
  <c r="K30" i="42"/>
  <c r="J30" i="42"/>
  <c r="I30" i="42"/>
  <c r="H30" i="42"/>
  <c r="G30" i="42"/>
  <c r="L27" i="42"/>
  <c r="K27" i="42"/>
  <c r="J27" i="42"/>
  <c r="I27" i="42"/>
  <c r="H27" i="42"/>
  <c r="G27" i="42"/>
  <c r="L26" i="42"/>
  <c r="K26" i="42"/>
  <c r="J26" i="42"/>
  <c r="I26" i="42"/>
  <c r="H26" i="42"/>
  <c r="G26" i="42"/>
  <c r="L25" i="42"/>
  <c r="K25" i="42"/>
  <c r="J25" i="42"/>
  <c r="I25" i="42"/>
  <c r="H25" i="42"/>
  <c r="G25" i="42"/>
  <c r="L24" i="42"/>
  <c r="K24" i="42"/>
  <c r="J24" i="42"/>
  <c r="I24" i="42"/>
  <c r="H24" i="42"/>
  <c r="G24" i="42"/>
  <c r="L23" i="42"/>
  <c r="K23" i="42"/>
  <c r="J23" i="42"/>
  <c r="I23" i="42"/>
  <c r="H23" i="42"/>
  <c r="G23" i="42"/>
  <c r="D10" i="38"/>
  <c r="B10" i="38"/>
  <c r="D9" i="38"/>
  <c r="B9" i="38"/>
  <c r="D8" i="38"/>
  <c r="B8" i="38"/>
  <c r="D7" i="38"/>
  <c r="B7" i="38"/>
  <c r="D6" i="38"/>
  <c r="B6" i="38"/>
  <c r="L19" i="36" l="1"/>
  <c r="K19" i="36"/>
  <c r="L18" i="36"/>
  <c r="K18" i="36"/>
  <c r="L17" i="36"/>
  <c r="K17" i="36"/>
  <c r="L16" i="36"/>
  <c r="K16" i="36"/>
  <c r="L15" i="36"/>
  <c r="K15" i="36"/>
  <c r="D9" i="39"/>
  <c r="D8" i="39"/>
  <c r="D7" i="39"/>
  <c r="D6" i="39"/>
  <c r="D5" i="39"/>
  <c r="J19" i="36" l="1"/>
  <c r="J18" i="36"/>
  <c r="J17" i="36"/>
  <c r="J16" i="36"/>
  <c r="J15" i="36"/>
  <c r="I19" i="36"/>
  <c r="I18" i="36"/>
  <c r="I17" i="36"/>
  <c r="I16" i="36"/>
  <c r="I15" i="36"/>
  <c r="H19" i="36"/>
  <c r="H18" i="36"/>
  <c r="H17" i="36"/>
  <c r="H16" i="36"/>
  <c r="H15" i="36"/>
  <c r="G19" i="36"/>
  <c r="G18" i="36"/>
  <c r="G17" i="36"/>
  <c r="G16" i="36"/>
  <c r="G15" i="36"/>
  <c r="A2" i="8" l="1"/>
  <c r="K15" i="22" l="1"/>
  <c r="K16" i="22"/>
  <c r="K18" i="22" l="1"/>
  <c r="K17" i="22"/>
  <c r="K19" i="22" l="1"/>
  <c r="B123" i="28" l="1"/>
  <c r="B117" i="28"/>
  <c r="B116" i="28"/>
  <c r="B134" i="28"/>
  <c r="B133" i="28"/>
  <c r="B132" i="28"/>
  <c r="B131" i="28"/>
  <c r="B127" i="28"/>
  <c r="B86" i="28"/>
  <c r="B85" i="28"/>
  <c r="B84" i="28"/>
  <c r="B83" i="28"/>
  <c r="B79" i="28"/>
  <c r="E74" i="28"/>
  <c r="D74" i="28"/>
  <c r="C74" i="28"/>
  <c r="B74" i="28"/>
  <c r="E73" i="28"/>
  <c r="D73" i="28"/>
  <c r="C73" i="28"/>
  <c r="B73" i="28"/>
  <c r="E72" i="28"/>
  <c r="D72" i="28"/>
  <c r="C72" i="28"/>
  <c r="B72" i="28"/>
  <c r="E71" i="28"/>
  <c r="D71" i="28"/>
  <c r="C71" i="28"/>
  <c r="B71" i="28"/>
  <c r="E67" i="28"/>
  <c r="D67" i="28"/>
  <c r="C67" i="28"/>
  <c r="B67" i="28"/>
  <c r="E62" i="28"/>
  <c r="D62" i="28"/>
  <c r="C62" i="28"/>
  <c r="E61" i="28"/>
  <c r="D61" i="28"/>
  <c r="C61" i="28"/>
  <c r="E60" i="28"/>
  <c r="D60" i="28"/>
  <c r="C60" i="28"/>
  <c r="E59" i="28"/>
  <c r="D59" i="28"/>
  <c r="C59" i="28"/>
  <c r="E55" i="28"/>
  <c r="D55" i="28"/>
  <c r="C55" i="28"/>
  <c r="E50" i="28"/>
  <c r="D50" i="28"/>
  <c r="C50" i="28"/>
  <c r="E49" i="28"/>
  <c r="D49" i="28"/>
  <c r="C49" i="28"/>
  <c r="E48" i="28"/>
  <c r="D48" i="28"/>
  <c r="C48" i="28"/>
  <c r="E47" i="28"/>
  <c r="D47" i="28"/>
  <c r="C47" i="28"/>
  <c r="E43" i="28"/>
  <c r="D43" i="28"/>
  <c r="C43" i="28"/>
  <c r="E38" i="28"/>
  <c r="D38" i="28"/>
  <c r="C38" i="28"/>
  <c r="E37" i="28"/>
  <c r="D37" i="28"/>
  <c r="C37" i="28"/>
  <c r="E36" i="28"/>
  <c r="D36" i="28"/>
  <c r="C36" i="28"/>
  <c r="E35" i="28"/>
  <c r="D35" i="28"/>
  <c r="C35" i="28"/>
  <c r="E31" i="28"/>
  <c r="D31" i="28"/>
  <c r="C31" i="28"/>
  <c r="E26" i="28"/>
  <c r="D26" i="28"/>
  <c r="C26" i="28"/>
  <c r="B26" i="28"/>
  <c r="E25" i="28"/>
  <c r="D25" i="28"/>
  <c r="C25" i="28"/>
  <c r="B25" i="28"/>
  <c r="E24" i="28"/>
  <c r="D24" i="28"/>
  <c r="C24" i="28"/>
  <c r="B24" i="28"/>
  <c r="E23" i="28"/>
  <c r="D23" i="28"/>
  <c r="C23" i="28"/>
  <c r="B23" i="28"/>
  <c r="E19" i="28"/>
  <c r="D19" i="28"/>
  <c r="C19" i="28"/>
  <c r="B19" i="28"/>
  <c r="C91" i="28" l="1"/>
  <c r="C97" i="28" l="1"/>
  <c r="C96" i="28" l="1"/>
  <c r="D97" i="28"/>
  <c r="D91" i="28"/>
  <c r="D96" i="28" l="1"/>
  <c r="D98" i="28"/>
  <c r="C98" i="28"/>
  <c r="D95" i="28" l="1"/>
  <c r="C95" i="28"/>
  <c r="C103" i="28" l="1"/>
  <c r="C109" i="28"/>
  <c r="D109" i="28" l="1"/>
  <c r="D103" i="28"/>
  <c r="C110" i="28"/>
  <c r="D110" i="28" l="1"/>
  <c r="D108" i="28"/>
  <c r="D79" i="28"/>
  <c r="C79" i="28"/>
  <c r="C108" i="28"/>
  <c r="C86" i="28"/>
  <c r="C84" i="28" l="1"/>
  <c r="D86" i="28"/>
  <c r="C85" i="28"/>
  <c r="D85" i="28"/>
  <c r="D84" i="28"/>
  <c r="D107" i="28" l="1"/>
  <c r="C107" i="28"/>
  <c r="D83" i="28" l="1"/>
  <c r="C83" i="28"/>
  <c r="C115" i="28" l="1"/>
  <c r="D121" i="28" l="1"/>
  <c r="C121" i="28"/>
  <c r="C120" i="28"/>
  <c r="D120" i="28" l="1"/>
  <c r="D122" i="28"/>
  <c r="C122" i="28"/>
  <c r="D115" i="28"/>
  <c r="E79" i="28" l="1"/>
  <c r="C119" i="28"/>
  <c r="C123" i="28" s="1"/>
  <c r="C116" i="28" s="1"/>
  <c r="C117" i="28" s="1"/>
  <c r="D119" i="28" l="1"/>
  <c r="D123" i="28" s="1"/>
  <c r="D116" i="28" s="1"/>
  <c r="D117" i="28" s="1"/>
  <c r="E86" i="28" l="1"/>
  <c r="E84" i="28"/>
  <c r="E85" i="28" l="1"/>
  <c r="E91" i="28" l="1"/>
  <c r="E83" i="28" l="1"/>
  <c r="E98" i="28" l="1"/>
  <c r="E96" i="28" l="1"/>
  <c r="E97" i="28" l="1"/>
  <c r="E103" i="28" l="1"/>
  <c r="E95" i="28" l="1"/>
  <c r="E110" i="28"/>
  <c r="E108" i="28" l="1"/>
  <c r="E109" i="28" l="1"/>
  <c r="E115" i="28" l="1"/>
  <c r="F115" i="28" s="1"/>
  <c r="G115" i="28" s="1"/>
  <c r="E107" i="28"/>
  <c r="E122" i="28" l="1"/>
  <c r="F122" i="28" s="1"/>
  <c r="G122" i="28" s="1"/>
  <c r="E120" i="28" l="1"/>
  <c r="F120" i="28" s="1"/>
  <c r="G120" i="28" s="1"/>
  <c r="E121" i="28" l="1"/>
  <c r="F121" i="28" s="1"/>
  <c r="G121" i="28" s="1"/>
  <c r="E119" i="28" l="1"/>
  <c r="F119" i="28" l="1"/>
  <c r="G119" i="28" s="1"/>
  <c r="E123" i="28"/>
  <c r="E116" i="28" s="1"/>
  <c r="F116" i="28" l="1"/>
  <c r="F117" i="28" s="1"/>
  <c r="E117" i="28"/>
  <c r="G123" i="28"/>
  <c r="G116" i="28" s="1"/>
  <c r="G117" i="28" s="1"/>
  <c r="F123" i="28"/>
  <c r="A1" i="32" l="1"/>
  <c r="A1" i="5"/>
  <c r="L11" i="16"/>
  <c r="K11" i="23" s="1"/>
  <c r="L10" i="16"/>
  <c r="K10" i="23" s="1"/>
  <c r="L9" i="16"/>
  <c r="K9" i="23" s="1"/>
  <c r="L8" i="16"/>
  <c r="K8" i="23" s="1"/>
  <c r="C11" i="31" l="1"/>
  <c r="B11" i="31"/>
  <c r="C11" i="29"/>
  <c r="B11" i="29"/>
  <c r="C14" i="23"/>
  <c r="B14" i="23"/>
  <c r="C11" i="42"/>
  <c r="B11" i="42"/>
  <c r="C11" i="24"/>
  <c r="B11" i="24"/>
  <c r="C14" i="16"/>
  <c r="B14" i="16"/>
  <c r="C11" i="22"/>
  <c r="B11" i="22"/>
  <c r="J20" i="42" l="1"/>
  <c r="J19" i="42"/>
  <c r="J18" i="42"/>
  <c r="J17" i="42"/>
  <c r="J16" i="42"/>
  <c r="I20" i="42"/>
  <c r="I19" i="42"/>
  <c r="I18" i="42"/>
  <c r="I17" i="42"/>
  <c r="I16" i="42"/>
  <c r="H20" i="42"/>
  <c r="H19" i="42"/>
  <c r="H18" i="42"/>
  <c r="H17" i="42"/>
  <c r="H16" i="42"/>
  <c r="G20" i="42"/>
  <c r="G19" i="42"/>
  <c r="G18" i="42"/>
  <c r="G17" i="42"/>
  <c r="G16" i="42"/>
  <c r="F20" i="42"/>
  <c r="F19" i="42"/>
  <c r="F18" i="42"/>
  <c r="F17" i="42"/>
  <c r="F16" i="42"/>
  <c r="E20" i="42"/>
  <c r="E19" i="42"/>
  <c r="E18" i="42"/>
  <c r="E17" i="42"/>
  <c r="E16" i="42"/>
  <c r="B62" i="42" l="1"/>
  <c r="C62" i="42" s="1"/>
  <c r="D62" i="42" s="1"/>
  <c r="J43" i="42"/>
  <c r="I43" i="42"/>
  <c r="H43" i="42"/>
  <c r="D43" i="42"/>
  <c r="C43" i="42"/>
  <c r="C50" i="42" s="1"/>
  <c r="D50" i="42" s="1"/>
  <c r="J42" i="42"/>
  <c r="G42" i="42"/>
  <c r="D42" i="42"/>
  <c r="C42" i="42"/>
  <c r="C49" i="42" s="1"/>
  <c r="D49" i="42" s="1"/>
  <c r="G41" i="42"/>
  <c r="D41" i="42"/>
  <c r="C41" i="42"/>
  <c r="C48" i="42" s="1"/>
  <c r="D40" i="42"/>
  <c r="C40" i="42"/>
  <c r="C47" i="42" s="1"/>
  <c r="D47" i="42" s="1"/>
  <c r="J39" i="42"/>
  <c r="I39" i="42"/>
  <c r="H39" i="42"/>
  <c r="G39" i="42"/>
  <c r="D39" i="42"/>
  <c r="C39" i="42"/>
  <c r="C46" i="42" s="1"/>
  <c r="D46" i="42" s="1"/>
  <c r="L13" i="42"/>
  <c r="P34" i="42"/>
  <c r="G43" i="42"/>
  <c r="P33" i="42"/>
  <c r="I42" i="42"/>
  <c r="G7" i="42"/>
  <c r="F42" i="42"/>
  <c r="P32" i="42"/>
  <c r="I41" i="42"/>
  <c r="H41" i="42"/>
  <c r="F41" i="42"/>
  <c r="P31" i="42"/>
  <c r="J13" i="42"/>
  <c r="I13" i="42"/>
  <c r="G40" i="42"/>
  <c r="P27" i="42"/>
  <c r="N27" i="42"/>
  <c r="F8" i="42" s="1"/>
  <c r="P26" i="42"/>
  <c r="N26" i="42"/>
  <c r="F7" i="42" s="1"/>
  <c r="P25" i="42"/>
  <c r="P24" i="42"/>
  <c r="N24" i="42"/>
  <c r="F5" i="42" s="1"/>
  <c r="P23" i="42"/>
  <c r="N23" i="42"/>
  <c r="F4" i="42" s="1"/>
  <c r="J40" i="42"/>
  <c r="E12" i="42"/>
  <c r="I8" i="42"/>
  <c r="G8" i="42"/>
  <c r="I7" i="42"/>
  <c r="I6" i="42"/>
  <c r="I5" i="42"/>
  <c r="I4" i="42"/>
  <c r="A1" i="42"/>
  <c r="A2" i="30"/>
  <c r="A1" i="31"/>
  <c r="A1" i="30"/>
  <c r="A1" i="29"/>
  <c r="A1" i="23"/>
  <c r="A1" i="40"/>
  <c r="A1" i="8"/>
  <c r="A1" i="24"/>
  <c r="A1" i="16"/>
  <c r="A1" i="38"/>
  <c r="A1" i="36"/>
  <c r="A1" i="22"/>
  <c r="D12" i="31"/>
  <c r="E12" i="29"/>
  <c r="E15" i="23"/>
  <c r="E12" i="24"/>
  <c r="E15" i="16"/>
  <c r="E12" i="22"/>
  <c r="F12" i="36"/>
  <c r="G12" i="36" s="1"/>
  <c r="H12" i="36" s="1"/>
  <c r="I12" i="36" s="1"/>
  <c r="J12" i="36" s="1"/>
  <c r="K12" i="36" s="1"/>
  <c r="L12" i="36" s="1"/>
  <c r="M12" i="36" s="1"/>
  <c r="M12" i="24" s="1"/>
  <c r="I51" i="22"/>
  <c r="I48" i="23" s="1"/>
  <c r="J51" i="22"/>
  <c r="K51" i="22" s="1"/>
  <c r="H51" i="22"/>
  <c r="H48" i="23" s="1"/>
  <c r="G51" i="22"/>
  <c r="F45" i="31" s="1"/>
  <c r="F51" i="22"/>
  <c r="E45" i="31" s="1"/>
  <c r="E51" i="22"/>
  <c r="D45" i="31" s="1"/>
  <c r="H52" i="24" l="1"/>
  <c r="L51" i="22"/>
  <c r="L15" i="23"/>
  <c r="J12" i="24"/>
  <c r="F12" i="31"/>
  <c r="G12" i="31"/>
  <c r="F12" i="22"/>
  <c r="F12" i="29"/>
  <c r="G12" i="22"/>
  <c r="H12" i="29"/>
  <c r="I12" i="29"/>
  <c r="M15" i="16"/>
  <c r="K12" i="22"/>
  <c r="H15" i="23"/>
  <c r="K12" i="29"/>
  <c r="H12" i="42"/>
  <c r="I12" i="24"/>
  <c r="E12" i="31"/>
  <c r="L12" i="42"/>
  <c r="G15" i="16"/>
  <c r="I15" i="16"/>
  <c r="G12" i="29"/>
  <c r="H12" i="22"/>
  <c r="J12" i="31"/>
  <c r="L15" i="16"/>
  <c r="J12" i="22"/>
  <c r="L12" i="22"/>
  <c r="I15" i="23"/>
  <c r="L12" i="29"/>
  <c r="I12" i="42"/>
  <c r="F15" i="16"/>
  <c r="H15" i="16"/>
  <c r="L12" i="24"/>
  <c r="J15" i="16"/>
  <c r="I12" i="31"/>
  <c r="I12" i="22"/>
  <c r="F15" i="23"/>
  <c r="K12" i="31"/>
  <c r="F12" i="42"/>
  <c r="G15" i="23"/>
  <c r="L12" i="31"/>
  <c r="F12" i="24"/>
  <c r="M12" i="22"/>
  <c r="G12" i="24"/>
  <c r="J15" i="23"/>
  <c r="M12" i="29"/>
  <c r="J12" i="42"/>
  <c r="M15" i="23"/>
  <c r="M12" i="42"/>
  <c r="K12" i="24"/>
  <c r="H12" i="31"/>
  <c r="K15" i="16"/>
  <c r="J12" i="29"/>
  <c r="G12" i="42"/>
  <c r="H12" i="24"/>
  <c r="K15" i="23"/>
  <c r="K12" i="42"/>
  <c r="D48" i="42"/>
  <c r="J52" i="24"/>
  <c r="I45" i="31"/>
  <c r="F49" i="16"/>
  <c r="F45" i="29"/>
  <c r="L48" i="23"/>
  <c r="G45" i="31"/>
  <c r="E49" i="16"/>
  <c r="I52" i="24"/>
  <c r="E45" i="29"/>
  <c r="H45" i="31"/>
  <c r="H45" i="29"/>
  <c r="K45" i="31"/>
  <c r="F52" i="42"/>
  <c r="E48" i="23"/>
  <c r="G52" i="42"/>
  <c r="E52" i="42"/>
  <c r="H49" i="16"/>
  <c r="L52" i="24"/>
  <c r="I49" i="16"/>
  <c r="I45" i="29"/>
  <c r="G51" i="36"/>
  <c r="J49" i="16"/>
  <c r="F48" i="23"/>
  <c r="J45" i="29"/>
  <c r="H51" i="36"/>
  <c r="H52" i="42"/>
  <c r="I52" i="42"/>
  <c r="J51" i="36"/>
  <c r="J52" i="42"/>
  <c r="K52" i="24"/>
  <c r="K49" i="16"/>
  <c r="K45" i="29"/>
  <c r="K52" i="42"/>
  <c r="J45" i="31"/>
  <c r="G48" i="23"/>
  <c r="I51" i="36"/>
  <c r="L49" i="16"/>
  <c r="G49" i="16"/>
  <c r="G45" i="29"/>
  <c r="L45" i="29"/>
  <c r="E52" i="24"/>
  <c r="K51" i="36"/>
  <c r="F52" i="24"/>
  <c r="J48" i="23"/>
  <c r="L51" i="36"/>
  <c r="G52" i="24"/>
  <c r="K48" i="23"/>
  <c r="G4" i="42"/>
  <c r="E13" i="42"/>
  <c r="F39" i="42"/>
  <c r="F13" i="42"/>
  <c r="I9" i="42"/>
  <c r="H42" i="42"/>
  <c r="G5" i="42"/>
  <c r="I40" i="42"/>
  <c r="G6" i="42"/>
  <c r="F40" i="42"/>
  <c r="J41" i="42"/>
  <c r="P30" i="42"/>
  <c r="K13" i="42"/>
  <c r="N25" i="42"/>
  <c r="F6" i="42" s="1"/>
  <c r="F9" i="42" s="1"/>
  <c r="F43" i="42"/>
  <c r="G13" i="42"/>
  <c r="H13" i="42"/>
  <c r="H40" i="42"/>
  <c r="L52" i="42" l="1"/>
  <c r="P13" i="42"/>
  <c r="G9" i="42"/>
  <c r="M22" i="22" l="1"/>
  <c r="J26" i="36"/>
  <c r="J25" i="36"/>
  <c r="J24" i="36"/>
  <c r="J24" i="22" s="1"/>
  <c r="J23" i="36"/>
  <c r="J22" i="36"/>
  <c r="I26" i="36"/>
  <c r="I25" i="36"/>
  <c r="I24" i="36"/>
  <c r="I23" i="36"/>
  <c r="I22" i="36"/>
  <c r="H26" i="36"/>
  <c r="H25" i="36"/>
  <c r="H24" i="36"/>
  <c r="H23" i="36"/>
  <c r="H22" i="36"/>
  <c r="H22" i="22" s="1"/>
  <c r="G26" i="36"/>
  <c r="G25" i="36"/>
  <c r="G24" i="36"/>
  <c r="G23" i="36"/>
  <c r="G22" i="36"/>
  <c r="F26" i="36"/>
  <c r="F25" i="36"/>
  <c r="F24" i="36"/>
  <c r="F23" i="36"/>
  <c r="F22" i="36"/>
  <c r="I29" i="31"/>
  <c r="E20" i="31"/>
  <c r="E19" i="31"/>
  <c r="E18" i="31"/>
  <c r="E17" i="31"/>
  <c r="E16" i="31"/>
  <c r="F20" i="31"/>
  <c r="F19" i="31"/>
  <c r="F18" i="31"/>
  <c r="F17" i="31"/>
  <c r="F16" i="31"/>
  <c r="G20" i="31"/>
  <c r="G19" i="31"/>
  <c r="G18" i="31"/>
  <c r="G17" i="31"/>
  <c r="G16" i="31"/>
  <c r="H20" i="31"/>
  <c r="H19" i="31"/>
  <c r="H18" i="31"/>
  <c r="H17" i="31"/>
  <c r="H16" i="31"/>
  <c r="I20" i="31"/>
  <c r="I19" i="31"/>
  <c r="I18" i="31"/>
  <c r="I17" i="31"/>
  <c r="I16" i="31"/>
  <c r="J29" i="29"/>
  <c r="G29" i="29"/>
  <c r="F22" i="22" l="1"/>
  <c r="H24" i="22"/>
  <c r="J26" i="22"/>
  <c r="H26" i="22"/>
  <c r="G22" i="22"/>
  <c r="I22" i="22"/>
  <c r="F24" i="22"/>
  <c r="F26" i="22"/>
  <c r="I23" i="22"/>
  <c r="G23" i="22"/>
  <c r="F23" i="22"/>
  <c r="G25" i="22"/>
  <c r="J22" i="22"/>
  <c r="I24" i="22"/>
  <c r="I25" i="22"/>
  <c r="G26" i="22"/>
  <c r="J23" i="22"/>
  <c r="G24" i="22"/>
  <c r="F25" i="22"/>
  <c r="I26" i="22"/>
  <c r="H23" i="22"/>
  <c r="J25" i="22"/>
  <c r="H25" i="22"/>
  <c r="M25" i="22"/>
  <c r="M19" i="42"/>
  <c r="M42" i="42" s="1"/>
  <c r="M19" i="24"/>
  <c r="L19" i="31"/>
  <c r="M19" i="29"/>
  <c r="M22" i="23"/>
  <c r="L22" i="16"/>
  <c r="L19" i="42"/>
  <c r="L42" i="42" s="1"/>
  <c r="L19" i="24"/>
  <c r="L19" i="29"/>
  <c r="K19" i="31"/>
  <c r="L22" i="23"/>
  <c r="L16" i="31"/>
  <c r="M16" i="29"/>
  <c r="M19" i="23"/>
  <c r="M16" i="42"/>
  <c r="M39" i="42" s="1"/>
  <c r="M16" i="24"/>
  <c r="K26" i="22"/>
  <c r="K20" i="24"/>
  <c r="K23" i="23"/>
  <c r="J20" i="31"/>
  <c r="K20" i="29"/>
  <c r="K20" i="42"/>
  <c r="L26" i="22"/>
  <c r="K20" i="31"/>
  <c r="L23" i="23"/>
  <c r="L20" i="29"/>
  <c r="L20" i="42"/>
  <c r="L43" i="42" s="1"/>
  <c r="L20" i="24"/>
  <c r="K22" i="22"/>
  <c r="K16" i="42"/>
  <c r="K16" i="24"/>
  <c r="J16" i="31"/>
  <c r="K16" i="29"/>
  <c r="K19" i="23"/>
  <c r="K20" i="16"/>
  <c r="J17" i="31"/>
  <c r="K17" i="24"/>
  <c r="K17" i="29"/>
  <c r="K20" i="23"/>
  <c r="K17" i="42"/>
  <c r="L23" i="22"/>
  <c r="L17" i="29"/>
  <c r="L20" i="23"/>
  <c r="L17" i="24"/>
  <c r="L17" i="42"/>
  <c r="L40" i="42" s="1"/>
  <c r="K17" i="31"/>
  <c r="M23" i="22"/>
  <c r="M17" i="29"/>
  <c r="M20" i="23"/>
  <c r="M17" i="42"/>
  <c r="M40" i="42" s="1"/>
  <c r="M17" i="24"/>
  <c r="L17" i="31"/>
  <c r="M21" i="16"/>
  <c r="M21" i="23"/>
  <c r="M18" i="24"/>
  <c r="M18" i="42"/>
  <c r="M41" i="42" s="1"/>
  <c r="L18" i="31"/>
  <c r="M18" i="29"/>
  <c r="L25" i="22"/>
  <c r="K24" i="22"/>
  <c r="K18" i="29"/>
  <c r="J18" i="31"/>
  <c r="K21" i="23"/>
  <c r="K18" i="42"/>
  <c r="K18" i="24"/>
  <c r="M26" i="22"/>
  <c r="L20" i="31"/>
  <c r="M20" i="42"/>
  <c r="M43" i="42" s="1"/>
  <c r="M20" i="29"/>
  <c r="M23" i="23"/>
  <c r="M20" i="24"/>
  <c r="K22" i="16"/>
  <c r="K22" i="23"/>
  <c r="K19" i="42"/>
  <c r="K19" i="24"/>
  <c r="K19" i="29"/>
  <c r="J19" i="31"/>
  <c r="L22" i="22"/>
  <c r="L19" i="23"/>
  <c r="K16" i="31"/>
  <c r="L16" i="29"/>
  <c r="L16" i="24"/>
  <c r="L16" i="42"/>
  <c r="L39" i="42" s="1"/>
  <c r="L21" i="16"/>
  <c r="L21" i="23"/>
  <c r="L18" i="42"/>
  <c r="L41" i="42" s="1"/>
  <c r="L18" i="24"/>
  <c r="K18" i="31"/>
  <c r="L18" i="29"/>
  <c r="M24" i="22"/>
  <c r="M19" i="16"/>
  <c r="L24" i="22"/>
  <c r="L19" i="16"/>
  <c r="L20" i="16"/>
  <c r="L23" i="16"/>
  <c r="M23" i="16"/>
  <c r="M22" i="16"/>
  <c r="K25" i="22"/>
  <c r="K19" i="16"/>
  <c r="K23" i="16"/>
  <c r="K23" i="22"/>
  <c r="K21" i="16"/>
  <c r="M20" i="16"/>
  <c r="P20" i="42" l="1"/>
  <c r="K43" i="42"/>
  <c r="K40" i="42"/>
  <c r="P17" i="42"/>
  <c r="P18" i="42"/>
  <c r="K41" i="42"/>
  <c r="P16" i="42"/>
  <c r="K39" i="42"/>
  <c r="K42" i="42"/>
  <c r="P19" i="42"/>
  <c r="J20" i="29" l="1"/>
  <c r="J19" i="29"/>
  <c r="J18" i="29"/>
  <c r="J17" i="29"/>
  <c r="J16" i="29"/>
  <c r="I20" i="29"/>
  <c r="I19" i="29"/>
  <c r="I18" i="29"/>
  <c r="I17" i="29"/>
  <c r="I16" i="29"/>
  <c r="H20" i="29"/>
  <c r="H19" i="29"/>
  <c r="H18" i="29"/>
  <c r="H17" i="29"/>
  <c r="H16" i="29"/>
  <c r="G20" i="29"/>
  <c r="G19" i="29"/>
  <c r="G18" i="29"/>
  <c r="G17" i="29"/>
  <c r="G16" i="29"/>
  <c r="F20" i="29"/>
  <c r="F19" i="29"/>
  <c r="F18" i="29"/>
  <c r="F17" i="29"/>
  <c r="F16" i="29"/>
  <c r="J32" i="23"/>
  <c r="F32" i="23"/>
  <c r="J23" i="23" l="1"/>
  <c r="J22" i="23"/>
  <c r="J21" i="23"/>
  <c r="J20" i="23"/>
  <c r="J19" i="23"/>
  <c r="I23" i="23"/>
  <c r="I22" i="23"/>
  <c r="I21" i="23"/>
  <c r="I20" i="23"/>
  <c r="I19" i="23"/>
  <c r="H23" i="23"/>
  <c r="H22" i="23"/>
  <c r="H21" i="23"/>
  <c r="H20" i="23"/>
  <c r="H19" i="23"/>
  <c r="G23" i="23"/>
  <c r="G22" i="23"/>
  <c r="G21" i="23"/>
  <c r="G20" i="23"/>
  <c r="G19" i="23"/>
  <c r="F23" i="23"/>
  <c r="F22" i="23"/>
  <c r="F21" i="23"/>
  <c r="F20" i="23"/>
  <c r="F19" i="23"/>
  <c r="E147" i="28" l="1"/>
  <c r="E140" i="28" s="1"/>
  <c r="E141" i="28" s="1"/>
  <c r="D147" i="28"/>
  <c r="D140" i="28" s="1"/>
  <c r="D141" i="28" s="1"/>
  <c r="C147" i="28"/>
  <c r="C140" i="28" s="1"/>
  <c r="C141" i="28" s="1"/>
  <c r="I36" i="24" l="1"/>
  <c r="H36" i="24"/>
  <c r="G36" i="24"/>
  <c r="F36" i="24"/>
  <c r="E36" i="24"/>
  <c r="E32" i="24" l="1"/>
  <c r="E33" i="24"/>
  <c r="E30" i="24"/>
  <c r="E34" i="24" l="1"/>
  <c r="F34" i="24"/>
  <c r="F32" i="24"/>
  <c r="F33" i="24"/>
  <c r="F30" i="24"/>
  <c r="E31" i="24"/>
  <c r="F31" i="24" l="1"/>
  <c r="G30" i="24"/>
  <c r="G34" i="24"/>
  <c r="G33" i="24"/>
  <c r="G32" i="24"/>
  <c r="H32" i="24"/>
  <c r="I34" i="24" l="1"/>
  <c r="I33" i="24"/>
  <c r="G31" i="24" l="1"/>
  <c r="H34" i="24"/>
  <c r="H31" i="24"/>
  <c r="H33" i="24"/>
  <c r="H30" i="24"/>
  <c r="J30" i="24"/>
  <c r="J33" i="24"/>
  <c r="J34" i="24"/>
  <c r="I31" i="24"/>
  <c r="J32" i="24"/>
  <c r="I32" i="24" l="1"/>
  <c r="I30" i="24"/>
  <c r="K33" i="24"/>
  <c r="K32" i="24"/>
  <c r="K30" i="24" l="1"/>
  <c r="L32" i="24"/>
  <c r="L34" i="24"/>
  <c r="L30" i="24"/>
  <c r="J31" i="24" l="1"/>
  <c r="K31" i="24"/>
  <c r="K34" i="24"/>
  <c r="L33" i="24" l="1"/>
  <c r="L31" i="24"/>
  <c r="J20" i="24" l="1"/>
  <c r="J19" i="24"/>
  <c r="J18" i="24"/>
  <c r="J17" i="24"/>
  <c r="J16" i="24"/>
  <c r="E24" i="24" l="1"/>
  <c r="E26" i="24"/>
  <c r="E23" i="24"/>
  <c r="E27" i="24"/>
  <c r="E25" i="24"/>
  <c r="F26" i="24" l="1"/>
  <c r="F25" i="24"/>
  <c r="F23" i="24"/>
  <c r="F24" i="24"/>
  <c r="F27" i="24"/>
  <c r="G26" i="24"/>
  <c r="G23" i="24"/>
  <c r="G25" i="24"/>
  <c r="G27" i="24"/>
  <c r="G24" i="24"/>
  <c r="H27" i="24" l="1"/>
  <c r="H25" i="24"/>
  <c r="H26" i="24"/>
  <c r="H23" i="24"/>
  <c r="H24" i="24"/>
  <c r="I27" i="24" l="1"/>
  <c r="I25" i="24"/>
  <c r="I23" i="24"/>
  <c r="I26" i="24"/>
  <c r="I24" i="24"/>
  <c r="J26" i="24" l="1"/>
  <c r="J23" i="24"/>
  <c r="J27" i="24"/>
  <c r="J25" i="24"/>
  <c r="J24" i="24"/>
  <c r="K26" i="24" l="1"/>
  <c r="K27" i="24"/>
  <c r="K25" i="24"/>
  <c r="K23" i="24"/>
  <c r="K24" i="24"/>
  <c r="L25" i="24" l="1"/>
  <c r="L23" i="24"/>
  <c r="L26" i="24"/>
  <c r="L27" i="24"/>
  <c r="L24" i="24"/>
  <c r="I20" i="24" l="1"/>
  <c r="I19" i="24"/>
  <c r="I18" i="24"/>
  <c r="I17" i="24"/>
  <c r="I16" i="24"/>
  <c r="H20" i="24"/>
  <c r="H19" i="24"/>
  <c r="H18" i="24"/>
  <c r="H17" i="24"/>
  <c r="H16" i="24"/>
  <c r="G20" i="24"/>
  <c r="G19" i="24"/>
  <c r="G18" i="24"/>
  <c r="G17" i="24"/>
  <c r="G16" i="24"/>
  <c r="F20" i="24"/>
  <c r="F19" i="24"/>
  <c r="F18" i="24"/>
  <c r="F17" i="24"/>
  <c r="F16" i="24"/>
  <c r="J39" i="16"/>
  <c r="G39" i="16"/>
  <c r="F39" i="16"/>
  <c r="E39" i="16"/>
  <c r="J23" i="16" l="1"/>
  <c r="J22" i="16"/>
  <c r="J21" i="16"/>
  <c r="J20" i="16"/>
  <c r="J19" i="16"/>
  <c r="I23" i="16"/>
  <c r="I22" i="16"/>
  <c r="I21" i="16"/>
  <c r="I20" i="16"/>
  <c r="I19" i="16"/>
  <c r="H23" i="16"/>
  <c r="H22" i="16"/>
  <c r="H21" i="16"/>
  <c r="H20" i="16"/>
  <c r="H19" i="16"/>
  <c r="G23" i="16"/>
  <c r="G22" i="16"/>
  <c r="G21" i="16"/>
  <c r="G20" i="16"/>
  <c r="G19" i="16"/>
  <c r="F23" i="16"/>
  <c r="F22" i="16"/>
  <c r="F21" i="16"/>
  <c r="F20" i="16"/>
  <c r="F19" i="16"/>
  <c r="E26" i="36" l="1"/>
  <c r="E25" i="36"/>
  <c r="E24" i="36"/>
  <c r="E23" i="36"/>
  <c r="E22" i="36"/>
  <c r="E24" i="22" l="1"/>
  <c r="E25" i="22"/>
  <c r="E22" i="22"/>
  <c r="E23" i="22"/>
  <c r="E26" i="22"/>
  <c r="D17" i="31"/>
  <c r="E18" i="29"/>
  <c r="E16" i="29"/>
  <c r="D20" i="31"/>
  <c r="D19" i="31"/>
  <c r="E20" i="29"/>
  <c r="E19" i="29"/>
  <c r="D18" i="31"/>
  <c r="E42" i="42" l="1"/>
  <c r="E7" i="42"/>
  <c r="H7" i="42" s="1"/>
  <c r="E20" i="24"/>
  <c r="E19" i="24"/>
  <c r="E18" i="24"/>
  <c r="E19" i="16"/>
  <c r="E21" i="23"/>
  <c r="E17" i="24" l="1"/>
  <c r="E41" i="42"/>
  <c r="E6" i="42"/>
  <c r="E8" i="42"/>
  <c r="H8" i="42" s="1"/>
  <c r="E43" i="42"/>
  <c r="E57" i="42"/>
  <c r="E49" i="42"/>
  <c r="E17" i="29"/>
  <c r="E16" i="24"/>
  <c r="E20" i="16"/>
  <c r="E21" i="16"/>
  <c r="E23" i="16"/>
  <c r="E22" i="16"/>
  <c r="E19" i="23"/>
  <c r="E22" i="23"/>
  <c r="E20" i="23"/>
  <c r="E23" i="23"/>
  <c r="E4" i="42" l="1"/>
  <c r="H4" i="42" s="1"/>
  <c r="E39" i="42"/>
  <c r="F57" i="42"/>
  <c r="F49" i="42"/>
  <c r="E50" i="42"/>
  <c r="E58" i="42"/>
  <c r="H6" i="42"/>
  <c r="E48" i="42"/>
  <c r="E56" i="42"/>
  <c r="E5" i="42"/>
  <c r="H5" i="42" s="1"/>
  <c r="E40" i="42"/>
  <c r="F56" i="42" l="1"/>
  <c r="F48" i="42"/>
  <c r="E9" i="42"/>
  <c r="F50" i="42"/>
  <c r="F58" i="42"/>
  <c r="G57" i="42"/>
  <c r="G49" i="42"/>
  <c r="E54" i="42"/>
  <c r="E46" i="42"/>
  <c r="E55" i="42"/>
  <c r="E47" i="42"/>
  <c r="H9" i="42"/>
  <c r="D16" i="31"/>
  <c r="E60" i="42" l="1"/>
  <c r="E62" i="42"/>
  <c r="E59" i="42" s="1"/>
  <c r="F55" i="42"/>
  <c r="F47" i="42"/>
  <c r="F54" i="42"/>
  <c r="F46" i="42"/>
  <c r="H57" i="42"/>
  <c r="H49" i="42"/>
  <c r="G50" i="42"/>
  <c r="G58" i="42"/>
  <c r="G56" i="42"/>
  <c r="G48" i="42"/>
  <c r="H56" i="42" l="1"/>
  <c r="H48" i="42"/>
  <c r="H50" i="42"/>
  <c r="H58" i="42"/>
  <c r="I49" i="42"/>
  <c r="I57" i="42"/>
  <c r="G46" i="42"/>
  <c r="G54" i="42"/>
  <c r="F60" i="42"/>
  <c r="F62" i="42"/>
  <c r="F59" i="42" s="1"/>
  <c r="G47" i="42"/>
  <c r="G55" i="42"/>
  <c r="H47" i="42" l="1"/>
  <c r="H55" i="42"/>
  <c r="I50" i="42"/>
  <c r="I58" i="42"/>
  <c r="I48" i="42"/>
  <c r="I56" i="42"/>
  <c r="G62" i="42"/>
  <c r="G59" i="42" s="1"/>
  <c r="G60" i="42"/>
  <c r="H54" i="42"/>
  <c r="H46" i="42"/>
  <c r="J49" i="42"/>
  <c r="J57" i="42"/>
  <c r="H62" i="42" l="1"/>
  <c r="H59" i="42" s="1"/>
  <c r="H60" i="42"/>
  <c r="K49" i="42"/>
  <c r="K57" i="42"/>
  <c r="I46" i="42"/>
  <c r="I54" i="42"/>
  <c r="J48" i="42"/>
  <c r="J56" i="42"/>
  <c r="J58" i="42"/>
  <c r="J50" i="42"/>
  <c r="I47" i="42"/>
  <c r="I55" i="42"/>
  <c r="J55" i="42" l="1"/>
  <c r="J47" i="42"/>
  <c r="K48" i="42"/>
  <c r="K56" i="42"/>
  <c r="K50" i="42"/>
  <c r="K58" i="42"/>
  <c r="I60" i="42"/>
  <c r="I62" i="42"/>
  <c r="I59" i="42" s="1"/>
  <c r="J54" i="42"/>
  <c r="J46" i="42"/>
  <c r="L57" i="42"/>
  <c r="J7" i="42" s="1"/>
  <c r="K7" i="42" s="1"/>
  <c r="L49" i="42"/>
  <c r="P57" i="42" l="1"/>
  <c r="M49" i="42"/>
  <c r="L7" i="42" s="1"/>
  <c r="L56" i="42"/>
  <c r="J6" i="42" s="1"/>
  <c r="K6" i="42" s="1"/>
  <c r="L48" i="42"/>
  <c r="J60" i="42"/>
  <c r="J62" i="42"/>
  <c r="K46" i="42"/>
  <c r="K54" i="42"/>
  <c r="K36" i="42"/>
  <c r="K55" i="42"/>
  <c r="K47" i="42"/>
  <c r="L50" i="42"/>
  <c r="L58" i="42"/>
  <c r="J8" i="42" s="1"/>
  <c r="K8" i="42" s="1"/>
  <c r="P56" i="42" l="1"/>
  <c r="J59" i="42"/>
  <c r="M48" i="42"/>
  <c r="L6" i="42" s="1"/>
  <c r="L55" i="42"/>
  <c r="J5" i="42" s="1"/>
  <c r="K5" i="42" s="1"/>
  <c r="L47" i="42"/>
  <c r="M50" i="42"/>
  <c r="L8" i="42" s="1"/>
  <c r="M58" i="42"/>
  <c r="P58" i="42" s="1"/>
  <c r="K60" i="42"/>
  <c r="K62" i="42"/>
  <c r="K59" i="42" s="1"/>
  <c r="L54" i="42"/>
  <c r="L46" i="42"/>
  <c r="L36" i="42"/>
  <c r="P36" i="42" s="1"/>
  <c r="P55" i="42" l="1"/>
  <c r="M47" i="42"/>
  <c r="L5" i="42" s="1"/>
  <c r="J4" i="42"/>
  <c r="L60" i="42"/>
  <c r="L62" i="42"/>
  <c r="L59" i="42" s="1"/>
  <c r="M46" i="42"/>
  <c r="M54" i="42"/>
  <c r="P54" i="42" l="1"/>
  <c r="M62" i="42"/>
  <c r="M59" i="42" s="1"/>
  <c r="M60" i="42"/>
  <c r="J9" i="42"/>
  <c r="K4" i="42"/>
  <c r="K9" i="42" l="1"/>
  <c r="L4" i="42"/>
  <c r="D10" i="19" l="1"/>
  <c r="D9" i="19"/>
  <c r="D8" i="19"/>
  <c r="E8" i="19"/>
  <c r="E10" i="19"/>
  <c r="E9" i="19"/>
  <c r="D7" i="19" l="1"/>
  <c r="D6" i="19"/>
  <c r="E6" i="19"/>
  <c r="E7" i="19"/>
  <c r="B8" i="19" l="1"/>
  <c r="B9" i="19"/>
  <c r="B10" i="19"/>
  <c r="B6" i="19"/>
  <c r="B7" i="19"/>
  <c r="F8" i="19" l="1"/>
  <c r="F6" i="19"/>
  <c r="F9" i="19" l="1"/>
  <c r="F10" i="19"/>
  <c r="F7" i="19"/>
  <c r="J33" i="36" l="1"/>
  <c r="J32" i="36"/>
  <c r="J31" i="36"/>
  <c r="J30" i="36"/>
  <c r="J29" i="36"/>
  <c r="I33" i="36"/>
  <c r="I32" i="36"/>
  <c r="I31" i="36"/>
  <c r="I30" i="36"/>
  <c r="I29" i="36"/>
  <c r="H33" i="36"/>
  <c r="H32" i="36"/>
  <c r="H31" i="36"/>
  <c r="H30" i="36"/>
  <c r="H29" i="36"/>
  <c r="G33" i="36"/>
  <c r="G32" i="36"/>
  <c r="G31" i="36"/>
  <c r="G30" i="36"/>
  <c r="G29" i="36"/>
  <c r="F33" i="36"/>
  <c r="F32" i="36"/>
  <c r="F31" i="36"/>
  <c r="F30" i="36"/>
  <c r="F29" i="36"/>
  <c r="E33" i="36"/>
  <c r="E32" i="36"/>
  <c r="E31" i="36"/>
  <c r="E30" i="36"/>
  <c r="E29" i="36"/>
  <c r="J35" i="22" l="1"/>
  <c r="I35" i="22"/>
  <c r="G35" i="22" l="1"/>
  <c r="J33" i="22" l="1"/>
  <c r="J32" i="22"/>
  <c r="J31" i="22"/>
  <c r="J30" i="22"/>
  <c r="J29" i="22"/>
  <c r="I33" i="22"/>
  <c r="I32" i="22"/>
  <c r="I31" i="22"/>
  <c r="I30" i="22"/>
  <c r="I29" i="22"/>
  <c r="H33" i="22"/>
  <c r="H32" i="22"/>
  <c r="H31" i="22"/>
  <c r="H30" i="22"/>
  <c r="H29" i="22"/>
  <c r="G33" i="22"/>
  <c r="G32" i="22"/>
  <c r="G31" i="22"/>
  <c r="G30" i="22"/>
  <c r="G29" i="22"/>
  <c r="F33" i="22"/>
  <c r="F32" i="22"/>
  <c r="F31" i="22"/>
  <c r="F30" i="22"/>
  <c r="F29" i="22"/>
  <c r="E18" i="22" l="1"/>
  <c r="E17" i="22"/>
  <c r="E16" i="22"/>
  <c r="E15" i="22"/>
  <c r="E19" i="22"/>
  <c r="F15" i="22" l="1"/>
  <c r="F16" i="22" l="1"/>
  <c r="F17" i="22"/>
  <c r="F18" i="22"/>
  <c r="F19" i="22" l="1"/>
  <c r="J15" i="22" l="1"/>
  <c r="J16" i="22" l="1"/>
  <c r="J18" i="22" l="1"/>
  <c r="J17" i="22"/>
  <c r="J19" i="22" l="1"/>
  <c r="I15" i="22" l="1"/>
  <c r="I16" i="22" l="1"/>
  <c r="I18" i="22" l="1"/>
  <c r="I17" i="22"/>
  <c r="I19" i="22" l="1"/>
  <c r="H15" i="22" l="1"/>
  <c r="H16" i="22" l="1"/>
  <c r="H18" i="22" l="1"/>
  <c r="H17" i="22"/>
  <c r="H19" i="22" l="1"/>
  <c r="G15" i="22" l="1"/>
  <c r="G16" i="22"/>
  <c r="G18" i="22" l="1"/>
  <c r="G17" i="22"/>
  <c r="G19" i="22" l="1"/>
  <c r="E31" i="22" l="1"/>
  <c r="E32" i="22"/>
  <c r="E33" i="22"/>
  <c r="E30" i="22" l="1"/>
  <c r="E29" i="22"/>
  <c r="A13" i="39" l="1"/>
  <c r="AD22" i="5"/>
  <c r="A1" i="39" l="1"/>
  <c r="B9" i="39"/>
  <c r="B8" i="39"/>
  <c r="B7" i="39"/>
  <c r="B6" i="39"/>
  <c r="B5" i="39"/>
  <c r="A1" i="28"/>
  <c r="A2" i="28"/>
  <c r="B111" i="28" l="1"/>
  <c r="B104" i="28" s="1"/>
  <c r="B105" i="28" s="1"/>
  <c r="D111" i="28" l="1"/>
  <c r="D104" i="28" l="1"/>
  <c r="C111" i="28"/>
  <c r="C104" i="28" l="1"/>
  <c r="D105" i="28"/>
  <c r="C105" i="28" l="1"/>
  <c r="F103" i="28"/>
  <c r="G103" i="28" l="1"/>
  <c r="F110" i="28"/>
  <c r="G110" i="28" l="1"/>
  <c r="F108" i="28"/>
  <c r="G108" i="28" l="1"/>
  <c r="F109" i="28"/>
  <c r="G109" i="28" l="1"/>
  <c r="E111" i="28"/>
  <c r="F107" i="28"/>
  <c r="G107" i="28" l="1"/>
  <c r="E104" i="28"/>
  <c r="F104" i="28" s="1"/>
  <c r="F111" i="28"/>
  <c r="E105" i="28" l="1"/>
  <c r="G111" i="28"/>
  <c r="G104" i="28" s="1"/>
  <c r="G105" i="28" s="1"/>
  <c r="F105" i="28"/>
  <c r="E27" i="20" l="1"/>
  <c r="E26" i="20"/>
  <c r="E25" i="20"/>
  <c r="E24" i="20"/>
  <c r="E23" i="20"/>
  <c r="A2" i="38" l="1"/>
  <c r="A2" i="40"/>
  <c r="E51" i="40" l="1"/>
  <c r="D51" i="40"/>
  <c r="C51" i="40"/>
  <c r="B51" i="40"/>
  <c r="F50" i="40"/>
  <c r="G50" i="40" s="1"/>
  <c r="F49" i="40"/>
  <c r="G49" i="40" s="1"/>
  <c r="F48" i="40"/>
  <c r="G48" i="40" s="1"/>
  <c r="F47" i="40"/>
  <c r="G47" i="40" s="1"/>
  <c r="E45" i="40"/>
  <c r="D45" i="40"/>
  <c r="C45" i="40"/>
  <c r="B45" i="40"/>
  <c r="F44" i="40"/>
  <c r="F43" i="40"/>
  <c r="E39" i="40"/>
  <c r="D39" i="40"/>
  <c r="C39" i="40"/>
  <c r="B39" i="40"/>
  <c r="F38" i="40"/>
  <c r="G38" i="40" s="1"/>
  <c r="F37" i="40"/>
  <c r="G37" i="40" s="1"/>
  <c r="F36" i="40"/>
  <c r="G36" i="40" s="1"/>
  <c r="F35" i="40"/>
  <c r="G35" i="40" s="1"/>
  <c r="E33" i="40"/>
  <c r="D33" i="40"/>
  <c r="C33" i="40"/>
  <c r="B33" i="40"/>
  <c r="F32" i="40"/>
  <c r="F31" i="40"/>
  <c r="F33" i="40" s="1"/>
  <c r="F45" i="40" l="1"/>
  <c r="G51" i="40"/>
  <c r="G44" i="40"/>
  <c r="F51" i="40"/>
  <c r="G43" i="40"/>
  <c r="G32" i="40"/>
  <c r="G39" i="40"/>
  <c r="F39" i="40"/>
  <c r="G31" i="40"/>
  <c r="G33" i="40" s="1"/>
  <c r="B14" i="40"/>
  <c r="B7" i="40"/>
  <c r="E14" i="40"/>
  <c r="D14" i="40"/>
  <c r="C14" i="40"/>
  <c r="E13" i="40"/>
  <c r="E12" i="40"/>
  <c r="D12" i="40"/>
  <c r="E11" i="40"/>
  <c r="D7" i="40"/>
  <c r="F26" i="40"/>
  <c r="G26" i="40" s="1"/>
  <c r="F24" i="40"/>
  <c r="G24" i="40" s="1"/>
  <c r="G12" i="40" s="1"/>
  <c r="E27" i="40"/>
  <c r="D27" i="40"/>
  <c r="B27" i="40"/>
  <c r="F19" i="40"/>
  <c r="G19" i="40" s="1"/>
  <c r="E21" i="40"/>
  <c r="C21" i="40"/>
  <c r="B21" i="40"/>
  <c r="C13" i="40"/>
  <c r="C12" i="40"/>
  <c r="B12" i="40"/>
  <c r="B11" i="40"/>
  <c r="E7" i="40"/>
  <c r="G45" i="40" l="1"/>
  <c r="F14" i="40"/>
  <c r="F12" i="40"/>
  <c r="D13" i="40"/>
  <c r="F20" i="40"/>
  <c r="F21" i="40" s="1"/>
  <c r="B13" i="40"/>
  <c r="B8" i="40" s="1"/>
  <c r="E8" i="40"/>
  <c r="E9" i="40" s="1"/>
  <c r="E15" i="40"/>
  <c r="C11" i="40"/>
  <c r="C27" i="40"/>
  <c r="D11" i="40"/>
  <c r="D21" i="40"/>
  <c r="F23" i="40"/>
  <c r="F25" i="40"/>
  <c r="G25" i="40" s="1"/>
  <c r="G13" i="40" s="1"/>
  <c r="G14" i="40"/>
  <c r="C7" i="40"/>
  <c r="C8" i="40" l="1"/>
  <c r="C15" i="40"/>
  <c r="G23" i="40"/>
  <c r="F27" i="40"/>
  <c r="F13" i="40"/>
  <c r="F11" i="40"/>
  <c r="F15" i="40" s="1"/>
  <c r="B15" i="40"/>
  <c r="D8" i="40"/>
  <c r="D9" i="40" s="1"/>
  <c r="D15" i="40"/>
  <c r="G7" i="40"/>
  <c r="B9" i="40"/>
  <c r="F7" i="40"/>
  <c r="F8" i="40" l="1"/>
  <c r="F9" i="40" s="1"/>
  <c r="C9" i="40"/>
  <c r="G20" i="40"/>
  <c r="G21" i="40" s="1"/>
  <c r="G11" i="40"/>
  <c r="G27" i="40"/>
  <c r="G15" i="40" l="1"/>
  <c r="G8" i="40"/>
  <c r="G9" i="40" l="1"/>
  <c r="D5" i="38"/>
  <c r="C9" i="39"/>
  <c r="C8" i="39"/>
  <c r="C16" i="5" s="1"/>
  <c r="C7" i="39"/>
  <c r="C15" i="5" s="1"/>
  <c r="C6" i="39"/>
  <c r="C14" i="5" s="1"/>
  <c r="C5" i="39"/>
  <c r="C13" i="5" s="1"/>
  <c r="C17" i="5" l="1"/>
  <c r="AC17" i="5"/>
  <c r="B10" i="39"/>
  <c r="D10" i="39"/>
  <c r="C10" i="39"/>
  <c r="C10" i="38" l="1"/>
  <c r="C7" i="38"/>
  <c r="C8" i="38"/>
  <c r="C9" i="38"/>
  <c r="B11" i="38" l="1"/>
  <c r="D11" i="38" l="1"/>
  <c r="C6" i="38"/>
  <c r="C11" i="38" l="1"/>
  <c r="C8" i="19" l="1"/>
  <c r="C6" i="19"/>
  <c r="D15" i="5" l="1"/>
  <c r="D13" i="5"/>
  <c r="C10" i="19"/>
  <c r="C9" i="19"/>
  <c r="C7" i="19"/>
  <c r="D14" i="5" l="1"/>
  <c r="D16" i="5"/>
  <c r="D17" i="5"/>
  <c r="F134" i="28" l="1"/>
  <c r="F133" i="28"/>
  <c r="E135" i="28"/>
  <c r="E128" i="28" s="1"/>
  <c r="D135" i="28"/>
  <c r="D128" i="28" s="1"/>
  <c r="C135" i="28"/>
  <c r="C128" i="28" s="1"/>
  <c r="C129" i="28" s="1"/>
  <c r="B135" i="28"/>
  <c r="F127" i="28"/>
  <c r="F98" i="28"/>
  <c r="F96" i="28"/>
  <c r="C99" i="28"/>
  <c r="F95" i="28"/>
  <c r="B128" i="28" l="1"/>
  <c r="B129" i="28" s="1"/>
  <c r="G127" i="28"/>
  <c r="G133" i="28"/>
  <c r="G134" i="28"/>
  <c r="C92" i="28"/>
  <c r="G95" i="28"/>
  <c r="G96" i="28"/>
  <c r="G98" i="28"/>
  <c r="L27" i="29"/>
  <c r="K27" i="29"/>
  <c r="J27" i="29"/>
  <c r="I27" i="29"/>
  <c r="H27" i="29"/>
  <c r="D129" i="28"/>
  <c r="F97" i="28"/>
  <c r="F91" i="28"/>
  <c r="F132" i="28"/>
  <c r="D99" i="28"/>
  <c r="F131" i="28"/>
  <c r="E99" i="28"/>
  <c r="B99" i="28"/>
  <c r="B92" i="28" s="1"/>
  <c r="B93" i="28" s="1"/>
  <c r="F128" i="28" l="1"/>
  <c r="G128" i="28" s="1"/>
  <c r="G129" i="28" s="1"/>
  <c r="C93" i="28"/>
  <c r="G132" i="28"/>
  <c r="G131" i="28"/>
  <c r="E92" i="28"/>
  <c r="D92" i="28"/>
  <c r="K25" i="29"/>
  <c r="I24" i="29"/>
  <c r="H24" i="29"/>
  <c r="J24" i="29"/>
  <c r="I25" i="29"/>
  <c r="J25" i="29"/>
  <c r="H25" i="29"/>
  <c r="G91" i="28"/>
  <c r="H23" i="29"/>
  <c r="I23" i="29"/>
  <c r="L23" i="29"/>
  <c r="K23" i="29"/>
  <c r="J23" i="29"/>
  <c r="L25" i="29"/>
  <c r="G97" i="28"/>
  <c r="K26" i="29"/>
  <c r="H26" i="29"/>
  <c r="J26" i="29"/>
  <c r="I26" i="29"/>
  <c r="L26" i="29"/>
  <c r="K24" i="29"/>
  <c r="L24" i="29"/>
  <c r="E129" i="28"/>
  <c r="F99" i="28"/>
  <c r="F135" i="28"/>
  <c r="F129" i="28" l="1"/>
  <c r="F92" i="28"/>
  <c r="G99" i="28"/>
  <c r="D93" i="28"/>
  <c r="G92" i="28"/>
  <c r="E93" i="28"/>
  <c r="G135" i="28"/>
  <c r="F93" i="28"/>
  <c r="G93" i="28" l="1"/>
  <c r="F11" i="19"/>
  <c r="B61" i="36" l="1"/>
  <c r="C61" i="36" s="1"/>
  <c r="M59" i="36"/>
  <c r="D42" i="36"/>
  <c r="C42" i="36"/>
  <c r="C49" i="36" s="1"/>
  <c r="D41" i="36"/>
  <c r="C41" i="36"/>
  <c r="C48" i="36" s="1"/>
  <c r="J40" i="36"/>
  <c r="D40" i="36"/>
  <c r="C40" i="36"/>
  <c r="C47" i="36" s="1"/>
  <c r="I39" i="36"/>
  <c r="D39" i="36"/>
  <c r="C39" i="36"/>
  <c r="C46" i="36" s="1"/>
  <c r="J38" i="36"/>
  <c r="I38" i="36"/>
  <c r="H38" i="36"/>
  <c r="D38" i="36"/>
  <c r="C38" i="36"/>
  <c r="C45" i="36" s="1"/>
  <c r="J42" i="36"/>
  <c r="I42" i="36"/>
  <c r="H42" i="36"/>
  <c r="G42" i="36"/>
  <c r="P18" i="36"/>
  <c r="J41" i="36"/>
  <c r="I41" i="36"/>
  <c r="H41" i="36"/>
  <c r="G41" i="36"/>
  <c r="E41" i="36"/>
  <c r="I40" i="36"/>
  <c r="H40" i="36"/>
  <c r="E40" i="36"/>
  <c r="J39" i="36"/>
  <c r="H39" i="36"/>
  <c r="G39" i="36"/>
  <c r="P15" i="36"/>
  <c r="G38" i="36"/>
  <c r="E38" i="36"/>
  <c r="I8" i="36"/>
  <c r="I7" i="36"/>
  <c r="I6" i="36"/>
  <c r="I5" i="36"/>
  <c r="I4" i="36"/>
  <c r="D46" i="36" l="1"/>
  <c r="D45" i="36"/>
  <c r="E45" i="36" s="1"/>
  <c r="D48" i="36"/>
  <c r="E48" i="36" s="1"/>
  <c r="I9" i="36"/>
  <c r="D47" i="36"/>
  <c r="E47" i="36" s="1"/>
  <c r="P17" i="36"/>
  <c r="G40" i="36"/>
  <c r="D49" i="36"/>
  <c r="D61" i="36"/>
  <c r="P16" i="36"/>
  <c r="E39" i="36"/>
  <c r="E42" i="36"/>
  <c r="P19" i="36"/>
  <c r="E49" i="36" l="1"/>
  <c r="E46" i="36"/>
  <c r="E56" i="36" l="1"/>
  <c r="E55" i="36"/>
  <c r="E53" i="36"/>
  <c r="E57" i="36"/>
  <c r="E54" i="36"/>
  <c r="E59" i="36" l="1"/>
  <c r="E61" i="36"/>
  <c r="E58" i="36" s="1"/>
  <c r="P19" i="22" l="1"/>
  <c r="O27" i="31" l="1"/>
  <c r="O26" i="31"/>
  <c r="O25" i="31"/>
  <c r="O24" i="31"/>
  <c r="O23" i="31"/>
  <c r="E14" i="8" l="1"/>
  <c r="D14" i="8"/>
  <c r="C14" i="8"/>
  <c r="E13" i="8"/>
  <c r="D13" i="8"/>
  <c r="C13" i="8"/>
  <c r="E12" i="8"/>
  <c r="D12" i="8"/>
  <c r="C12" i="8"/>
  <c r="E11" i="8"/>
  <c r="D11" i="8"/>
  <c r="D15" i="8" s="1"/>
  <c r="C11" i="8"/>
  <c r="E8" i="8"/>
  <c r="E7" i="8"/>
  <c r="D7" i="8"/>
  <c r="C7" i="8"/>
  <c r="B14" i="8"/>
  <c r="B13" i="8"/>
  <c r="B12" i="8"/>
  <c r="B11" i="8"/>
  <c r="B8" i="8"/>
  <c r="B7" i="8"/>
  <c r="E9" i="8" l="1"/>
  <c r="C15" i="8"/>
  <c r="E15" i="8"/>
  <c r="E56" i="28" l="1"/>
  <c r="B62" i="28"/>
  <c r="F62" i="28" s="1"/>
  <c r="B61" i="28"/>
  <c r="F61" i="28" s="1"/>
  <c r="D56" i="28"/>
  <c r="B60" i="28"/>
  <c r="F60" i="28" s="1"/>
  <c r="E63" i="28"/>
  <c r="D63" i="28"/>
  <c r="C63" i="28"/>
  <c r="B59" i="28"/>
  <c r="B63" i="28" s="1"/>
  <c r="C56" i="28"/>
  <c r="B55" i="28"/>
  <c r="C57" i="28" l="1"/>
  <c r="G60" i="28"/>
  <c r="G61" i="28"/>
  <c r="G62" i="28"/>
  <c r="B56" i="28"/>
  <c r="C13" i="28"/>
  <c r="C12" i="28"/>
  <c r="C7" i="28"/>
  <c r="C14" i="28"/>
  <c r="C11" i="28"/>
  <c r="D12" i="28"/>
  <c r="D7" i="28"/>
  <c r="D11" i="28"/>
  <c r="D13" i="28"/>
  <c r="D14" i="28"/>
  <c r="E7" i="28"/>
  <c r="E14" i="28"/>
  <c r="E12" i="28"/>
  <c r="E13" i="28"/>
  <c r="E11" i="28"/>
  <c r="F59" i="28"/>
  <c r="B57" i="28"/>
  <c r="D57" i="28"/>
  <c r="E57" i="28"/>
  <c r="F56" i="28"/>
  <c r="F55" i="28"/>
  <c r="G56" i="28" l="1"/>
  <c r="G55" i="28"/>
  <c r="G59" i="28"/>
  <c r="G63" i="28" s="1"/>
  <c r="F63" i="28"/>
  <c r="F57" i="28"/>
  <c r="G57" i="28" l="1"/>
  <c r="P15" i="22"/>
  <c r="P17" i="22"/>
  <c r="P16" i="22"/>
  <c r="P18" i="22"/>
  <c r="F17" i="5" l="1"/>
  <c r="F16" i="5"/>
  <c r="F15" i="5"/>
  <c r="F14" i="5"/>
  <c r="F13" i="5"/>
  <c r="F94" i="8" l="1"/>
  <c r="F93" i="8"/>
  <c r="F92" i="8"/>
  <c r="G92" i="8" l="1"/>
  <c r="K28" i="23"/>
  <c r="J28" i="23"/>
  <c r="H28" i="23"/>
  <c r="L28" i="23"/>
  <c r="I28" i="23"/>
  <c r="G94" i="8"/>
  <c r="I30" i="23"/>
  <c r="H30" i="23"/>
  <c r="L30" i="23"/>
  <c r="K30" i="23"/>
  <c r="J30" i="23"/>
  <c r="G93" i="8"/>
  <c r="H29" i="23"/>
  <c r="K29" i="23"/>
  <c r="J29" i="23"/>
  <c r="L29" i="23"/>
  <c r="I29" i="23"/>
  <c r="F91" i="8"/>
  <c r="F88" i="8"/>
  <c r="G91" i="8" l="1"/>
  <c r="L27" i="23"/>
  <c r="H27" i="23"/>
  <c r="I27" i="23"/>
  <c r="K27" i="23"/>
  <c r="J27" i="23"/>
  <c r="F95" i="8"/>
  <c r="G88" i="8" l="1"/>
  <c r="G95" i="8"/>
  <c r="F87" i="8" l="1"/>
  <c r="G87" i="8" l="1"/>
  <c r="G89" i="8" s="1"/>
  <c r="H26" i="23"/>
  <c r="L26" i="23"/>
  <c r="I26" i="23"/>
  <c r="J26" i="23"/>
  <c r="K26" i="23"/>
  <c r="F89" i="8"/>
  <c r="B50" i="28" l="1"/>
  <c r="B49" i="28"/>
  <c r="B48" i="28"/>
  <c r="B47" i="28"/>
  <c r="B43" i="28"/>
  <c r="B51" i="28" l="1"/>
  <c r="B44" i="28"/>
  <c r="B45" i="28" l="1"/>
  <c r="D51" i="28" l="1"/>
  <c r="D44" i="28"/>
  <c r="D45" i="28" l="1"/>
  <c r="F49" i="28" l="1"/>
  <c r="F48" i="28"/>
  <c r="F50" i="28"/>
  <c r="C44" i="28"/>
  <c r="C51" i="28"/>
  <c r="G48" i="28" l="1"/>
  <c r="G50" i="28"/>
  <c r="G49" i="28"/>
  <c r="F43" i="28"/>
  <c r="C45" i="28"/>
  <c r="G43" i="28" l="1"/>
  <c r="E51" i="28"/>
  <c r="E44" i="28"/>
  <c r="F47" i="28"/>
  <c r="G47" i="28" l="1"/>
  <c r="F51" i="28"/>
  <c r="E45" i="28"/>
  <c r="F44" i="28"/>
  <c r="G44" i="28" l="1"/>
  <c r="G45" i="28" s="1"/>
  <c r="G51" i="28"/>
  <c r="F45" i="28"/>
  <c r="B87" i="28" l="1"/>
  <c r="F86" i="28"/>
  <c r="F85" i="28"/>
  <c r="E80" i="28"/>
  <c r="B80" i="28"/>
  <c r="B75" i="28"/>
  <c r="F74" i="28"/>
  <c r="F73" i="28"/>
  <c r="F72" i="28"/>
  <c r="D68" i="28"/>
  <c r="B68" i="28"/>
  <c r="F67" i="28"/>
  <c r="G67" i="28" l="1"/>
  <c r="G72" i="28"/>
  <c r="G73" i="28"/>
  <c r="G74" i="28"/>
  <c r="B81" i="28"/>
  <c r="G85" i="28"/>
  <c r="F26" i="29"/>
  <c r="G26" i="29"/>
  <c r="E26" i="29"/>
  <c r="G86" i="28"/>
  <c r="G27" i="29"/>
  <c r="F27" i="29"/>
  <c r="E27" i="29"/>
  <c r="B69" i="28"/>
  <c r="F79" i="28"/>
  <c r="C87" i="28"/>
  <c r="D87" i="28"/>
  <c r="F84" i="28"/>
  <c r="E81" i="28"/>
  <c r="C75" i="28"/>
  <c r="E75" i="28"/>
  <c r="F83" i="28"/>
  <c r="E87" i="28"/>
  <c r="D69" i="28"/>
  <c r="C80" i="28"/>
  <c r="D80" i="28"/>
  <c r="F71" i="28"/>
  <c r="C68" i="28"/>
  <c r="D75" i="28"/>
  <c r="E68" i="28"/>
  <c r="G71" i="28" l="1"/>
  <c r="G75" i="28" s="1"/>
  <c r="D81" i="28"/>
  <c r="G79" i="28"/>
  <c r="E23" i="29"/>
  <c r="G23" i="29"/>
  <c r="F23" i="29"/>
  <c r="G83" i="28"/>
  <c r="E24" i="29"/>
  <c r="G24" i="29"/>
  <c r="F24" i="29"/>
  <c r="G84" i="28"/>
  <c r="E25" i="29"/>
  <c r="G25" i="29"/>
  <c r="F25" i="29"/>
  <c r="P26" i="29"/>
  <c r="P27" i="29"/>
  <c r="C69" i="28"/>
  <c r="E69" i="28"/>
  <c r="F80" i="28"/>
  <c r="C81" i="28"/>
  <c r="F87" i="28"/>
  <c r="F68" i="28"/>
  <c r="F75" i="28"/>
  <c r="G68" i="28" l="1"/>
  <c r="G80" i="28"/>
  <c r="G87" i="28"/>
  <c r="P23" i="29"/>
  <c r="D8" i="28"/>
  <c r="P25" i="29"/>
  <c r="E8" i="28"/>
  <c r="C8" i="28"/>
  <c r="P24" i="29"/>
  <c r="G69" i="28"/>
  <c r="F81" i="28"/>
  <c r="F69" i="28"/>
  <c r="G81" i="28" l="1"/>
  <c r="E7" i="3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F82" i="8"/>
  <c r="F81" i="8"/>
  <c r="B78" i="8"/>
  <c r="D77" i="8"/>
  <c r="D78" i="8" s="1"/>
  <c r="C77" i="8"/>
  <c r="C78" i="8" s="1"/>
  <c r="F76" i="8"/>
  <c r="G26" i="23" l="1"/>
  <c r="F26" i="23"/>
  <c r="E26" i="23"/>
  <c r="F28" i="23"/>
  <c r="G28" i="23"/>
  <c r="E28" i="23"/>
  <c r="G29" i="23"/>
  <c r="E29" i="23"/>
  <c r="F29" i="23"/>
  <c r="E30" i="23"/>
  <c r="G30" i="23"/>
  <c r="F30" i="23"/>
  <c r="G76" i="8"/>
  <c r="P26" i="23"/>
  <c r="G81" i="8"/>
  <c r="G82" i="8"/>
  <c r="G83" i="8"/>
  <c r="E84" i="8"/>
  <c r="F80" i="8"/>
  <c r="F77" i="8"/>
  <c r="F78" i="8" s="1"/>
  <c r="E27" i="23" l="1"/>
  <c r="G27" i="23"/>
  <c r="F27" i="23"/>
  <c r="G80" i="8"/>
  <c r="P27" i="23"/>
  <c r="P30" i="23"/>
  <c r="P28" i="23"/>
  <c r="P29" i="23"/>
  <c r="E78" i="8"/>
  <c r="F84" i="8"/>
  <c r="G84" i="8" l="1"/>
  <c r="G77" i="8"/>
  <c r="G78" i="8" s="1"/>
  <c r="C36" i="31" l="1"/>
  <c r="C32" i="31"/>
  <c r="I36" i="31"/>
  <c r="H36" i="31"/>
  <c r="G36" i="31"/>
  <c r="F36" i="31"/>
  <c r="E36" i="31"/>
  <c r="I32" i="31"/>
  <c r="H32" i="31"/>
  <c r="G32" i="31"/>
  <c r="F32" i="31"/>
  <c r="E32" i="31"/>
  <c r="K13" i="31"/>
  <c r="J13" i="31"/>
  <c r="O13" i="31" s="1"/>
  <c r="I13" i="31"/>
  <c r="H13" i="31"/>
  <c r="G13" i="31"/>
  <c r="F13" i="31"/>
  <c r="E13" i="31"/>
  <c r="D13" i="31"/>
  <c r="E8" i="31"/>
  <c r="E4" i="31"/>
  <c r="E10" i="30"/>
  <c r="D11" i="30"/>
  <c r="B7" i="30" s="1"/>
  <c r="B11" i="30"/>
  <c r="B5" i="30" s="1"/>
  <c r="E9" i="31" l="1"/>
  <c r="B12" i="30"/>
  <c r="D12" i="30"/>
  <c r="E9" i="30"/>
  <c r="D32" i="31"/>
  <c r="D36" i="31"/>
  <c r="E11" i="30" l="1"/>
  <c r="E12" i="30" s="1"/>
  <c r="G4" i="31" l="1"/>
  <c r="C39" i="31"/>
  <c r="D39" i="31" s="1"/>
  <c r="D73" i="8" l="1"/>
  <c r="C73" i="8"/>
  <c r="B73" i="8"/>
  <c r="F72" i="8"/>
  <c r="F71" i="8"/>
  <c r="F70" i="8"/>
  <c r="F69" i="8"/>
  <c r="B67" i="8"/>
  <c r="D66" i="8"/>
  <c r="D67" i="8" s="1"/>
  <c r="C66" i="8"/>
  <c r="C67" i="8" s="1"/>
  <c r="G69" i="8" l="1"/>
  <c r="G70" i="8"/>
  <c r="G71" i="8"/>
  <c r="G72" i="8"/>
  <c r="F73" i="8"/>
  <c r="E73" i="8"/>
  <c r="F66" i="8"/>
  <c r="G73" i="8" l="1"/>
  <c r="G66" i="8"/>
  <c r="E67" i="8" l="1"/>
  <c r="F65" i="8"/>
  <c r="G65" i="8" l="1"/>
  <c r="G67" i="8" s="1"/>
  <c r="F67" i="8"/>
  <c r="H8" i="29" l="1"/>
  <c r="H7" i="29"/>
  <c r="H6" i="29"/>
  <c r="H5" i="29"/>
  <c r="B55" i="29"/>
  <c r="C55" i="29" s="1"/>
  <c r="C36" i="29"/>
  <c r="C43" i="29" s="1"/>
  <c r="C35" i="29"/>
  <c r="C42" i="29" s="1"/>
  <c r="C34" i="29"/>
  <c r="C41" i="29" s="1"/>
  <c r="C33" i="29"/>
  <c r="C40" i="29" s="1"/>
  <c r="C32" i="29"/>
  <c r="C39" i="29" s="1"/>
  <c r="H4" i="29"/>
  <c r="H9" i="29" l="1"/>
  <c r="D47" i="31" l="1"/>
  <c r="E39" i="31" l="1"/>
  <c r="E47" i="31"/>
  <c r="F47" i="31" l="1"/>
  <c r="F39" i="31"/>
  <c r="G47" i="31" l="1"/>
  <c r="G39" i="31"/>
  <c r="H47" i="31" l="1"/>
  <c r="H39" i="31"/>
  <c r="I39" i="31" l="1"/>
  <c r="I47" i="31"/>
  <c r="B62" i="8" l="1"/>
  <c r="B56" i="8"/>
  <c r="F54" i="8" l="1"/>
  <c r="G54" i="8" s="1"/>
  <c r="F59" i="8" l="1"/>
  <c r="G59" i="8" s="1"/>
  <c r="F61" i="8" l="1"/>
  <c r="G61" i="8" s="1"/>
  <c r="F60" i="8" l="1"/>
  <c r="G60" i="8" s="1"/>
  <c r="E62" i="8"/>
  <c r="E56" i="8"/>
  <c r="D62" i="8" l="1"/>
  <c r="D55" i="8"/>
  <c r="C62" i="8"/>
  <c r="C55" i="8"/>
  <c r="C8" i="8" s="1"/>
  <c r="C9" i="8" s="1"/>
  <c r="F58" i="8"/>
  <c r="G58" i="8" s="1"/>
  <c r="D56" i="8" l="1"/>
  <c r="D8" i="8"/>
  <c r="D9" i="8" s="1"/>
  <c r="F62" i="8"/>
  <c r="F55" i="8"/>
  <c r="C56" i="8"/>
  <c r="G62" i="8" l="1"/>
  <c r="G55" i="8"/>
  <c r="F56" i="8"/>
  <c r="G56" i="8" l="1"/>
  <c r="B14" i="30" l="1"/>
  <c r="B17" i="30"/>
  <c r="B15" i="30"/>
  <c r="B16" i="30"/>
  <c r="B18" i="30" l="1"/>
  <c r="D18" i="30"/>
  <c r="C41" i="31" l="1"/>
  <c r="G6" i="31"/>
  <c r="C40" i="31"/>
  <c r="G5" i="31"/>
  <c r="B55" i="31"/>
  <c r="C55" i="31" s="1"/>
  <c r="G8" i="31"/>
  <c r="C43" i="31"/>
  <c r="G7" i="31"/>
  <c r="C42" i="31"/>
  <c r="D15" i="28" l="1"/>
  <c r="D43" i="3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C15" i="28"/>
  <c r="G51" i="31" l="1"/>
  <c r="G48" i="31"/>
  <c r="G50" i="31"/>
  <c r="G49" i="31"/>
  <c r="F53" i="31"/>
  <c r="G42" i="31"/>
  <c r="E52" i="31"/>
  <c r="F55" i="31"/>
  <c r="G40" i="31"/>
  <c r="G43" i="31"/>
  <c r="G41" i="31"/>
  <c r="H51" i="31" l="1"/>
  <c r="H50" i="31"/>
  <c r="H48" i="31"/>
  <c r="H49" i="31"/>
  <c r="H43" i="31"/>
  <c r="F52" i="31"/>
  <c r="G55" i="31"/>
  <c r="H40" i="31"/>
  <c r="G53" i="31"/>
  <c r="H42" i="31"/>
  <c r="H41" i="31"/>
  <c r="E15" i="28"/>
  <c r="H53" i="31" l="1"/>
  <c r="I42" i="31"/>
  <c r="I50" i="31"/>
  <c r="G52" i="31"/>
  <c r="H55" i="31"/>
  <c r="I40" i="31"/>
  <c r="I48" i="31"/>
  <c r="I49" i="31"/>
  <c r="I41" i="31"/>
  <c r="I51" i="31"/>
  <c r="I43" i="31"/>
  <c r="H52" i="31" l="1"/>
  <c r="I55" i="31"/>
  <c r="I53" i="31"/>
  <c r="B20" i="28"/>
  <c r="I52" i="31" l="1"/>
  <c r="B38" i="28"/>
  <c r="B37" i="28"/>
  <c r="B36" i="28"/>
  <c r="B35" i="28"/>
  <c r="B31" i="28"/>
  <c r="F26" i="28"/>
  <c r="D20" i="28"/>
  <c r="C20" i="28"/>
  <c r="F24" i="28"/>
  <c r="E27" i="28"/>
  <c r="D27" i="28"/>
  <c r="C27" i="28"/>
  <c r="F23" i="28"/>
  <c r="E20" i="28"/>
  <c r="F19" i="28"/>
  <c r="G19" i="28" l="1"/>
  <c r="G23" i="28"/>
  <c r="G26" i="28"/>
  <c r="G24" i="28"/>
  <c r="D21" i="28"/>
  <c r="E21" i="28"/>
  <c r="C21" i="28"/>
  <c r="D39" i="28"/>
  <c r="C39" i="28"/>
  <c r="F36" i="28"/>
  <c r="E39" i="28"/>
  <c r="E32" i="28"/>
  <c r="D32" i="28"/>
  <c r="F35" i="28"/>
  <c r="C32" i="28"/>
  <c r="F31" i="28"/>
  <c r="F38" i="28"/>
  <c r="F37" i="28"/>
  <c r="B32" i="28"/>
  <c r="F20" i="28"/>
  <c r="F25" i="28"/>
  <c r="B27" i="28"/>
  <c r="B39" i="28"/>
  <c r="B21" i="28"/>
  <c r="G34" i="29" l="1"/>
  <c r="G36" i="28"/>
  <c r="E32" i="29"/>
  <c r="G32" i="29"/>
  <c r="G31" i="28"/>
  <c r="E35" i="29"/>
  <c r="G35" i="29"/>
  <c r="F35" i="29"/>
  <c r="G37" i="28"/>
  <c r="G38" i="28"/>
  <c r="F33" i="29"/>
  <c r="E33" i="29"/>
  <c r="G33" i="29"/>
  <c r="G35" i="28"/>
  <c r="E33" i="28"/>
  <c r="G36" i="29"/>
  <c r="E34" i="29"/>
  <c r="C33" i="28"/>
  <c r="D33" i="28"/>
  <c r="F34" i="29"/>
  <c r="E36" i="29"/>
  <c r="H33" i="29"/>
  <c r="I33" i="29"/>
  <c r="J33" i="29"/>
  <c r="F36" i="29"/>
  <c r="J35" i="29"/>
  <c r="I35" i="29"/>
  <c r="H32" i="29"/>
  <c r="J32" i="29"/>
  <c r="I32" i="29"/>
  <c r="G25" i="28"/>
  <c r="J34" i="29"/>
  <c r="I34" i="29"/>
  <c r="H34" i="29"/>
  <c r="J36" i="29"/>
  <c r="I36" i="29"/>
  <c r="C9" i="28"/>
  <c r="E9" i="28"/>
  <c r="D9" i="28"/>
  <c r="F32" i="29"/>
  <c r="F27" i="28"/>
  <c r="F21" i="28"/>
  <c r="F32" i="28"/>
  <c r="F39" i="28"/>
  <c r="B33" i="28"/>
  <c r="G32" i="28" l="1"/>
  <c r="E51" i="29"/>
  <c r="G39" i="28"/>
  <c r="E48" i="29"/>
  <c r="E49" i="29"/>
  <c r="K13" i="29"/>
  <c r="G13" i="29"/>
  <c r="F13" i="29"/>
  <c r="G20" i="28"/>
  <c r="E13" i="29"/>
  <c r="H36" i="29"/>
  <c r="E50" i="29"/>
  <c r="E47" i="29"/>
  <c r="G33" i="28"/>
  <c r="L13" i="29"/>
  <c r="J13" i="29"/>
  <c r="G27" i="28"/>
  <c r="I13" i="29"/>
  <c r="H35" i="29"/>
  <c r="H13" i="29"/>
  <c r="F33" i="28"/>
  <c r="P13" i="29" l="1"/>
  <c r="E53" i="29"/>
  <c r="G21" i="28"/>
  <c r="D42" i="22" l="1"/>
  <c r="D41" i="22"/>
  <c r="D40" i="22"/>
  <c r="D39" i="22"/>
  <c r="D38" i="22"/>
  <c r="F50" i="8" l="1"/>
  <c r="G50" i="8" s="1"/>
  <c r="F49" i="8"/>
  <c r="G49" i="8" s="1"/>
  <c r="F48" i="8"/>
  <c r="G48" i="8" s="1"/>
  <c r="E51" i="8"/>
  <c r="D51" i="8"/>
  <c r="C51" i="8"/>
  <c r="B51" i="8"/>
  <c r="B45" i="8"/>
  <c r="F47" i="8" l="1"/>
  <c r="G47" i="8" s="1"/>
  <c r="F51" i="8" l="1"/>
  <c r="G51" i="8" l="1"/>
  <c r="C42" i="16" l="1"/>
  <c r="B15" i="8" l="1"/>
  <c r="B61" i="22"/>
  <c r="B9" i="8" l="1"/>
  <c r="Q16" i="22"/>
  <c r="Q18" i="22" l="1"/>
  <c r="Q17" i="22"/>
  <c r="Q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7" i="24"/>
  <c r="D49" i="24"/>
  <c r="D50" i="24"/>
  <c r="I7" i="22"/>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62" i="24" l="1"/>
  <c r="D62" i="24" s="1"/>
  <c r="D39" i="24"/>
  <c r="C46" i="24"/>
  <c r="D46" i="24" s="1"/>
  <c r="I8" i="24"/>
  <c r="I4" i="24"/>
  <c r="I9" i="24" l="1"/>
  <c r="C58" i="23" l="1"/>
  <c r="C39" i="23"/>
  <c r="C46" i="23" s="1"/>
  <c r="C35" i="23"/>
  <c r="C42" i="23" s="1"/>
  <c r="H4" i="23"/>
  <c r="H6" i="23" s="1"/>
  <c r="C61" i="22"/>
  <c r="D61" i="22" s="1"/>
  <c r="M59" i="22"/>
  <c r="C42" i="22"/>
  <c r="C49" i="22" s="1"/>
  <c r="D49" i="22" s="1"/>
  <c r="H42" i="22"/>
  <c r="G42" i="22"/>
  <c r="G38" i="22"/>
  <c r="F38" i="22"/>
  <c r="I8" i="22"/>
  <c r="I4" i="22"/>
  <c r="I9" i="22" l="1"/>
  <c r="H38" i="22"/>
  <c r="I38" i="22"/>
  <c r="F42" i="22"/>
  <c r="I42" i="22"/>
  <c r="K12" i="23"/>
  <c r="E42" i="22"/>
  <c r="E49" i="22" s="1"/>
  <c r="C38" i="22"/>
  <c r="C45" i="22" s="1"/>
  <c r="D45" i="22" s="1"/>
  <c r="E38" i="22"/>
  <c r="E45" i="22" l="1"/>
  <c r="B27" i="8" l="1"/>
  <c r="L12" i="16"/>
  <c r="B21" i="8" l="1"/>
  <c r="D42" i="16" l="1"/>
  <c r="D16" i="16"/>
  <c r="B56" i="16" l="1"/>
  <c r="E55" i="22" l="1"/>
  <c r="E54" i="22"/>
  <c r="E56" i="22"/>
  <c r="E57" i="22"/>
  <c r="E53" i="22"/>
  <c r="C56" i="16"/>
  <c r="D56" i="16" s="1"/>
  <c r="E61" i="22" l="1"/>
  <c r="E58" i="22" s="1"/>
  <c r="F48" i="22"/>
  <c r="F46" i="22"/>
  <c r="F47" i="22"/>
  <c r="E59" i="22"/>
  <c r="F45" i="22"/>
  <c r="F49" i="22"/>
  <c r="C47" i="16" l="1"/>
  <c r="D47" i="16" s="1"/>
  <c r="C46" i="16"/>
  <c r="D46" i="16" s="1"/>
  <c r="I5" i="16"/>
  <c r="I4" i="16"/>
  <c r="I6" i="16"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P16" i="16" s="1"/>
  <c r="G4" i="16"/>
  <c r="G6" i="16" l="1"/>
  <c r="J42" i="22" l="1"/>
  <c r="J41" i="22" l="1"/>
  <c r="G4" i="22"/>
  <c r="J38" i="22"/>
  <c r="G8" i="22"/>
  <c r="G7" i="22" l="1"/>
  <c r="J40" i="22"/>
  <c r="J39" i="22" l="1"/>
  <c r="G5" i="22"/>
  <c r="G6" i="22"/>
  <c r="G9" i="22" l="1"/>
  <c r="B39" i="8" l="1"/>
  <c r="B33" i="8"/>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G43" i="8" s="1"/>
  <c r="G7" i="8" l="1"/>
  <c r="E35" i="23"/>
  <c r="F35" i="23"/>
  <c r="G35" i="23"/>
  <c r="E50" i="23" l="1"/>
  <c r="E42" i="23"/>
  <c r="I35" i="23"/>
  <c r="H35" i="23"/>
  <c r="F4" i="23"/>
  <c r="J35" i="23"/>
  <c r="F42" i="23" l="1"/>
  <c r="F12" i="8" l="1"/>
  <c r="F36" i="8"/>
  <c r="G36" i="8" l="1"/>
  <c r="G12" i="8" s="1"/>
  <c r="E37" i="23"/>
  <c r="G37" i="23"/>
  <c r="F37" i="23"/>
  <c r="H37" i="23"/>
  <c r="F14" i="8"/>
  <c r="F38" i="8"/>
  <c r="G38" i="8" l="1"/>
  <c r="G14" i="8" s="1"/>
  <c r="G39" i="23"/>
  <c r="E39" i="23"/>
  <c r="F39" i="23"/>
  <c r="H39" i="23"/>
  <c r="I37" i="23"/>
  <c r="J37" i="23"/>
  <c r="E52" i="23"/>
  <c r="E44" i="23"/>
  <c r="I39" i="23" l="1"/>
  <c r="E46" i="23"/>
  <c r="E54" i="23"/>
  <c r="F44" i="23"/>
  <c r="J39" i="23"/>
  <c r="F46" i="23" l="1"/>
  <c r="F13" i="8"/>
  <c r="F37" i="8"/>
  <c r="G37" i="8" l="1"/>
  <c r="G13" i="8" s="1"/>
  <c r="F38" i="23"/>
  <c r="G38" i="23"/>
  <c r="E38" i="23"/>
  <c r="H38" i="23"/>
  <c r="E39" i="8"/>
  <c r="I38" i="23" l="1"/>
  <c r="J38" i="23"/>
  <c r="E53" i="23"/>
  <c r="E45" i="23"/>
  <c r="E45" i="8"/>
  <c r="E33" i="8"/>
  <c r="F45" i="23" l="1"/>
  <c r="D45" i="8" l="1"/>
  <c r="C45" i="8" l="1"/>
  <c r="F44" i="8"/>
  <c r="G44" i="8" s="1"/>
  <c r="F45" i="8" l="1"/>
  <c r="D39" i="8"/>
  <c r="C39" i="8"/>
  <c r="F35" i="8"/>
  <c r="G35" i="8" l="1"/>
  <c r="G11" i="8" s="1"/>
  <c r="C33" i="8"/>
  <c r="F32" i="8"/>
  <c r="D33" i="8"/>
  <c r="G45" i="8"/>
  <c r="F11" i="8"/>
  <c r="F15" i="8" s="1"/>
  <c r="F39" i="8"/>
  <c r="G15" i="8" l="1"/>
  <c r="G32" i="8"/>
  <c r="G8" i="8" s="1"/>
  <c r="G9" i="8" s="1"/>
  <c r="F8" i="8"/>
  <c r="F9" i="8" s="1"/>
  <c r="F33" i="8"/>
  <c r="G36" i="23"/>
  <c r="G16" i="23"/>
  <c r="E36" i="23"/>
  <c r="E16" i="23"/>
  <c r="F36" i="23"/>
  <c r="F16" i="23"/>
  <c r="G39" i="8"/>
  <c r="G33" i="8" l="1"/>
  <c r="E43" i="23"/>
  <c r="E51" i="23"/>
  <c r="L16" i="23"/>
  <c r="H36" i="23"/>
  <c r="F5" i="23"/>
  <c r="H16" i="23"/>
  <c r="K16" i="23"/>
  <c r="P16" i="23" s="1"/>
  <c r="J36" i="23"/>
  <c r="J16" i="23"/>
  <c r="I36" i="23"/>
  <c r="I16" i="23"/>
  <c r="F43" i="23" l="1"/>
  <c r="E58" i="23"/>
  <c r="E55" i="23" s="1"/>
  <c r="E56" i="23"/>
  <c r="F6" i="23"/>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F52" i="23" l="1"/>
  <c r="F58" i="24" l="1"/>
  <c r="F54" i="24"/>
  <c r="F57" i="24"/>
  <c r="F56" i="24"/>
  <c r="F55" i="24"/>
  <c r="F57" i="22"/>
  <c r="F56" i="22"/>
  <c r="F53" i="22"/>
  <c r="F54" i="22"/>
  <c r="F55" i="22"/>
  <c r="F50" i="23"/>
  <c r="F54" i="23"/>
  <c r="F53" i="23"/>
  <c r="F51" i="23"/>
  <c r="F51" i="16"/>
  <c r="F52" i="16"/>
  <c r="G57" i="22" l="1"/>
  <c r="G49" i="22"/>
  <c r="F60" i="24"/>
  <c r="G47" i="24"/>
  <c r="G55" i="24"/>
  <c r="G53" i="23"/>
  <c r="G45" i="23"/>
  <c r="G52" i="23"/>
  <c r="G44" i="23"/>
  <c r="G55" i="22"/>
  <c r="G47" i="22"/>
  <c r="G56" i="24"/>
  <c r="G48" i="24"/>
  <c r="G46" i="23"/>
  <c r="G54" i="23"/>
  <c r="G46" i="22"/>
  <c r="G54" i="22"/>
  <c r="G57" i="24"/>
  <c r="G49" i="24"/>
  <c r="G42" i="23"/>
  <c r="G50" i="23"/>
  <c r="F56" i="23"/>
  <c r="F58" i="23"/>
  <c r="F55" i="23" s="1"/>
  <c r="G52" i="16"/>
  <c r="G47" i="16"/>
  <c r="G46" i="16"/>
  <c r="G51" i="16"/>
  <c r="F54" i="16"/>
  <c r="F56" i="16"/>
  <c r="F53" i="16" s="1"/>
  <c r="G45" i="22"/>
  <c r="F59" i="22"/>
  <c r="F61" i="22"/>
  <c r="F58" i="22" s="1"/>
  <c r="G53" i="22"/>
  <c r="G54" i="24"/>
  <c r="G46" i="24"/>
  <c r="F62" i="24"/>
  <c r="F59" i="24" s="1"/>
  <c r="G43" i="23"/>
  <c r="G51" i="23"/>
  <c r="G48" i="22"/>
  <c r="G56" i="22"/>
  <c r="G58" i="24"/>
  <c r="G50" i="24"/>
  <c r="G60" i="24" l="1"/>
  <c r="G56" i="23"/>
  <c r="G58" i="23"/>
  <c r="G55" i="23" s="1"/>
  <c r="H46" i="22"/>
  <c r="H54" i="22"/>
  <c r="H55" i="24"/>
  <c r="H47" i="24"/>
  <c r="H49" i="22"/>
  <c r="H57" i="22"/>
  <c r="H46" i="24"/>
  <c r="H54" i="24"/>
  <c r="H42" i="23"/>
  <c r="H50" i="23"/>
  <c r="H55" i="22"/>
  <c r="H47" i="22"/>
  <c r="H45" i="22"/>
  <c r="H53" i="22"/>
  <c r="G54" i="16"/>
  <c r="G56" i="16"/>
  <c r="G53" i="16" s="1"/>
  <c r="H58" i="24"/>
  <c r="H50" i="24"/>
  <c r="H51" i="16"/>
  <c r="H46" i="16"/>
  <c r="H49" i="24"/>
  <c r="H57" i="24"/>
  <c r="H52" i="23"/>
  <c r="H44" i="23"/>
  <c r="H43" i="23"/>
  <c r="H51" i="23"/>
  <c r="H46" i="23"/>
  <c r="H54" i="23"/>
  <c r="G61" i="22"/>
  <c r="G58" i="22" s="1"/>
  <c r="G59" i="22"/>
  <c r="H47" i="16"/>
  <c r="H52" i="16"/>
  <c r="H48" i="24"/>
  <c r="H56" i="24"/>
  <c r="H56" i="22"/>
  <c r="H48" i="22"/>
  <c r="G62" i="24"/>
  <c r="G59" i="24" s="1"/>
  <c r="H45" i="23"/>
  <c r="H53" i="23"/>
  <c r="I54" i="22" l="1"/>
  <c r="I46" i="22"/>
  <c r="H58" i="23"/>
  <c r="H55" i="23" s="1"/>
  <c r="H56" i="23"/>
  <c r="I49" i="24"/>
  <c r="I57" i="24"/>
  <c r="I56" i="22"/>
  <c r="I48" i="22"/>
  <c r="I51" i="16"/>
  <c r="I46" i="16"/>
  <c r="I46" i="24"/>
  <c r="I54" i="24"/>
  <c r="I53" i="23"/>
  <c r="I45" i="23"/>
  <c r="I47" i="16"/>
  <c r="I52" i="16"/>
  <c r="H56" i="16"/>
  <c r="H53" i="16" s="1"/>
  <c r="I45" i="22"/>
  <c r="I53" i="22"/>
  <c r="I57" i="22"/>
  <c r="I49" i="22"/>
  <c r="I42" i="23"/>
  <c r="I50" i="23"/>
  <c r="H62" i="24"/>
  <c r="H59" i="24" s="1"/>
  <c r="I58" i="24"/>
  <c r="I50" i="24"/>
  <c r="I51" i="23"/>
  <c r="I43" i="23"/>
  <c r="I47" i="22"/>
  <c r="I55" i="22"/>
  <c r="I47" i="24"/>
  <c r="I55" i="24"/>
  <c r="I46" i="23"/>
  <c r="I54" i="23"/>
  <c r="H61" i="22"/>
  <c r="H58" i="22" s="1"/>
  <c r="H59" i="22"/>
  <c r="I56" i="24"/>
  <c r="I48" i="24"/>
  <c r="H54" i="16"/>
  <c r="I52" i="23"/>
  <c r="I44" i="23"/>
  <c r="H60" i="24"/>
  <c r="I56" i="23" l="1"/>
  <c r="I58" i="23"/>
  <c r="I55" i="23" s="1"/>
  <c r="J57" i="24"/>
  <c r="J49" i="24"/>
  <c r="J53" i="22"/>
  <c r="J45" i="22"/>
  <c r="J54" i="23"/>
  <c r="J46" i="23"/>
  <c r="I62" i="24"/>
  <c r="I59" i="24" s="1"/>
  <c r="I60" i="24"/>
  <c r="J53" i="23"/>
  <c r="J45" i="23"/>
  <c r="J58" i="24"/>
  <c r="J50" i="24"/>
  <c r="J56" i="24"/>
  <c r="J48" i="24"/>
  <c r="J52" i="16"/>
  <c r="J47" i="16"/>
  <c r="J46" i="16"/>
  <c r="J51" i="16"/>
  <c r="J44" i="23"/>
  <c r="J52" i="23"/>
  <c r="J47" i="24"/>
  <c r="J55" i="24"/>
  <c r="J57" i="22"/>
  <c r="J49" i="22"/>
  <c r="I54" i="16"/>
  <c r="I56" i="16"/>
  <c r="I53" i="16" s="1"/>
  <c r="J56" i="22"/>
  <c r="J48" i="22"/>
  <c r="J46" i="22"/>
  <c r="J54" i="22"/>
  <c r="J43" i="23"/>
  <c r="J51" i="23"/>
  <c r="J50" i="23"/>
  <c r="J42" i="23"/>
  <c r="J46" i="24"/>
  <c r="J54" i="24"/>
  <c r="J47" i="22"/>
  <c r="J55" i="22"/>
  <c r="I59" i="22"/>
  <c r="I61" i="22"/>
  <c r="I58" i="22" s="1"/>
  <c r="J62" i="24" l="1"/>
  <c r="J56" i="16"/>
  <c r="J54" i="16"/>
  <c r="J56" i="23"/>
  <c r="J58" i="23"/>
  <c r="J60" i="24"/>
  <c r="J61" i="22"/>
  <c r="J59" i="22"/>
  <c r="J58" i="22" l="1"/>
  <c r="J55" i="23"/>
  <c r="J53" i="16"/>
  <c r="J59" i="24"/>
  <c r="D11" i="19"/>
  <c r="N25" i="24" l="1"/>
  <c r="F6" i="24" s="1"/>
  <c r="N24" i="24"/>
  <c r="F5" i="24" s="1"/>
  <c r="N23" i="24" l="1"/>
  <c r="F4" i="24" s="1"/>
  <c r="P23" i="24"/>
  <c r="P25" i="24"/>
  <c r="P24" i="24"/>
  <c r="N27" i="24"/>
  <c r="F8" i="24" s="1"/>
  <c r="N26" i="24"/>
  <c r="F7" i="24" s="1"/>
  <c r="P27" i="24" l="1"/>
  <c r="P26" i="24"/>
  <c r="F9" i="24"/>
  <c r="P31" i="24" l="1"/>
  <c r="P33" i="24"/>
  <c r="G5" i="24"/>
  <c r="P30" i="24"/>
  <c r="K13" i="24"/>
  <c r="P32" i="24" l="1"/>
  <c r="P34" i="24"/>
  <c r="G6" i="24"/>
  <c r="G4" i="24"/>
  <c r="G7" i="24"/>
  <c r="G8" i="24" l="1"/>
  <c r="L13" i="24"/>
  <c r="P13" i="24" l="1"/>
  <c r="G9" i="24"/>
  <c r="B11" i="19" l="1"/>
  <c r="C11" i="19" l="1"/>
  <c r="E11" i="19"/>
  <c r="G5" i="36" l="1"/>
  <c r="F39" i="36"/>
  <c r="G7" i="36"/>
  <c r="F41" i="36"/>
  <c r="F40" i="36"/>
  <c r="G6" i="36"/>
  <c r="G4" i="36"/>
  <c r="F38" i="36"/>
  <c r="F48" i="36" l="1"/>
  <c r="F56" i="36"/>
  <c r="F45" i="36"/>
  <c r="F53" i="36"/>
  <c r="F46" i="36"/>
  <c r="F54" i="36"/>
  <c r="F47" i="36"/>
  <c r="F55" i="36"/>
  <c r="G46" i="36" l="1"/>
  <c r="G54" i="36"/>
  <c r="G53" i="36"/>
  <c r="G45" i="36"/>
  <c r="G47" i="36"/>
  <c r="G55" i="36"/>
  <c r="G56" i="36"/>
  <c r="G48" i="36"/>
  <c r="Q19" i="36"/>
  <c r="F42" i="36"/>
  <c r="G8" i="36"/>
  <c r="Q17" i="36"/>
  <c r="Q16" i="36"/>
  <c r="Q18" i="36"/>
  <c r="H48" i="36" l="1"/>
  <c r="H56" i="36"/>
  <c r="H47" i="36"/>
  <c r="H55" i="36"/>
  <c r="H53" i="36"/>
  <c r="H45" i="36"/>
  <c r="G9" i="36"/>
  <c r="F57" i="36"/>
  <c r="F49" i="36"/>
  <c r="H54" i="36"/>
  <c r="H46" i="36"/>
  <c r="I45" i="36" l="1"/>
  <c r="I53" i="36"/>
  <c r="I54" i="36"/>
  <c r="I46" i="36"/>
  <c r="I47" i="36"/>
  <c r="I55" i="36"/>
  <c r="G57" i="36"/>
  <c r="G49" i="36"/>
  <c r="F59" i="36"/>
  <c r="F61" i="36"/>
  <c r="F58" i="36" s="1"/>
  <c r="I56" i="36"/>
  <c r="I48" i="36"/>
  <c r="G59" i="36" l="1"/>
  <c r="G61" i="36"/>
  <c r="G58" i="36" s="1"/>
  <c r="J46" i="36"/>
  <c r="J54" i="36"/>
  <c r="H57" i="36"/>
  <c r="H49" i="36"/>
  <c r="J47" i="36"/>
  <c r="J55" i="36"/>
  <c r="J53" i="36"/>
  <c r="J45" i="36"/>
  <c r="J48" i="36"/>
  <c r="J56" i="36"/>
  <c r="H59" i="36" l="1"/>
  <c r="H61" i="36"/>
  <c r="H58" i="36" s="1"/>
  <c r="I49" i="36"/>
  <c r="I57" i="36"/>
  <c r="I59" i="36" l="1"/>
  <c r="I61" i="36"/>
  <c r="I58" i="36" s="1"/>
  <c r="J57" i="36"/>
  <c r="J49" i="36"/>
  <c r="J61" i="36" l="1"/>
  <c r="J59" i="36"/>
  <c r="J58" i="36" l="1"/>
  <c r="L32" i="29"/>
  <c r="K32" i="31"/>
  <c r="L29" i="22"/>
  <c r="L38" i="22" s="1"/>
  <c r="L35" i="23"/>
  <c r="L42" i="16"/>
  <c r="L29" i="36"/>
  <c r="M35" i="23"/>
  <c r="M42" i="16"/>
  <c r="M29" i="36"/>
  <c r="L32" i="31"/>
  <c r="M32" i="29"/>
  <c r="M29" i="22"/>
  <c r="M38" i="22" s="1"/>
  <c r="M38" i="36" l="1"/>
  <c r="L38" i="36"/>
  <c r="L39" i="24"/>
  <c r="M39" i="24"/>
  <c r="U13" i="5"/>
  <c r="AE13" i="5"/>
  <c r="AC13" i="5"/>
  <c r="AD13" i="5"/>
  <c r="Y13" i="5"/>
  <c r="AA13" i="5"/>
  <c r="C23" i="20" l="1"/>
  <c r="D23" i="20"/>
  <c r="E4" i="23"/>
  <c r="G4" i="23" s="1"/>
  <c r="K35" i="23"/>
  <c r="P19" i="23"/>
  <c r="K29" i="36"/>
  <c r="F4" i="36"/>
  <c r="P22" i="36"/>
  <c r="O16" i="31"/>
  <c r="J32" i="31"/>
  <c r="D4" i="31"/>
  <c r="F4" i="31" s="1"/>
  <c r="K29" i="22"/>
  <c r="P22" i="22"/>
  <c r="F4" i="22"/>
  <c r="P19" i="16"/>
  <c r="E4" i="16"/>
  <c r="H4" i="16" s="1"/>
  <c r="K42" i="16"/>
  <c r="K32" i="29"/>
  <c r="E4" i="29"/>
  <c r="P16" i="29"/>
  <c r="E4" i="24"/>
  <c r="H4" i="24" s="1"/>
  <c r="K39" i="24"/>
  <c r="P16" i="24"/>
  <c r="J39" i="31" l="1"/>
  <c r="J47" i="31"/>
  <c r="K46" i="16"/>
  <c r="K51" i="16"/>
  <c r="E4" i="36"/>
  <c r="H4" i="36" s="1"/>
  <c r="P29" i="36"/>
  <c r="K38" i="36"/>
  <c r="K38" i="22"/>
  <c r="E4" i="22"/>
  <c r="H4" i="22" s="1"/>
  <c r="P29" i="22"/>
  <c r="K46" i="24"/>
  <c r="K54" i="24"/>
  <c r="K42" i="23"/>
  <c r="K50" i="23"/>
  <c r="L42" i="23" l="1"/>
  <c r="L50" i="23"/>
  <c r="I4" i="23" s="1"/>
  <c r="J4" i="23" s="1"/>
  <c r="L54" i="24"/>
  <c r="J4" i="24" s="1"/>
  <c r="K4" i="24" s="1"/>
  <c r="L46" i="24"/>
  <c r="L46" i="16"/>
  <c r="L51" i="16"/>
  <c r="J4" i="16" s="1"/>
  <c r="K53" i="22"/>
  <c r="K45" i="22"/>
  <c r="K45" i="36"/>
  <c r="K53" i="36"/>
  <c r="K39" i="31"/>
  <c r="K47" i="31"/>
  <c r="H4" i="31" s="1"/>
  <c r="Y22" i="5" l="1"/>
  <c r="I4" i="31"/>
  <c r="F22" i="5" s="1"/>
  <c r="K4" i="16"/>
  <c r="D22" i="5" s="1"/>
  <c r="L45" i="22"/>
  <c r="L53" i="22"/>
  <c r="J4" i="22" s="1"/>
  <c r="K4" i="22" s="1"/>
  <c r="X22" i="5" s="1"/>
  <c r="L39" i="31"/>
  <c r="L47" i="31"/>
  <c r="O47" i="31" s="1"/>
  <c r="M51" i="16"/>
  <c r="P51" i="16" s="1"/>
  <c r="M46" i="16"/>
  <c r="M50" i="23"/>
  <c r="P50" i="23" s="1"/>
  <c r="M42" i="23"/>
  <c r="K4" i="23" s="1"/>
  <c r="M54" i="24"/>
  <c r="P54" i="24" s="1"/>
  <c r="M46" i="24"/>
  <c r="L4" i="24" s="1"/>
  <c r="L45" i="36"/>
  <c r="L53" i="36"/>
  <c r="J4" i="36" s="1"/>
  <c r="K4" i="36" s="1"/>
  <c r="C22" i="5" l="1"/>
  <c r="J4" i="5" s="1"/>
  <c r="P53" i="36"/>
  <c r="F4" i="5"/>
  <c r="M4" i="5"/>
  <c r="AC22" i="5"/>
  <c r="E5" i="20"/>
  <c r="M45" i="22"/>
  <c r="L4" i="22" s="1"/>
  <c r="B5" i="20"/>
  <c r="C14" i="20"/>
  <c r="T22" i="5"/>
  <c r="L4" i="16"/>
  <c r="M45" i="36"/>
  <c r="L4" i="36" s="1"/>
  <c r="D5" i="20"/>
  <c r="P53" i="22"/>
  <c r="AA22" i="5"/>
  <c r="J4" i="31"/>
  <c r="S28" i="5" l="1"/>
  <c r="E14" i="20"/>
  <c r="C5" i="20"/>
  <c r="K4" i="5"/>
  <c r="T28" i="5" s="1"/>
  <c r="D4" i="5"/>
  <c r="B14" i="20"/>
  <c r="C4" i="5"/>
  <c r="B23" i="20"/>
  <c r="V28" i="5"/>
  <c r="E32" i="20" l="1"/>
  <c r="E38" i="20" s="1"/>
  <c r="F23" i="20"/>
  <c r="C32" i="20"/>
  <c r="C38" i="20" s="1"/>
  <c r="F5" i="20"/>
  <c r="B32" i="20"/>
  <c r="B38" i="20" l="1"/>
  <c r="AE17" i="5" l="1"/>
  <c r="AD17" i="5"/>
  <c r="AC16" i="5"/>
  <c r="AE16" i="5"/>
  <c r="AD16" i="5"/>
  <c r="U16" i="5"/>
  <c r="Y16" i="5"/>
  <c r="AA16" i="5"/>
  <c r="U17" i="5"/>
  <c r="AA17" i="5"/>
  <c r="Y17" i="5"/>
  <c r="L36" i="31"/>
  <c r="M33" i="29"/>
  <c r="L33" i="31"/>
  <c r="M30" i="36"/>
  <c r="M30" i="22"/>
  <c r="M39" i="22" s="1"/>
  <c r="M36" i="23"/>
  <c r="L36" i="29"/>
  <c r="L33" i="22"/>
  <c r="L42" i="22" s="1"/>
  <c r="L39" i="23"/>
  <c r="L33" i="36"/>
  <c r="M31" i="36"/>
  <c r="M34" i="29"/>
  <c r="L34" i="31"/>
  <c r="M37" i="23"/>
  <c r="M31" i="22"/>
  <c r="M40" i="22" s="1"/>
  <c r="L30" i="36"/>
  <c r="K33" i="31"/>
  <c r="L30" i="22"/>
  <c r="L39" i="22" s="1"/>
  <c r="L33" i="29"/>
  <c r="K36" i="31"/>
  <c r="L36" i="23"/>
  <c r="K34" i="31"/>
  <c r="L34" i="29"/>
  <c r="L31" i="22"/>
  <c r="L40" i="22" s="1"/>
  <c r="L37" i="23"/>
  <c r="L31" i="36"/>
  <c r="L32" i="36"/>
  <c r="L35" i="29"/>
  <c r="K35" i="31"/>
  <c r="L38" i="23"/>
  <c r="L32" i="22"/>
  <c r="L41" i="22" s="1"/>
  <c r="M32" i="22"/>
  <c r="M41" i="22" s="1"/>
  <c r="M38" i="23"/>
  <c r="M32" i="36"/>
  <c r="M35" i="29"/>
  <c r="L35" i="31"/>
  <c r="M33" i="22"/>
  <c r="M42" i="22" s="1"/>
  <c r="M39" i="23"/>
  <c r="M33" i="36"/>
  <c r="M36" i="29"/>
  <c r="M39" i="36" l="1"/>
  <c r="M42" i="36"/>
  <c r="L39" i="36"/>
  <c r="L41" i="36"/>
  <c r="L40" i="36"/>
  <c r="M40" i="36"/>
  <c r="M41" i="36"/>
  <c r="L42" i="36"/>
  <c r="M43" i="24"/>
  <c r="M42" i="24"/>
  <c r="M40" i="24"/>
  <c r="L40" i="24"/>
  <c r="M41" i="24"/>
  <c r="L42" i="24"/>
  <c r="L41" i="24"/>
  <c r="L43" i="24"/>
  <c r="AC14" i="5"/>
  <c r="AD14" i="5"/>
  <c r="AD15" i="5"/>
  <c r="C26" i="20"/>
  <c r="D26" i="20"/>
  <c r="C27" i="20"/>
  <c r="D27" i="20"/>
  <c r="U15" i="5"/>
  <c r="AC15" i="5"/>
  <c r="Y15" i="5"/>
  <c r="AA15" i="5"/>
  <c r="Y14" i="5"/>
  <c r="U14" i="5"/>
  <c r="AA14" i="5"/>
  <c r="K37" i="23"/>
  <c r="P21" i="23"/>
  <c r="O19" i="31"/>
  <c r="J35" i="31"/>
  <c r="D7" i="31"/>
  <c r="F7" i="31" s="1"/>
  <c r="E5" i="16"/>
  <c r="P20" i="16"/>
  <c r="K43" i="16"/>
  <c r="K39" i="16" s="1"/>
  <c r="K41" i="24"/>
  <c r="E6" i="24"/>
  <c r="H6" i="24" s="1"/>
  <c r="P18" i="24"/>
  <c r="P17" i="29"/>
  <c r="E5" i="29"/>
  <c r="K33" i="29"/>
  <c r="P19" i="29"/>
  <c r="K35" i="29"/>
  <c r="E7" i="29"/>
  <c r="O18" i="31"/>
  <c r="J34" i="31"/>
  <c r="D6" i="31"/>
  <c r="F6" i="31" s="1"/>
  <c r="K42" i="24"/>
  <c r="E7" i="24"/>
  <c r="H7" i="24" s="1"/>
  <c r="P19" i="24"/>
  <c r="J33" i="31"/>
  <c r="O17" i="31"/>
  <c r="D5" i="31"/>
  <c r="P21" i="16"/>
  <c r="P23" i="36"/>
  <c r="K30" i="36"/>
  <c r="F5" i="36"/>
  <c r="P22" i="16"/>
  <c r="K38" i="23"/>
  <c r="P22" i="23"/>
  <c r="K40" i="24"/>
  <c r="P17" i="24"/>
  <c r="E5" i="24"/>
  <c r="P23" i="16"/>
  <c r="F6" i="22"/>
  <c r="K31" i="22"/>
  <c r="P24" i="22"/>
  <c r="P23" i="22"/>
  <c r="F5" i="22"/>
  <c r="K30" i="22"/>
  <c r="K39" i="23"/>
  <c r="P23" i="23"/>
  <c r="F7" i="22"/>
  <c r="P25" i="22"/>
  <c r="K32" i="22"/>
  <c r="L43" i="16"/>
  <c r="K33" i="22"/>
  <c r="F8" i="22"/>
  <c r="P26" i="22"/>
  <c r="M43" i="16"/>
  <c r="K43" i="24"/>
  <c r="P20" i="24"/>
  <c r="E8" i="24"/>
  <c r="H8" i="24" s="1"/>
  <c r="P18" i="29"/>
  <c r="K34" i="29"/>
  <c r="E6" i="29"/>
  <c r="K36" i="23"/>
  <c r="E5" i="23"/>
  <c r="P20" i="23"/>
  <c r="P26" i="36"/>
  <c r="F8" i="36"/>
  <c r="K33" i="36"/>
  <c r="P24" i="36"/>
  <c r="K31" i="36"/>
  <c r="F6" i="36"/>
  <c r="P25" i="36"/>
  <c r="F7" i="36"/>
  <c r="K32" i="36"/>
  <c r="E8" i="29"/>
  <c r="K36" i="29"/>
  <c r="P20" i="29"/>
  <c r="D8" i="31"/>
  <c r="F8" i="31" s="1"/>
  <c r="O20" i="31"/>
  <c r="J36" i="31"/>
  <c r="K36" i="24" l="1"/>
  <c r="K32" i="23"/>
  <c r="J29" i="31"/>
  <c r="C25" i="20"/>
  <c r="D25" i="20"/>
  <c r="C24" i="20"/>
  <c r="D24" i="20"/>
  <c r="J51" i="31"/>
  <c r="J43" i="31"/>
  <c r="K46" i="23"/>
  <c r="K54" i="23"/>
  <c r="E8" i="22"/>
  <c r="H8" i="22" s="1"/>
  <c r="P33" i="22"/>
  <c r="K42" i="22"/>
  <c r="P30" i="22"/>
  <c r="E5" i="22"/>
  <c r="K39" i="22"/>
  <c r="K45" i="23"/>
  <c r="K53" i="23"/>
  <c r="K49" i="24"/>
  <c r="K57" i="24"/>
  <c r="K40" i="36"/>
  <c r="P31" i="36"/>
  <c r="E6" i="36"/>
  <c r="H6" i="36" s="1"/>
  <c r="F9" i="22"/>
  <c r="K48" i="24"/>
  <c r="K56" i="24"/>
  <c r="F9" i="36"/>
  <c r="J41" i="31"/>
  <c r="J49" i="31"/>
  <c r="P30" i="36"/>
  <c r="K39" i="36"/>
  <c r="E5" i="36"/>
  <c r="K47" i="16"/>
  <c r="K52" i="16"/>
  <c r="P31" i="22"/>
  <c r="E6" i="22"/>
  <c r="H6" i="22" s="1"/>
  <c r="K40" i="22"/>
  <c r="P33" i="36"/>
  <c r="E8" i="36"/>
  <c r="H8" i="36" s="1"/>
  <c r="K42" i="36"/>
  <c r="K58" i="24"/>
  <c r="K50" i="24"/>
  <c r="E7" i="22"/>
  <c r="H7" i="22" s="1"/>
  <c r="K41" i="22"/>
  <c r="P32" i="22"/>
  <c r="F5" i="31"/>
  <c r="D9" i="31"/>
  <c r="J42" i="31"/>
  <c r="J50" i="31"/>
  <c r="H5" i="16"/>
  <c r="E6" i="16"/>
  <c r="P32" i="36"/>
  <c r="E7" i="36"/>
  <c r="H7" i="36" s="1"/>
  <c r="K41" i="36"/>
  <c r="J40" i="31"/>
  <c r="J48" i="31"/>
  <c r="E9" i="29"/>
  <c r="H5" i="24"/>
  <c r="E9" i="24"/>
  <c r="G5" i="23"/>
  <c r="G6" i="23" s="1"/>
  <c r="E6" i="23"/>
  <c r="K43" i="23"/>
  <c r="K51" i="23"/>
  <c r="K47" i="24"/>
  <c r="K55" i="24"/>
  <c r="K52" i="23"/>
  <c r="K44" i="23"/>
  <c r="L39" i="16" l="1"/>
  <c r="K35" i="22"/>
  <c r="K35" i="36"/>
  <c r="K29" i="31"/>
  <c r="O29" i="31" s="1"/>
  <c r="L32" i="23"/>
  <c r="L36" i="24"/>
  <c r="L47" i="16"/>
  <c r="L52" i="16"/>
  <c r="J5" i="16" s="1"/>
  <c r="J6" i="16" s="1"/>
  <c r="K54" i="22"/>
  <c r="K46" i="22"/>
  <c r="K48" i="31"/>
  <c r="H5" i="31" s="1"/>
  <c r="I5" i="31" s="1"/>
  <c r="F23" i="5" s="1"/>
  <c r="K40" i="31"/>
  <c r="H5" i="36"/>
  <c r="E9" i="36"/>
  <c r="H6" i="16"/>
  <c r="K47" i="36"/>
  <c r="K55" i="36"/>
  <c r="H5" i="22"/>
  <c r="E9" i="22"/>
  <c r="L55" i="24"/>
  <c r="J5" i="24" s="1"/>
  <c r="K5" i="24" s="1"/>
  <c r="Y23" i="5" s="1"/>
  <c r="L47" i="24"/>
  <c r="L50" i="24"/>
  <c r="L58" i="24"/>
  <c r="J8" i="24" s="1"/>
  <c r="K8" i="24" s="1"/>
  <c r="J55" i="31"/>
  <c r="F9" i="31"/>
  <c r="K60" i="24"/>
  <c r="L48" i="24"/>
  <c r="L56" i="24"/>
  <c r="J6" i="24" s="1"/>
  <c r="K6" i="24" s="1"/>
  <c r="K57" i="22"/>
  <c r="K49" i="22"/>
  <c r="K47" i="22"/>
  <c r="K55" i="22"/>
  <c r="H9" i="24"/>
  <c r="L54" i="23"/>
  <c r="L46" i="23"/>
  <c r="L43" i="23"/>
  <c r="L51" i="23"/>
  <c r="K48" i="36"/>
  <c r="K56" i="36"/>
  <c r="K49" i="31"/>
  <c r="H6" i="31" s="1"/>
  <c r="I6" i="31" s="1"/>
  <c r="K41" i="31"/>
  <c r="L57" i="24"/>
  <c r="J7" i="24" s="1"/>
  <c r="K7" i="24" s="1"/>
  <c r="L49" i="24"/>
  <c r="L52" i="23"/>
  <c r="L44" i="23"/>
  <c r="K56" i="22"/>
  <c r="K48" i="22"/>
  <c r="K54" i="16"/>
  <c r="L53" i="23"/>
  <c r="L45" i="23"/>
  <c r="K51" i="31"/>
  <c r="H8" i="31" s="1"/>
  <c r="I8" i="31" s="1"/>
  <c r="K43" i="31"/>
  <c r="K62" i="24"/>
  <c r="J53" i="31"/>
  <c r="K58" i="23"/>
  <c r="K54" i="36"/>
  <c r="K46" i="36"/>
  <c r="K57" i="36"/>
  <c r="K49" i="36"/>
  <c r="K56" i="23"/>
  <c r="K42" i="31"/>
  <c r="K50" i="31"/>
  <c r="H7" i="31" s="1"/>
  <c r="I7" i="31" s="1"/>
  <c r="K56" i="16"/>
  <c r="L35" i="22" l="1"/>
  <c r="AA26" i="5"/>
  <c r="E18" i="20" s="1"/>
  <c r="F26" i="5"/>
  <c r="AA25" i="5"/>
  <c r="E17" i="20" s="1"/>
  <c r="F25" i="5"/>
  <c r="Y25" i="5"/>
  <c r="AA24" i="5"/>
  <c r="E16" i="20" s="1"/>
  <c r="F24" i="5"/>
  <c r="Y26" i="5"/>
  <c r="P36" i="24"/>
  <c r="L35" i="36"/>
  <c r="K5" i="16"/>
  <c r="K6" i="16" s="1"/>
  <c r="M48" i="24"/>
  <c r="L6" i="24" s="1"/>
  <c r="K59" i="36"/>
  <c r="P57" i="24"/>
  <c r="P55" i="24"/>
  <c r="I5" i="23"/>
  <c r="J5" i="23" s="1"/>
  <c r="AA23" i="5"/>
  <c r="I9" i="31"/>
  <c r="L56" i="23"/>
  <c r="L49" i="22"/>
  <c r="L57" i="22"/>
  <c r="P57" i="22" s="1"/>
  <c r="H9" i="22"/>
  <c r="L40" i="31"/>
  <c r="J5" i="31" s="1"/>
  <c r="L48" i="31"/>
  <c r="O48" i="31" s="1"/>
  <c r="L55" i="36"/>
  <c r="J6" i="36" s="1"/>
  <c r="K6" i="36" s="1"/>
  <c r="AC24" i="5" s="1"/>
  <c r="L47" i="36"/>
  <c r="M54" i="23"/>
  <c r="P54" i="23" s="1"/>
  <c r="M46" i="23"/>
  <c r="J52" i="31"/>
  <c r="K55" i="31"/>
  <c r="K59" i="22"/>
  <c r="K61" i="36"/>
  <c r="M53" i="23"/>
  <c r="P53" i="23" s="1"/>
  <c r="M45" i="23"/>
  <c r="M44" i="23"/>
  <c r="M52" i="23"/>
  <c r="P52" i="23" s="1"/>
  <c r="K55" i="23"/>
  <c r="L58" i="23"/>
  <c r="K9" i="24"/>
  <c r="L54" i="22"/>
  <c r="J5" i="22" s="1"/>
  <c r="L46" i="22"/>
  <c r="L43" i="31"/>
  <c r="J8" i="31" s="1"/>
  <c r="L51" i="31"/>
  <c r="O51" i="31" s="1"/>
  <c r="L54" i="36"/>
  <c r="J5" i="36" s="1"/>
  <c r="L46" i="36"/>
  <c r="M49" i="24"/>
  <c r="L7" i="24" s="1"/>
  <c r="K61" i="22"/>
  <c r="K59" i="24"/>
  <c r="L62" i="24"/>
  <c r="K53" i="16"/>
  <c r="L56" i="16"/>
  <c r="M50" i="24"/>
  <c r="L8" i="24" s="1"/>
  <c r="M58" i="24"/>
  <c r="M60" i="24" s="1"/>
  <c r="M51" i="23"/>
  <c r="M43" i="23"/>
  <c r="L41" i="31"/>
  <c r="J6" i="31" s="1"/>
  <c r="L49" i="31"/>
  <c r="O49" i="31" s="1"/>
  <c r="L47" i="22"/>
  <c r="L55" i="22"/>
  <c r="P55" i="22" s="1"/>
  <c r="L60" i="24"/>
  <c r="Y24" i="5"/>
  <c r="L50" i="31"/>
  <c r="O50" i="31" s="1"/>
  <c r="L42" i="31"/>
  <c r="J7" i="31" s="1"/>
  <c r="M47" i="24"/>
  <c r="L5" i="24" s="1"/>
  <c r="H9" i="36"/>
  <c r="P39" i="16"/>
  <c r="L54" i="16"/>
  <c r="H9" i="31"/>
  <c r="P32" i="23"/>
  <c r="L48" i="22"/>
  <c r="L56" i="22"/>
  <c r="J7" i="22" s="1"/>
  <c r="K7" i="22" s="1"/>
  <c r="X25" i="5" s="1"/>
  <c r="J9" i="24"/>
  <c r="P56" i="24"/>
  <c r="L57" i="36"/>
  <c r="P57" i="36" s="1"/>
  <c r="L49" i="36"/>
  <c r="L48" i="36"/>
  <c r="L56" i="36"/>
  <c r="J7" i="36" s="1"/>
  <c r="K7" i="36" s="1"/>
  <c r="K53" i="31"/>
  <c r="M47" i="16"/>
  <c r="M52" i="16"/>
  <c r="C25" i="5" l="1"/>
  <c r="J7" i="5" s="1"/>
  <c r="K10" i="16"/>
  <c r="E15" i="20"/>
  <c r="K9" i="16"/>
  <c r="K11" i="16"/>
  <c r="K8" i="16"/>
  <c r="T23" i="5" s="1"/>
  <c r="L5" i="16"/>
  <c r="J8" i="22"/>
  <c r="K8" i="22" s="1"/>
  <c r="X26" i="5" s="1"/>
  <c r="M49" i="36"/>
  <c r="P55" i="36"/>
  <c r="M47" i="22"/>
  <c r="M46" i="22"/>
  <c r="P56" i="22"/>
  <c r="I6" i="23"/>
  <c r="M48" i="22"/>
  <c r="L7" i="22" s="1"/>
  <c r="M49" i="22"/>
  <c r="P54" i="22"/>
  <c r="M46" i="36"/>
  <c r="M47" i="36"/>
  <c r="L6" i="36" s="1"/>
  <c r="M54" i="16"/>
  <c r="P52" i="16"/>
  <c r="P54" i="36"/>
  <c r="C17" i="20"/>
  <c r="M56" i="23"/>
  <c r="L61" i="22"/>
  <c r="K58" i="22"/>
  <c r="L59" i="22"/>
  <c r="C15" i="20"/>
  <c r="P35" i="22"/>
  <c r="J8" i="36"/>
  <c r="K8" i="36" s="1"/>
  <c r="L53" i="31"/>
  <c r="K5" i="23"/>
  <c r="J10" i="23"/>
  <c r="J6" i="23"/>
  <c r="J11" i="23"/>
  <c r="J8" i="23"/>
  <c r="J9" i="23"/>
  <c r="L59" i="24"/>
  <c r="M62" i="24"/>
  <c r="M59" i="24" s="1"/>
  <c r="K58" i="36"/>
  <c r="L61" i="36"/>
  <c r="M58" i="23"/>
  <c r="M55" i="23" s="1"/>
  <c r="L55" i="23"/>
  <c r="K52" i="31"/>
  <c r="L55" i="31"/>
  <c r="L52" i="31" s="1"/>
  <c r="C16" i="20"/>
  <c r="P58" i="24"/>
  <c r="C18" i="20"/>
  <c r="K5" i="22"/>
  <c r="X23" i="5" s="1"/>
  <c r="K5" i="36"/>
  <c r="AC23" i="5" s="1"/>
  <c r="P56" i="36"/>
  <c r="AC25" i="5"/>
  <c r="M48" i="36"/>
  <c r="L7" i="36" s="1"/>
  <c r="B17" i="20"/>
  <c r="P51" i="23"/>
  <c r="J6" i="22"/>
  <c r="K6" i="22" s="1"/>
  <c r="X24" i="5" s="1"/>
  <c r="L53" i="16"/>
  <c r="M56" i="16"/>
  <c r="M53" i="16" s="1"/>
  <c r="P35" i="36"/>
  <c r="L59" i="36"/>
  <c r="C23" i="5" l="1"/>
  <c r="J5" i="5" s="1"/>
  <c r="D23" i="5"/>
  <c r="K5" i="5" s="1"/>
  <c r="C6" i="20"/>
  <c r="C26" i="5"/>
  <c r="J8" i="5" s="1"/>
  <c r="T26" i="5"/>
  <c r="D26" i="5"/>
  <c r="D8" i="5" s="1"/>
  <c r="U24" i="5"/>
  <c r="T24" i="5"/>
  <c r="C7" i="20" s="1"/>
  <c r="D24" i="5"/>
  <c r="K6" i="5" s="1"/>
  <c r="U26" i="5"/>
  <c r="T25" i="5"/>
  <c r="D25" i="5"/>
  <c r="K7" i="5" s="1"/>
  <c r="C24" i="5"/>
  <c r="J6" i="5" s="1"/>
  <c r="U25" i="5"/>
  <c r="K12" i="16"/>
  <c r="L8" i="22"/>
  <c r="B8" i="20"/>
  <c r="B9" i="20"/>
  <c r="E9" i="20"/>
  <c r="B7" i="20"/>
  <c r="E7" i="20"/>
  <c r="J9" i="22"/>
  <c r="U23" i="5"/>
  <c r="J12" i="23"/>
  <c r="L58" i="22"/>
  <c r="M61" i="22"/>
  <c r="M58" i="22" s="1"/>
  <c r="L6" i="22"/>
  <c r="L5" i="22"/>
  <c r="K9" i="22"/>
  <c r="B25" i="20"/>
  <c r="J9" i="36"/>
  <c r="E8" i="20"/>
  <c r="K9" i="36"/>
  <c r="L5" i="36"/>
  <c r="AC26" i="5"/>
  <c r="L8" i="36"/>
  <c r="B18" i="20"/>
  <c r="L58" i="36"/>
  <c r="M61" i="36"/>
  <c r="M58" i="36" s="1"/>
  <c r="E6" i="20"/>
  <c r="B26" i="20"/>
  <c r="D5" i="5" l="1"/>
  <c r="T31" i="5"/>
  <c r="T30" i="5"/>
  <c r="C34" i="20"/>
  <c r="C40" i="20" s="1"/>
  <c r="C9" i="20"/>
  <c r="C8" i="20"/>
  <c r="D7" i="5"/>
  <c r="D6" i="5"/>
  <c r="K8" i="5"/>
  <c r="T32" i="5" s="1"/>
  <c r="T29" i="5"/>
  <c r="S30" i="5"/>
  <c r="F26" i="20"/>
  <c r="E33" i="20"/>
  <c r="E35" i="20"/>
  <c r="F25" i="20"/>
  <c r="C33" i="20"/>
  <c r="C39" i="20" s="1"/>
  <c r="E34" i="20"/>
  <c r="E36" i="20"/>
  <c r="C5" i="5"/>
  <c r="M6" i="5"/>
  <c r="V30" i="5" s="1"/>
  <c r="F6" i="5"/>
  <c r="C6" i="5"/>
  <c r="D6" i="20"/>
  <c r="B35" i="20"/>
  <c r="B15" i="20"/>
  <c r="D9" i="20"/>
  <c r="D7" i="20"/>
  <c r="B27" i="20"/>
  <c r="B16" i="20"/>
  <c r="F5" i="5"/>
  <c r="M5" i="5"/>
  <c r="V29" i="5" s="1"/>
  <c r="F8" i="5"/>
  <c r="M8" i="5"/>
  <c r="V32" i="5" s="1"/>
  <c r="B24" i="20"/>
  <c r="D8" i="20"/>
  <c r="M7" i="5"/>
  <c r="V31" i="5" s="1"/>
  <c r="F7" i="5"/>
  <c r="C36" i="20" l="1"/>
  <c r="C42" i="20" s="1"/>
  <c r="C35" i="20"/>
  <c r="C41" i="20" s="1"/>
  <c r="S31" i="5"/>
  <c r="F24" i="20"/>
  <c r="F27" i="20"/>
  <c r="S32" i="5"/>
  <c r="C7" i="5"/>
  <c r="C8" i="5"/>
  <c r="B34" i="20"/>
  <c r="F7" i="20"/>
  <c r="F8" i="20"/>
  <c r="S29" i="5"/>
  <c r="B36" i="20"/>
  <c r="F9" i="20"/>
  <c r="B6" i="20"/>
  <c r="E39" i="20"/>
  <c r="E40" i="20"/>
  <c r="E41" i="20"/>
  <c r="E42" i="20"/>
  <c r="F6" i="20" l="1"/>
  <c r="B41" i="20"/>
  <c r="B40" i="20"/>
  <c r="B42" i="20"/>
  <c r="B33" i="20"/>
  <c r="B39" i="20" s="1"/>
  <c r="F8" i="29" l="1"/>
  <c r="G8" i="29" s="1"/>
  <c r="E43" i="29"/>
  <c r="E41" i="29"/>
  <c r="F6" i="29"/>
  <c r="G6" i="29" s="1"/>
  <c r="F4" i="29"/>
  <c r="E42" i="29" l="1"/>
  <c r="F7" i="29"/>
  <c r="G7" i="29" s="1"/>
  <c r="F49" i="29"/>
  <c r="F41" i="29"/>
  <c r="E39" i="29"/>
  <c r="G4" i="29"/>
  <c r="F51" i="29"/>
  <c r="F43" i="29"/>
  <c r="G51" i="29" l="1"/>
  <c r="G43" i="29"/>
  <c r="G41" i="29"/>
  <c r="G49" i="29"/>
  <c r="F39" i="29"/>
  <c r="F47" i="29"/>
  <c r="F50" i="29"/>
  <c r="F42" i="29"/>
  <c r="H41" i="29" l="1"/>
  <c r="F5" i="29"/>
  <c r="H49" i="29"/>
  <c r="G42" i="29"/>
  <c r="G50" i="29"/>
  <c r="G39" i="29"/>
  <c r="G47" i="29"/>
  <c r="H43" i="29"/>
  <c r="H51" i="29"/>
  <c r="I41" i="29" l="1"/>
  <c r="I51" i="29"/>
  <c r="I49" i="29"/>
  <c r="H50" i="29"/>
  <c r="H42" i="29"/>
  <c r="H39" i="29"/>
  <c r="H47" i="29"/>
  <c r="G5" i="29"/>
  <c r="F9" i="29"/>
  <c r="I43" i="29"/>
  <c r="E40" i="29"/>
  <c r="E55" i="29"/>
  <c r="J41" i="29" l="1"/>
  <c r="J49" i="29"/>
  <c r="I42" i="29"/>
  <c r="I50" i="29"/>
  <c r="I39" i="29"/>
  <c r="I47" i="29"/>
  <c r="F48" i="29"/>
  <c r="F53" i="29" s="1"/>
  <c r="F40" i="29"/>
  <c r="E52" i="29"/>
  <c r="J51" i="29"/>
  <c r="J43" i="29"/>
  <c r="G9" i="29"/>
  <c r="K41" i="29" l="1"/>
  <c r="F55" i="29"/>
  <c r="F52" i="29" s="1"/>
  <c r="K49" i="29"/>
  <c r="K43" i="29"/>
  <c r="K51" i="29"/>
  <c r="J39" i="29"/>
  <c r="J47" i="29"/>
  <c r="G48" i="29"/>
  <c r="G53" i="29" s="1"/>
  <c r="G40" i="29"/>
  <c r="J42" i="29"/>
  <c r="J50" i="29"/>
  <c r="L49" i="29" l="1"/>
  <c r="I6" i="29" s="1"/>
  <c r="J6" i="29" s="1"/>
  <c r="L41" i="29"/>
  <c r="H48" i="29"/>
  <c r="H53" i="29" s="1"/>
  <c r="H40" i="29"/>
  <c r="K47" i="29"/>
  <c r="K39" i="29"/>
  <c r="K42" i="29"/>
  <c r="K50" i="29"/>
  <c r="G55" i="29"/>
  <c r="L43" i="29"/>
  <c r="L51" i="29"/>
  <c r="I8" i="29" s="1"/>
  <c r="J8" i="29" s="1"/>
  <c r="E24" i="5" l="1"/>
  <c r="M41" i="29"/>
  <c r="K6" i="29" s="1"/>
  <c r="M49" i="29"/>
  <c r="P49" i="29" s="1"/>
  <c r="E26" i="5"/>
  <c r="I48" i="29"/>
  <c r="I53" i="29" s="1"/>
  <c r="I40" i="29"/>
  <c r="G52" i="29"/>
  <c r="H55" i="29"/>
  <c r="L42" i="29"/>
  <c r="L50" i="29"/>
  <c r="I7" i="29" s="1"/>
  <c r="J7" i="29" s="1"/>
  <c r="Z25" i="5" s="1"/>
  <c r="L47" i="29"/>
  <c r="I4" i="29" s="1"/>
  <c r="L39" i="29"/>
  <c r="M43" i="29"/>
  <c r="K8" i="29" s="1"/>
  <c r="M51" i="29"/>
  <c r="P51" i="29" s="1"/>
  <c r="E25" i="5" l="1"/>
  <c r="M42" i="29"/>
  <c r="K7" i="29" s="1"/>
  <c r="M50" i="29"/>
  <c r="P50" i="29" s="1"/>
  <c r="H52" i="29"/>
  <c r="I55" i="29"/>
  <c r="J40" i="29"/>
  <c r="J48" i="29"/>
  <c r="J53" i="29" s="1"/>
  <c r="M47" i="29"/>
  <c r="P47" i="29" s="1"/>
  <c r="M39" i="29"/>
  <c r="J4" i="29"/>
  <c r="Z22" i="5" s="1"/>
  <c r="K29" i="29" l="1"/>
  <c r="I52" i="29"/>
  <c r="J55" i="29"/>
  <c r="K4" i="29"/>
  <c r="E22" i="5"/>
  <c r="K48" i="29"/>
  <c r="K40" i="29"/>
  <c r="L29" i="29" l="1"/>
  <c r="L48" i="29"/>
  <c r="I5" i="29" s="1"/>
  <c r="L40" i="29"/>
  <c r="J52" i="29"/>
  <c r="K55" i="29"/>
  <c r="K53" i="29"/>
  <c r="L53" i="29" l="1"/>
  <c r="P29" i="29"/>
  <c r="M40" i="29"/>
  <c r="M48" i="29"/>
  <c r="J5" i="29"/>
  <c r="I9" i="29"/>
  <c r="L55" i="29"/>
  <c r="K52" i="29"/>
  <c r="M53" i="29" l="1"/>
  <c r="P48" i="29"/>
  <c r="L52" i="29"/>
  <c r="M55" i="29"/>
  <c r="M52" i="29" s="1"/>
  <c r="K5" i="29"/>
  <c r="E23" i="5"/>
  <c r="J9" i="29"/>
  <c r="B139" i="28" l="1"/>
  <c r="F139" i="28" l="1"/>
  <c r="B7" i="28"/>
  <c r="B146" i="28"/>
  <c r="B145" i="28"/>
  <c r="B144" i="28"/>
  <c r="B143" i="28"/>
  <c r="F145" i="28" l="1"/>
  <c r="G145" i="28" s="1"/>
  <c r="G13" i="28" s="1"/>
  <c r="B13" i="28"/>
  <c r="F13" i="28" s="1"/>
  <c r="F143" i="28"/>
  <c r="B147" i="28"/>
  <c r="B140" i="28" s="1"/>
  <c r="B11" i="28"/>
  <c r="F146" i="28"/>
  <c r="G146" i="28" s="1"/>
  <c r="G14" i="28" s="1"/>
  <c r="B14" i="28"/>
  <c r="F14" i="28" s="1"/>
  <c r="F144" i="28"/>
  <c r="G144" i="28" s="1"/>
  <c r="G12" i="28" s="1"/>
  <c r="B12" i="28"/>
  <c r="F12" i="28" s="1"/>
  <c r="F7" i="28"/>
  <c r="G139" i="28"/>
  <c r="G7" i="28" l="1"/>
  <c r="E17" i="5"/>
  <c r="Z17" i="5"/>
  <c r="F11" i="28"/>
  <c r="F15" i="28" s="1"/>
  <c r="B8" i="28"/>
  <c r="B15" i="28"/>
  <c r="F140" i="28"/>
  <c r="B141" i="28"/>
  <c r="G143" i="28"/>
  <c r="F147" i="28"/>
  <c r="E15" i="5"/>
  <c r="Z15" i="5"/>
  <c r="E16" i="5"/>
  <c r="Z16" i="5"/>
  <c r="F8" i="28" l="1"/>
  <c r="F9" i="28" s="1"/>
  <c r="B9" i="28"/>
  <c r="L6" i="5"/>
  <c r="U30" i="5" s="1"/>
  <c r="E6" i="5"/>
  <c r="H6" i="5" s="1"/>
  <c r="N6" i="5" s="1"/>
  <c r="E8" i="5"/>
  <c r="H8" i="5" s="1"/>
  <c r="L8" i="5"/>
  <c r="U32" i="5" s="1"/>
  <c r="G140" i="28"/>
  <c r="G141" i="28" s="1"/>
  <c r="F141" i="28"/>
  <c r="E7" i="5"/>
  <c r="H7" i="5" s="1"/>
  <c r="L7" i="5"/>
  <c r="U31" i="5" s="1"/>
  <c r="G147" i="28"/>
  <c r="G11" i="28"/>
  <c r="AG17" i="5"/>
  <c r="D18" i="20"/>
  <c r="AG16" i="5"/>
  <c r="D17" i="20"/>
  <c r="E13" i="5"/>
  <c r="Z13" i="5"/>
  <c r="D16" i="20"/>
  <c r="AG15" i="5"/>
  <c r="N7" i="5" l="1"/>
  <c r="N8" i="5"/>
  <c r="F16" i="20"/>
  <c r="D34" i="20"/>
  <c r="G8" i="28"/>
  <c r="G9" i="28" s="1"/>
  <c r="G15" i="28"/>
  <c r="E14" i="5"/>
  <c r="Z14" i="5"/>
  <c r="E4" i="5"/>
  <c r="H4" i="5" s="1"/>
  <c r="L4" i="5"/>
  <c r="U28" i="5" s="1"/>
  <c r="D36" i="20"/>
  <c r="F18" i="20"/>
  <c r="AG13" i="5"/>
  <c r="D14" i="20"/>
  <c r="D35" i="20"/>
  <c r="F17" i="20"/>
  <c r="F36" i="20" l="1"/>
  <c r="G36" i="20" s="1"/>
  <c r="D42" i="20"/>
  <c r="D40" i="20"/>
  <c r="F34" i="20"/>
  <c r="G34" i="20" s="1"/>
  <c r="D32" i="20"/>
  <c r="F14" i="20"/>
  <c r="N4" i="5"/>
  <c r="AG14" i="5"/>
  <c r="D15" i="20"/>
  <c r="L5" i="5"/>
  <c r="U29" i="5" s="1"/>
  <c r="E5" i="5"/>
  <c r="H5" i="5" s="1"/>
  <c r="D41" i="20"/>
  <c r="F35" i="20"/>
  <c r="G35" i="20" s="1"/>
  <c r="N5" i="5" l="1"/>
  <c r="F15" i="20"/>
  <c r="D33" i="20"/>
  <c r="D38" i="20"/>
  <c r="F32" i="20"/>
  <c r="G32" i="20" s="1"/>
  <c r="D39" i="20" l="1"/>
  <c r="F33" i="20"/>
  <c r="G33" i="20" s="1"/>
</calcChain>
</file>

<file path=xl/sharedStrings.xml><?xml version="1.0" encoding="utf-8"?>
<sst xmlns="http://schemas.openxmlformats.org/spreadsheetml/2006/main" count="1045" uniqueCount="309">
  <si>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</si>
  <si>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</si>
  <si>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</si>
  <si>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</si>
  <si>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</si>
  <si>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</si>
  <si>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</si>
  <si>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</si>
  <si>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</si>
  <si>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</si>
  <si>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</si>
  <si>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</si>
  <si>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</si>
  <si>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</si>
  <si>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</si>
  <si>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</si>
  <si>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</si>
  <si>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</si>
  <si>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</si>
  <si>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</si>
  <si>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</si>
  <si>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</si>
  <si>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</si>
  <si>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</si>
  <si>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</si>
  <si>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</si>
  <si>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</si>
  <si>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</si>
  <si>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</si>
  <si>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</si>
  <si>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</si>
  <si>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</si>
  <si>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</si>
  <si>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</si>
  <si>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</si>
  <si>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</si>
  <si>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</si>
  <si>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</si>
  <si>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</si>
  <si>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</si>
  <si>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</si>
  <si>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</si>
  <si>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</si>
  <si>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</si>
  <si>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</si>
  <si>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</si>
  <si>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</si>
  <si>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</si>
  <si>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</si>
  <si>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</si>
  <si>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</si>
  <si>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</si>
  <si>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</si>
  <si>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</si>
  <si>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Throughput Disincentive TD Reconciliation (TDR) Calculation</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</si>
  <si>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</si>
  <si>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</si>
  <si>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</si>
  <si>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</si>
  <si>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</si>
  <si>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</si>
  <si>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</si>
  <si>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</si>
  <si>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</si>
  <si>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</si>
  <si>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</si>
  <si>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</si>
  <si>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</si>
  <si>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</si>
  <si>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</si>
  <si>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</si>
  <si>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</si>
  <si>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</si>
  <si>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</si>
  <si>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</si>
  <si>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2. Carrying Costs on OA</t>
  </si>
  <si>
    <t>1. Actual/Forecasted Earnings Opportunity</t>
  </si>
  <si>
    <t>2. Actual Revenues - EO Only</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</si>
  <si>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</si>
  <si>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</si>
  <si>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</si>
  <si>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</si>
  <si>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</si>
  <si>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</si>
  <si>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</si>
  <si>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</si>
  <si>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</si>
  <si>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</si>
  <si>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</si>
  <si>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</si>
  <si>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</si>
  <si>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</si>
  <si>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</si>
  <si>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</si>
  <si>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</si>
  <si>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</si>
  <si>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</si>
  <si>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</si>
  <si>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</si>
  <si>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</si>
  <si>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</si>
  <si>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</si>
  <si>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</si>
  <si>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</si>
  <si>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</si>
  <si>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</si>
  <si>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</si>
  <si>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</si>
  <si>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</si>
  <si>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</si>
  <si>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</si>
  <si>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</si>
  <si>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</si>
  <si>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</si>
  <si>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</si>
  <si>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</si>
  <si>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</si>
  <si>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</si>
  <si>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</si>
  <si>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</si>
  <si>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</si>
  <si>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</si>
  <si>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</si>
  <si>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</si>
  <si>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</si>
  <si>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</si>
  <si>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</si>
  <si>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</si>
  <si>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</si>
  <si>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</si>
  <si>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</si>
  <si>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</si>
  <si>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</si>
  <si>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</si>
  <si>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</si>
  <si>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</si>
  <si>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</si>
  <si>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</si>
  <si>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</si>
  <si>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</si>
  <si>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</si>
  <si>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</si>
  <si>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</si>
  <si>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</si>
  <si>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</si>
  <si>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</si>
  <si>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</si>
  <si>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</si>
  <si>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</si>
  <si>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</si>
  <si>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</si>
  <si>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</si>
  <si>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</si>
  <si>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</si>
  <si>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</si>
  <si>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</si>
  <si>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</si>
  <si>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1. &amp; 3. Actual monthly Ordered Adjustments - Source: None</t>
  </si>
  <si>
    <t>Cycle 3 Ordered Adjustment (OA) Calculation</t>
  </si>
  <si>
    <t>Cycle 3 Ordered Adjustments Reconciliation (OAR) Calculation</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</si>
  <si>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</si>
  <si>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</si>
  <si>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</si>
  <si>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</si>
  <si>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</si>
  <si>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</si>
  <si>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Cycle 3 - Program Year 2 (including EO TD Adjustments through December 2022) (Amortize August 2023-July 2024)</t>
  </si>
  <si>
    <t>Cycle 2 - EO TD Adjustments December 2022 (Amortize August 2023-July 2025)</t>
  </si>
  <si>
    <t>7. Cycle 2 kWh Participation - Source: Metro Cycle 2 Monthly TD Calc 122022 01092023.xlsx</t>
  </si>
  <si>
    <t>8. Cycle 2 kWh Participation - Source: Metro Cycle 2 Monthly TD Calc 122022 01092023.xlsx</t>
  </si>
  <si>
    <t>3. Actual/Forecasted EO Amortization - Source:  EO Cycle 2 tab column G divided by remaining months on EO Cycle 2 tab.</t>
  </si>
  <si>
    <t>3. Actual/Forecasted EO Amortization - Source:  EO Cycle 3 tab column G divided by remaining months on EO Cycle 3 tab.</t>
  </si>
  <si>
    <t>NOA = Net Ordered Adjustment for the upcoming EP plus the succeeding EP (OA + OAR)</t>
  </si>
  <si>
    <t xml:space="preserve">PE = Projected Energy, in kWh to be delivered during the upcoming RP plus the succeeding RP </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</si>
  <si>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</si>
  <si>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</si>
  <si>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</si>
  <si>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</si>
  <si>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</si>
  <si>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</si>
  <si>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</si>
  <si>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</si>
  <si>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</si>
  <si>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PTD Cycle 3</t>
  </si>
  <si>
    <t>TDR Cycle 2</t>
  </si>
  <si>
    <t>TDR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</si>
  <si>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</si>
  <si>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</si>
  <si>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</si>
  <si>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</si>
  <si>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</si>
  <si>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3</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</si>
  <si>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</si>
  <si>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</si>
  <si>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</si>
  <si>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</si>
  <si>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</si>
  <si>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</si>
  <si>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</si>
  <si>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1. Ordered Adjustment - Program Costs - Source: None</t>
  </si>
  <si>
    <t>2. Ordered Adjustment - Throughput Disincentive - Source: None</t>
  </si>
  <si>
    <t>3. Carrying Costs on OA - Source: None</t>
  </si>
  <si>
    <t>3. Actual kWh Sales Impact - Source:  None, TD reset effective December 2022
    Forecasted kWh Sales Impact - Source: None</t>
  </si>
  <si>
    <t>1. &amp; 4. Actual monthly TD - Source: None, TD reset effective December 2022
    Forecasted monthly TD - Source: None, TD reset effective December 2022</t>
  </si>
  <si>
    <t>2. EO TD Ex Post Gross Adjustment -  Source: TD Model Metro PY1-3 122022.xlsx, TD Model PY4 122022.xlsx. These are final amounts as reported in 6/1/2023 filing.</t>
  </si>
  <si>
    <t>3. EO TD NTG Adjustment -  Source: TD Model Metro PY1-3 122022.xlsx, TD Model PY4 122022.xlsx. Theses are final amounts as reported in 6/1/2023 filing.</t>
  </si>
  <si>
    <t>4. Carrying Costs @ AFUDC Rate -  Source: TD Model Metro PY1-3 122022.xlsx, TD Model PY4 122022.xlsx. These are final amounts as reported in 6/1/2023 filing.</t>
  </si>
  <si>
    <t>Cycle 3 - Program Year 1 EO TD Adjustments December 2022 - April 2023 (Amortize February 2024 - January 2025)</t>
  </si>
  <si>
    <t>Cycle 3 - Program Year 3 (including EO TD Adjustments through October 2023) (Amortize February 2024 -January 2025)</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</si>
  <si>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</si>
  <si>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For next rider filing, reversal of Forecast to input in column C</t>
  </si>
  <si>
    <t>PPC-cycle 4</t>
  </si>
  <si>
    <t>PTD-cycle 4</t>
  </si>
  <si>
    <t>EO-cycle 4</t>
  </si>
  <si>
    <t>OA-cycle 4</t>
  </si>
  <si>
    <t>Cycle 4</t>
  </si>
  <si>
    <t>PCR-cycle 4</t>
  </si>
  <si>
    <t>TDR-cycle 4</t>
  </si>
  <si>
    <t>EOR-cycle 4</t>
  </si>
  <si>
    <t>OAR-cycle 4</t>
  </si>
  <si>
    <t>PCR Cycle 4</t>
  </si>
  <si>
    <t>Cycle 3 - Program Year 3 EO TD Adjustments November 2023 through April 2024 (Amortize August 2024 - July 2025)</t>
  </si>
  <si>
    <t>Cycle 3 - Program Year 4 (Amortize August 2024 -July 2025)</t>
  </si>
  <si>
    <t>Cycle 4 Program Costs Reconciliation (PCR) Calculation</t>
  </si>
  <si>
    <t>4. Total monthly interest - Source: calculated</t>
  </si>
  <si>
    <t>5. Total monthly interest - Source: calculated</t>
  </si>
  <si>
    <t>2. Forecasted Throughput Disincentive -Sum of 3., 4., and 5.</t>
  </si>
  <si>
    <t>2. Forecasted program costs by customer class - Source: Sum of 3.</t>
  </si>
  <si>
    <t>Cycle 4 Projected Throughput Disincentive (PTD) TD Calculation</t>
  </si>
  <si>
    <t>Cycle 4 Projected Program Costs (PPC) Calculation</t>
  </si>
  <si>
    <t>Cycle 4 - Total</t>
  </si>
  <si>
    <t>Cycle 4 Earnings Opportunity (EO) Calculation</t>
  </si>
  <si>
    <t xml:space="preserve">2. EO TD Ex Post Gross Adjustment -  Source: </t>
  </si>
  <si>
    <t xml:space="preserve">3. EO TD NTG Adjustment -  Source: </t>
  </si>
  <si>
    <t xml:space="preserve">4. Carrying Costs @ AFUDC Rate -  Source: </t>
  </si>
  <si>
    <t>PPC Cycle 4</t>
  </si>
  <si>
    <t>PTD Cycle 4</t>
  </si>
  <si>
    <t>The Company creates a forecast of program costs and throughput disincentive, among other items, based on modeled assumptions used for the MEEIA 4 filing (EO-2023-0369). Program costs by customer class is summarized from that forecast. Projected billed kWh sales by customer class (net of opt outs) are extracted from the Company budget.</t>
  </si>
  <si>
    <t>Cycle 3 - Program Year 3 EO TD Adjustments May 2024 through Oct 2024 (Amortize February 2025 - January 2026)</t>
  </si>
  <si>
    <t>2. Forecasted Throughput Disincentive -Sum of 3.</t>
  </si>
  <si>
    <t>Projections for Cycle 3 July 2025 - June 2026 DSIM</t>
  </si>
  <si>
    <t>Projections for Cycle 4 July 2025 - June 2026 DSIM</t>
  </si>
  <si>
    <t>3. Cycle 4 - July 2025 - June 2026</t>
  </si>
  <si>
    <t>Cumulative Over/Under Carryover From 12/01/2024 Filing</t>
  </si>
  <si>
    <t>Reverse November 2024 - January 2025 Forecast From 12/01/2024 Filing</t>
  </si>
  <si>
    <t>3. Actual monthly billed revenues by customer classes: Residential, Small General Service, Medium General Service, Large General Service and Large Power Service (program cost revenues only) - Source: Metro MEEIA 2025 Revenue Analysis.xlsx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</si>
  <si>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2025 Revenue Analysis.xlsx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</si>
  <si>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2025 Revenue Analysis.xlsx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</si>
  <si>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(EO revenues only)  - Source: Metro MEEIA 2025 Revenue Analysis.xlsx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</si>
  <si>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Source: Metro MEEIA 2025 Revenue Analysis.xlsx
Forecasted monthly billed revenues by customer classes: Residential, Small General Service, Medium General Service, Large General Service and Large Power Service (OA revenues only) - Source: calculated = Forecasted billed kWh sales X tariff rate</t>
  </si>
  <si>
    <t>5. Monthly Short-Term Borrowing Rate - Source: Metro ST Borrowing Rates Nov24-Apr25.xlsx</t>
  </si>
  <si>
    <t>6. Monthly Short-Term Borrowing Rate - Source: Metro ST Borrowing Rates Nov24-Apr25.xlsx</t>
  </si>
  <si>
    <t>3. Cycle 3 PY5 Extension- July 2025 - June 2026</t>
  </si>
  <si>
    <t>4. Cycle 3 Extension - July 2025 - June 2026</t>
  </si>
  <si>
    <t>5. Cycle 3 Forecast- July 2025 - June 2026</t>
  </si>
  <si>
    <t>1. Forecasted kWh savings by customer classes: Residential, Small General Service, Medium General Service, Large General Service and Large Power Service - Source: Metro Cycle 3 Monthly TD Calc 032025 03252025.xlsx</t>
  </si>
  <si>
    <t>3. Forecasted Throughput Disincentive - Source: Metro Cycle 3 Monthly TD Calc 032025 03252025.xlsx</t>
  </si>
  <si>
    <t>4. Forecasted Throughput Disincentive - Source: Metro Cycle 3 Monthly TD Calc 032025 03252025.xlsx</t>
  </si>
  <si>
    <t>5. Forecasted Throughput Disincentive - Source: Metro Cycle 3 Monthly TD Calc 032025 03252025.xlsx</t>
  </si>
  <si>
    <t>1. &amp; 4. Actual monthly TD - Source: Metro Cycle 3 Monthly TD Calc 032025 03252025.xlsx
    Forecasted monthly TD  - Source: Metro Cycle 3 Monthly TD Calc 032025 03252025.xlsx</t>
  </si>
  <si>
    <t>3 &amp; 4. Actual kWh Sales Impact and TD - Source: Metro Cycle 3 Monthly TD Calc 032025 03252025.xlsx
    Forecasted kWh Sales Impact and TD - Source: Metro Cycle 3 Monthly TD Calc 032025 03252025.xlsx</t>
  </si>
  <si>
    <t>6. Amortization Over 24 Month Recovery Period - Source: 
- EO TD Adjustments December 2022 Column 5 divided by 24 times 1</t>
  </si>
  <si>
    <t>Cycle 3 - Program Year 5 through April 2025 (Amortize August 2025 -July 2026)</t>
  </si>
  <si>
    <t>2. Actual monthly billed revenues by customer classes: Residential, Small General Service, Medium General Service, Large General Service and Large Power Service (EO revenues only) - Metro MEEIA 2025 Revenue Analysis.xlsx
Forecasted monthly billed revenues by customer classes: Residential, Small General Service, Medium General Service, Large General Service and Large Power Service (EO revenues only) - Source: calculated = Forecasted billed kWh sales X tariff rate</t>
  </si>
  <si>
    <t>Calculation of DSIM Rates by Customer Class Effective August 1, 2025 through July 31, 2026</t>
  </si>
  <si>
    <t>Projected Throughput Disincentive for Cycle 3 for the period July 2025 through June 2026</t>
  </si>
  <si>
    <t>Projected Throughput Disincentive for Cycle 4 for the period July 2025 through June 2026</t>
  </si>
  <si>
    <t>Earnings Opportunity Cycle 2, including EO TD Ex Post Gross and Net to Gross Adjustments (EO TD Adjustments) for the period July 2025 through June 2026</t>
  </si>
  <si>
    <t>Earnings Opportunity Cycle 3, including EO TD Ex Post Gross and Net to Gross Adjustments (EO TD Adjustments) for the period July 2025 through June 2026</t>
  </si>
  <si>
    <t>Ordered Adjustments for Cycle 3 for the period July 2025 through June 2026</t>
  </si>
  <si>
    <t>None - There were no additional Ordered Adjustments for Cycle 3 for the period July 2025 through June 2026</t>
  </si>
  <si>
    <t>Projected Program Costs for Cycle 4 for the period July 2025 through June 2026 and projected billed kWh sales for the period August 2025 through July 2026</t>
  </si>
  <si>
    <t xml:space="preserve">The Company updates a forecast of program costs and throughput disincentive, among other items, based on actual reported results through April 2025 and forecasted results through the remainder of Cycle 3. Throughput Disincentive by customer class is summarized from that forecast. </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</si>
  <si>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April 2025 plus continued amortization of previously reported amounts from prior updates as appropriate.</t>
  </si>
  <si>
    <t>Program Cost Reconciliation for Cycle 3 for the period November 2024 through April 2025 compares the DSIM revenues billed for the Cycle 3 cost components to actual program costs incurred plus the carryforward of under or over recovered Cycle 3 Program Costs.</t>
  </si>
  <si>
    <t>Throughput Disincentive Reconciliation for Cycle 3 for the period November 2024 through April 2025 compares the DSIM revenues billed for the Cycle 3 cost components to calculated Throughput Disincentive for Cycle 3 and the carryforward of under or over recovered Cycle 3 Throughput Disincentive.</t>
  </si>
  <si>
    <t>Earnings Opportunity Reconciliation for Cycle 2 for the period November 2024 through April 2025 compares the DSIM revenues billed for the Cycle 2 cost components to amortization of EO Cycle 2 above and the carryforward of under or over recovered Cycle 2 Earnings Opportunity.</t>
  </si>
  <si>
    <t>Earnings Opportunity Reconciliation for Cycle 3 for the period November 2024 through April 2025 compares the DSIM revenues billed for the Cycle 3 cost components to amortization of EO Cycle 3 above and the carryforward of under or over recovered Cycle 3 Earnings Opportunity.</t>
  </si>
  <si>
    <t>Ordered Adjustments Reconciliation for Cycle 3 for the period November 2024 through April 2025 compares the DSIM revenues billed for the Cycle 3 cost components to the carryforward of under or over recovered Cycle 3 Ordered Adjustments.</t>
  </si>
  <si>
    <t>TDR Cycle 4</t>
  </si>
  <si>
    <t>Throughput Disincentive Reconciliation for Cycle 4 for the period November 2024 through April 2025 compares the DSIM revenues billed for the Cycle 4 cost components to calculated Throughput Disincentive for Cycle 4 and the carryforward of under or over recovered Cycle 4 Throughput Disincentive.</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</si>
  <si>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</si>
  <si>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Program Cost Reconciliation for Cycle 4 for the period November 2024 through April 2025 compares the DSIM revenues billed for the Cycle 4 cost components to actual planning and program costs incurred plus the carryforward of under or over recovered Cycle 4 planning costs.</t>
  </si>
  <si>
    <t xml:space="preserve">The Company updates a forecast of program costs and throughput disincentive, among other items, based on program implementer forecast, when available, or modeled assumptions used for the MEEIA 4 filing (EO-2023-0369). Throughput Disincentive by customer class is summarized from that forecast. </t>
  </si>
  <si>
    <t>EO Cycle 4</t>
  </si>
  <si>
    <t>Earnings Opportunity Cycle 4 calculated for the period July 2025 through June 2026</t>
  </si>
  <si>
    <t>Cycle 3 - Program Year 3 EO TD Adjustments Nov 2024 through Apr 2025 (Amortize August 2025 - July 2026)</t>
  </si>
  <si>
    <t>2. EO TD Ex Post Gross Adjustment -  Source: Metro Cycle 3 PY1 EO TD Adj Calc.xlsx, Metro Cycle 3 PY2 EO TD Adj Calc.xlsx, Metro Cycle 3 PY3 EO TD Adj Calc 2025.xlsx</t>
  </si>
  <si>
    <t>3. EO TD NTG Adjustment -  Source: Metro Cycle 3 PY1 EO TD Adj Calc.xlsx, Metro Cycle 3 PY2 EO TD Adj Calc.xlsx, Metro Cycle 3 PY3 EO TD Adj Calc 2025.xlsx</t>
  </si>
  <si>
    <t>4. Carrying Costs @ AFUDC Rate -  Source: Metro Cycle 3 PY1 EO TD Adj Calc.xlsx, Metro Cycle 3 PY2 EO TD Adj Calc.xlsx, Metro Cycle 3 PY3 EO TD Adj Calc 2025.xlsx</t>
  </si>
  <si>
    <t>6. Amortization Over 12 Month Recovery Period - Source: Column 5
- Program Year 3 EO TD Adjustments November 2023 through April 2024 divided by 12 times 1 month in forecast period
- Program Year 3 EO TD Adjustments May 2024 through October 2024 divided by 12 times 7 months in forecast period
- Program Year 3 EO TD Adjustments November 2024 through April 2025 divided by 12 times 11 months in forecast period
- Program Year 4 through April 2024 divided by 12 times 1 month in forecast period
- Program Year 5 through April 2025 divided by 12 times 11 months in forecast period</t>
  </si>
  <si>
    <t>Cycle 4 Throughput Disincentive TD Reconciliation (TDR) Calculation</t>
  </si>
  <si>
    <t>1. Actual monthly program costs allocated to customer classes: Residential, Small General Service, Medium General Service, Large General Service and Large Power Service - Source: 11 2024 Metro Spend Allocations Worksheet FINAL.xlsx, 12 2024 Metro Spend Allocations Worksheet FINAL.xlsx, 01 2025 Metro C3 Spend Allocations Worksheet FINAL- exclude SI0000_ activity.xlsx, 02 2025 Metro C3 Spend Allocations Worksheet FINAL.xlsx, 03 2025 Metro C3 Spend Allocations Worksheet FINAL.xlsx, 04 2025 Metro C3 Spend Allocations Worksheet FINAL.xlsx
    Forecasted monthly program costsallocated to customer classes: Residential, Small General Service, Medium General Service, Large General Service and Large Power Service - Source: 05 2025 ADM forecast Metro C3 Spend Allocations Worksheet.xlsx</t>
  </si>
  <si>
    <t>1. Actual monthly program costs allocated to customer classes: Residential, Small General Service, Medium General Service, Large General Service and Large Power Service - Source: 012025 C4 Spend (incl EO) Alloc Calc FINAL 05192025.xlsx, 022025 C4 Spend (incl EO) Alloc Calc FINAL 05192025.xlsx, 032025 C4 Spend (incl EO) Alloc Calc FINAL 05192025.xlsx, 042025 C4 Spend (incl EO) Alloc Calc FINAL 05192025.xlsx
    Forecasted monthly program costsallocated to customer classes: Residential, Small General Service, Medium General Service, Large General Service and Large Power Service - Source: EMM MEEIA 4 STIP AND RIDER FORECAST PROGRAM COSTS- 20250527.xlsx</t>
  </si>
  <si>
    <t>3. Forecasted program costs by customer class - Source: EMM MEEIA 4 STIP AND RIDER FORECAST PROGRAM COSTS- 20250527.xlsx</t>
  </si>
  <si>
    <t>3. Forecasted Throughput Disincentive - Source: Missouri Metro C4 Monthly TD Calc incl forecast- 042025 05272025.xlsx</t>
  </si>
  <si>
    <t>1. Forecasted kWh savings by customer classes: Residential, Small General Service, Medium General Service, Large General Service and Large Power Service - Source: Missouri Metro C4 Monthly TD Calc incl forecast- 042025 05272025.xlsx</t>
  </si>
  <si>
    <t>1. &amp; 4. Actual monthly TD - Source: Missouri Metro C4 Monthly TD Calc incl forecast- 042025 05272025.xlsx
    Forecasted monthly TD  - Source: Missouri Metro C4 Monthly TD Calc incl forecast- 042025 05272025.xlsx</t>
  </si>
  <si>
    <t>3 &amp; 4. Actual kWh Sales Impact and TD - Source: Missouri Metro C4 Monthly TD Calc incl forecast- 042025 05272025.xlsx
    Forecasted kWh Sales Impact and TD - Source: Missouri Metro C4 Monthly TD Calc incl forecast- 042025 05272025.xlsx</t>
  </si>
  <si>
    <t xml:space="preserve">1. Total Earnings Opportunity - Source: </t>
  </si>
  <si>
    <t>6. Amortization Over 12 Month Recovery Period - Source: Column 5</t>
  </si>
  <si>
    <t>Cycle 4 - Program Year 1 through April 2026 (Amortize August 2026-July 2027)</t>
  </si>
  <si>
    <t>Cycle 4 - Program Year 2 through April 2027 (Amortize August 2027-July 2028)</t>
  </si>
  <si>
    <t>Cycle 4 - Program Year 3 through April 2028 (Amortize August 2028-July 2029)</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</si>
  <si>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</si>
  <si>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1. Total Earnings Opportunity - Source: Metro EO Calculated Cycle 3 PY1.xlsx, Metro EO Calculated Cycle 3 PY2.xlsx, Metro EO Calculated Cycle 3 PY3.xlsx, Metro EO Calculated Cycle 3 PY4.xlsx, Metro EO Calculated Cycle 3 PY5.xlsb</t>
  </si>
  <si>
    <t>1. Forecasted kWh by  Residential, Small General Service, Medium General Service, Large General Service and Large Power Service (Reduced for Opt-Out) - Source: Billed kWh Budget 2024+- EMM 20250529.xlsx</t>
  </si>
  <si>
    <t>2. Actual monthly kWh billed sales by customer classes: Residential, Small General Service, Medium General Service, Large General Service and Large Power Service (reduced for opt-out) - Source: Metro MEEIA 2025 Revenue Analysis.xlsx
    Forecasted monthly kWh billed sales by customer classes: Residential, Small General Service, Medium General Service, Large General Service and Large Power Service (reduced for opt-out) - Source: Billed kWh Budget 2024+- EMM 20250529.xlsx</t>
  </si>
  <si>
    <t>Evergy Metro, Inc. - DSIM Rider Update Filed 06/02/2025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</si>
</sst>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mmm\-yyyy"/>
    <numFmt numFmtId="179" formatCode="_(&quot;$&quot;* #,##0.00_);_(&quot;$&quot;* \(#,##0.00\);_(&quot;$&quot;* &quot;-&quot;_);_(@_)"/>
  </numFmts>
  <fonts count="5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
      <sz val="11"/>
      <color rgb="FF0000CC"/>
      <name val="Calibri"/>
      <family val="2"/>
      <scheme val="minor"/>
    </font>
    <font>
      <sz val="11"/>
      <color rgb="FFC00000"/>
      <name val="Calibri"/>
      <family val="2"/>
      <scheme val="minor"/>
    </font>
    <font>
      <b/>
      <sz val="11"/>
      <color rgb="FF0000CC"/>
      <name val="Calibri"/>
      <family val="2"/>
      <scheme val="minor"/>
    </font>
    <font>
      <b/>
      <sz val="11"/>
      <color rgb="FFC00000"/>
      <name val="Calibri"/>
      <family val="2"/>
      <scheme val="minor"/>
    </font>
    <font>
      <sz val="11"/>
      <color rgb="FFFF00FF"/>
      <name val="Calibri"/>
      <family val="2"/>
      <scheme val="minor"/>
    </font>
    <font>
      <sz val="11"/>
      <color rgb="FF00B050"/>
      <name val="Calibri"/>
      <family val="2"/>
      <scheme val="minor"/>
    </font>
    <font>
      <sz val="10"/>
      <color theme="7"/>
      <name val="Courier New"/>
      <family val="3"/>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00"/>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73">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165" fontId="5" fillId="0" borderId="58" xfId="6" applyNumberFormat="1" applyFill="1" applyBorder="1"/>
    <xf numFmtId="41"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8" fillId="0" borderId="0" xfId="0" applyNumberFormat="1" applyFont="1" applyFill="1" applyAlignment="1">
      <alignment wrapText="1"/>
    </xf>
    <xf numFmtId="0" fontId="8" fillId="0" borderId="0" xfId="0" applyFont="1" applyFill="1" applyAlignment="1">
      <alignment horizontal="left"/>
    </xf>
    <xf numFmtId="0" fontId="0" fillId="0" borderId="0" xfId="0" applyAlignment="1">
      <alignment wrapText="1"/>
    </xf>
    <xf numFmtId="0" fontId="0" fillId="0" borderId="0" xfId="0" applyAlignment="1">
      <alignment vertical="top"/>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165" fontId="5" fillId="5" borderId="58" xfId="6" applyNumberFormat="1" applyBorder="1"/>
    <xf numFmtId="165" fontId="4" fillId="4" borderId="75" xfId="11" applyNumberFormat="1" applyFont="1" applyFill="1" applyBorder="1"/>
    <xf numFmtId="177" fontId="0" fillId="0" borderId="0" xfId="0" applyNumberFormat="1"/>
    <xf numFmtId="178" fontId="0" fillId="0" borderId="0" xfId="0" applyNumberFormat="1"/>
    <xf numFmtId="41" fontId="0" fillId="0" borderId="0" xfId="0" applyNumberFormat="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172" fontId="43" fillId="0" borderId="6" xfId="0" applyNumberFormat="1" applyFont="1" applyBorder="1" applyAlignment="1">
      <alignment horizontal="right"/>
    </xf>
    <xf numFmtId="172" fontId="43" fillId="0" borderId="6" xfId="0" applyNumberFormat="1" applyFont="1" applyFill="1" applyBorder="1" applyAlignment="1">
      <alignment horizontal="right"/>
    </xf>
    <xf numFmtId="172" fontId="43" fillId="0" borderId="6" xfId="0" quotePrefix="1" applyNumberFormat="1" applyFont="1" applyFill="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164" fontId="44" fillId="0" borderId="12" xfId="0" applyNumberFormat="1" applyFont="1" applyBorder="1"/>
    <xf numFmtId="0" fontId="8" fillId="0" borderId="0" xfId="0" applyFont="1" applyAlignment="1">
      <alignment horizontal="left" vertical="center" wrapText="1"/>
    </xf>
    <xf numFmtId="170" fontId="43" fillId="0" borderId="3" xfId="0" applyNumberFormat="1" applyFont="1" applyFill="1" applyBorder="1" applyAlignment="1">
      <alignment vertical="center"/>
    </xf>
    <xf numFmtId="0" fontId="0" fillId="40" borderId="0" xfId="0" applyFill="1"/>
    <xf numFmtId="165" fontId="0" fillId="0" borderId="0" xfId="0" quotePrefix="1" applyNumberFormat="1" applyFill="1" applyBorder="1"/>
    <xf numFmtId="179" fontId="14" fillId="7" borderId="70" xfId="13" applyNumberFormat="1" applyBorder="1"/>
    <xf numFmtId="179" fontId="0" fillId="0" borderId="0" xfId="0" applyNumberFormat="1"/>
    <xf numFmtId="179" fontId="13" fillId="7" borderId="17" xfId="12" applyNumberFormat="1"/>
    <xf numFmtId="179" fontId="13" fillId="7" borderId="71" xfId="12" applyNumberFormat="1" applyBorder="1"/>
    <xf numFmtId="171" fontId="44" fillId="0" borderId="0" xfId="2" applyNumberFormat="1" applyFont="1" applyBorder="1"/>
    <xf numFmtId="44" fontId="0" fillId="0" borderId="0" xfId="0" applyNumberFormat="1" applyFill="1"/>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4" fontId="0" fillId="0" borderId="0" xfId="0" applyNumberFormat="1"/>
    <xf numFmtId="0" fontId="8" fillId="0" borderId="0" xfId="0" quotePrefix="1" applyFont="1" applyFill="1"/>
    <xf numFmtId="0" fontId="8" fillId="0" borderId="0" xfId="0" applyFont="1" applyFill="1" applyAlignment="1">
      <alignment horizontal="left" vertical="center" wrapText="1"/>
    </xf>
    <xf numFmtId="0" fontId="8" fillId="0" borderId="0" xfId="0" applyFont="1" applyFill="1" applyAlignment="1">
      <alignment horizontal="left" wrapText="1"/>
    </xf>
    <xf numFmtId="0" fontId="8" fillId="0" borderId="0" xfId="0" applyFont="1" applyFill="1" applyAlignment="1">
      <alignment wrapText="1"/>
    </xf>
    <xf numFmtId="0" fontId="0" fillId="0" borderId="0" xfId="0" quotePrefix="1" applyAlignment="1">
      <alignment vertical="top"/>
    </xf>
    <xf numFmtId="0" fontId="45" fillId="0" borderId="0" xfId="0" quotePrefix="1" applyFont="1"/>
    <xf numFmtId="0" fontId="44" fillId="39" borderId="64" xfId="0" quotePrefix="1" applyFont="1" applyFill="1" applyBorder="1" applyAlignment="1">
      <alignment horizontal="center" wrapText="1"/>
    </xf>
    <xf numFmtId="0" fontId="46" fillId="0" borderId="0" xfId="0" quotePrefix="1" applyFont="1"/>
    <xf numFmtId="165" fontId="5" fillId="0" borderId="60" xfId="11" applyNumberFormat="1" applyFont="1" applyFill="1" applyBorder="1"/>
    <xf numFmtId="165" fontId="42" fillId="0" borderId="58" xfId="13" applyNumberFormat="1" applyFont="1" applyFill="1" applyBorder="1"/>
    <xf numFmtId="0" fontId="47" fillId="0" borderId="0" xfId="0" applyFont="1"/>
    <xf numFmtId="165" fontId="5" fillId="35" borderId="1" xfId="6" applyNumberFormat="1" applyFill="1" applyBorder="1"/>
    <xf numFmtId="41" fontId="5" fillId="0" borderId="13" xfId="6" applyNumberFormat="1" applyFill="1" applyBorder="1"/>
    <xf numFmtId="165" fontId="42" fillId="0" borderId="73" xfId="13" applyNumberFormat="1" applyFont="1" applyFill="1" applyBorder="1"/>
    <xf numFmtId="165" fontId="42" fillId="0" borderId="42" xfId="13" applyNumberFormat="1" applyFont="1" applyFill="1" applyBorder="1"/>
    <xf numFmtId="0" fontId="8" fillId="0" borderId="70" xfId="0" applyFont="1" applyFill="1" applyBorder="1" applyAlignment="1">
      <alignment horizontal="center" wrapText="1"/>
    </xf>
    <xf numFmtId="174" fontId="30" fillId="0" borderId="0" xfId="0" applyNumberFormat="1" applyFont="1" applyFill="1" applyBorder="1" applyAlignment="1">
      <alignment horizontal="center" vertical="center" wrapText="1"/>
    </xf>
    <xf numFmtId="4" fontId="5" fillId="0" borderId="0" xfId="6" applyNumberFormat="1" applyFill="1" applyBorder="1"/>
    <xf numFmtId="4" fontId="5" fillId="0" borderId="9" xfId="6" applyNumberFormat="1" applyFill="1" applyBorder="1"/>
    <xf numFmtId="4" fontId="5" fillId="0" borderId="10" xfId="6" applyNumberFormat="1" applyFill="1" applyBorder="1"/>
    <xf numFmtId="0" fontId="44" fillId="39" borderId="3" xfId="0" applyFont="1" applyFill="1" applyBorder="1" applyAlignment="1">
      <alignment horizontal="center" wrapText="1"/>
    </xf>
    <xf numFmtId="0" fontId="44" fillId="39" borderId="3" xfId="0" quotePrefix="1" applyFont="1" applyFill="1" applyBorder="1" applyAlignment="1">
      <alignment horizontal="center" wrapText="1"/>
    </xf>
    <xf numFmtId="175" fontId="48" fillId="0" borderId="0" xfId="0" applyNumberFormat="1" applyFont="1"/>
    <xf numFmtId="0" fontId="0" fillId="0" borderId="0" xfId="0" applyAlignment="1">
      <alignment vertical="top" wrapText="1"/>
    </xf>
    <xf numFmtId="0" fontId="0" fillId="0" borderId="0" xfId="0" applyAlignment="1">
      <alignment wrapText="1"/>
    </xf>
    <xf numFmtId="0" fontId="0" fillId="0" borderId="0" xfId="0" applyAlignment="1">
      <alignment wrapText="1"/>
    </xf>
    <xf numFmtId="41" fontId="5" fillId="5" borderId="3" xfId="6" applyNumberFormat="1" applyBorder="1"/>
    <xf numFmtId="41" fontId="49" fillId="0" borderId="1" xfId="6" applyNumberFormat="1" applyFont="1" applyFill="1" applyBorder="1"/>
    <xf numFmtId="0" fontId="0" fillId="0" borderId="10" xfId="0" applyFill="1" applyBorder="1"/>
    <xf numFmtId="42" fontId="50" fillId="0" borderId="6" xfId="0" applyNumberFormat="1" applyFont="1" applyBorder="1" applyAlignment="1">
      <alignment horizontal="right"/>
    </xf>
    <xf numFmtId="167" fontId="5" fillId="5" borderId="58" xfId="1" applyNumberFormat="1" applyFont="1" applyFill="1" applyBorder="1"/>
    <xf numFmtId="167" fontId="5" fillId="35" borderId="1" xfId="1" applyNumberFormat="1" applyFont="1" applyFill="1" applyBorder="1"/>
    <xf numFmtId="0" fontId="8" fillId="0" borderId="0" xfId="0" applyFont="1" applyFill="1" applyAlignment="1">
      <alignment horizontal="left"/>
    </xf>
    <xf numFmtId="0" fontId="8" fillId="0" borderId="0" xfId="0" applyFont="1" applyFill="1" applyAlignment="1">
      <alignment horizontal="left" vertical="center" wrapText="1"/>
    </xf>
    <xf numFmtId="0" fontId="0" fillId="0" borderId="70" xfId="0" applyFill="1" applyBorder="1" applyAlignment="1">
      <alignment vertical="top" wrapText="1"/>
    </xf>
    <xf numFmtId="0" fontId="9" fillId="0" borderId="0" xfId="0" applyFont="1" applyFill="1" applyAlignment="1">
      <alignment horizontal="left"/>
    </xf>
    <xf numFmtId="0" fontId="7" fillId="0" borderId="10" xfId="8" applyFill="1" applyBorder="1"/>
    <xf numFmtId="0" fontId="8" fillId="0" borderId="0" xfId="0" applyFont="1" applyFill="1" applyAlignment="1">
      <alignment horizontal="right"/>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Fill="1" applyAlignment="1">
      <alignment horizontal="left" vertical="top"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46" fillId="0" borderId="0" xfId="0" quotePrefix="1" applyFont="1" applyFill="1" applyAlignment="1">
      <alignment vertical="top" wrapText="1"/>
    </xf>
    <xf numFmtId="0" fontId="0" fillId="0" borderId="0" xfId="0" applyFill="1" applyAlignment="1">
      <alignment vertical="top" wrapText="1"/>
    </xf>
    <xf numFmtId="0" fontId="0" fillId="0" borderId="0" xfId="0" applyFill="1" applyAlignment="1">
      <alignment wrapText="1"/>
    </xf>
    <xf numFmtId="0" fontId="46" fillId="0" borderId="0" xfId="0" quotePrefix="1"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Fill="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00CC"/>
      <color rgb="FFFFCC99"/>
      <color rgb="FFC5BBD7"/>
      <color rgb="FFD0C8DE"/>
      <color rgb="FFDAD3E5"/>
      <color rgb="FF008000"/>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tyles" Target="style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Billed%20kWh%20Budget%202024+-%20EMM%2020250529.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Billed%20kWh%20Budget%202024+-%20EMM%2020250529.xlsx?D4DF6C14" TargetMode="External"/><Relationship Id="rId1" Type="http://schemas.openxmlformats.org/officeDocument/2006/relationships/externalLinkPath" Target="file:///\\D4DF6C14\Billed%20kWh%20Budget%202024+-%20EMM%2020250529.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50601%20Filing/Metro%20MEEIA%202025%20Revenue%20Analysis.xlsx" TargetMode="External"/><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MEEIA%202025%20Revenue%20Analysis.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50601%20Filing/Metro%20ST%20Borrowing%20Rates%20Nov24-Apr25.xlsx" TargetMode="External"/><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ST%20Borrowing%20Rates%20Nov24-Apr25.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012025%20C4%20Spend%20(incl%20EO)%20Alloc%20Calc%20FINAL%2005192025.xlsx?D4DF6C14" TargetMode="External"/><Relationship Id="rId1" Type="http://schemas.openxmlformats.org/officeDocument/2006/relationships/externalLinkPath" Target="file:///\\D4DF6C14\012025%20C4%20Spend%20(incl%20EO)%20Alloc%20Calc%20FINAL%2005192025.xlsx"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022025%20C4%20Spend%20(incl%20EO)%20Alloc%20Calc%20FINAL%2005192025.xlsx?D4DF6C14" TargetMode="External"/><Relationship Id="rId1" Type="http://schemas.openxmlformats.org/officeDocument/2006/relationships/externalLinkPath" Target="file:///\\D4DF6C14\022025%20C4%20Spend%20(incl%20EO)%20Alloc%20Calc%20FINAL%2005192025.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032025%20C4%20Spend%20(incl%20EO)%20Alloc%20Calc%20FINAL%2005192025.xlsx?D4DF6C14" TargetMode="External"/><Relationship Id="rId1" Type="http://schemas.openxmlformats.org/officeDocument/2006/relationships/externalLinkPath" Target="file:///\\D4DF6C14\032025%20C4%20Spend%20(incl%20EO)%20Alloc%20Calc%20FINAL%2005192025.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042025%20C4%20Spend%20(incl%20EO)%20Alloc%20Calc%20FINAL%2005192025.xlsx?D4DF6C14" TargetMode="External"/><Relationship Id="rId1" Type="http://schemas.openxmlformats.org/officeDocument/2006/relationships/externalLinkPath" Target="file:///\\D4DF6C14\042025%20C4%20Spend%20(incl%20EO)%20Alloc%20Calc%20FINAL%2005192025.xlsx"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Metro%20Cycle%203%20Monthly%20TD%20Calc%20032025%2003252025.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Metro%20Cycle%203%20Monthly%20TD%20Calc%20032025%2003252025.xlsx?D4DF6C14" TargetMode="External"/><Relationship Id="rId1" Type="http://schemas.openxmlformats.org/officeDocument/2006/relationships/externalLinkPath" Target="file:///\\D4DF6C14\Metro%20Cycle%203%20Monthly%20TD%20Calc%20032025%2003252025.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Missouri%20Metro%20C4%20Monthly%20TD%20Calc%20incl%20forecast-%20042025%2005272025.xlsx?D4DF6C14" TargetMode="External"/><Relationship Id="rId1" Type="http://schemas.openxmlformats.org/officeDocument/2006/relationships/externalLinkPath" Target="file:///\\D4DF6C14\Missouri%20Metro%20C4%20Monthly%20TD%20Calc%20incl%20forecast-%20042025%2005272025.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Metro%20Cycle%202%20Monthly%20TD%20Calc%20%20122022%2001092023.xlsx?D4DF6C14" TargetMode="External"/><Relationship Id="rId1" Type="http://schemas.openxmlformats.org/officeDocument/2006/relationships/externalLinkPath" Target="file:///\\D4DF6C14\Metro%20Cycle%202%20Monthly%20TD%20Calc%20%20122022%20010920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EMM%20MEEIA%204%20STIP%20AND%20RIDER%20FORECAST%20PROGRAM%20COSTS-%2020250527.xlsx?D4DF6C14" TargetMode="External"/><Relationship Id="rId1" Type="http://schemas.openxmlformats.org/officeDocument/2006/relationships/externalLinkPath" Target="file:///\\D4DF6C14\EMM%20MEEIA%204%20STIP%20AND%20RIDER%20FORECAST%20PROGRAM%20COSTS-%202025052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Cycle%203%20PY1%20EO%20TD%20Adj%20Cal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Cycle%203%20PY2%20EO%20TD%20Adj%20Cal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3.xlsx"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Metro%20Cycle%203%20PY3%20EO%20TD%20Adj%20Calc%202025.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Metro%20Cycle%203%20PY3%20EO%20TD%20Adj%20Calc%202025.xlsx?D4DF6C14" TargetMode="External"/><Relationship Id="rId1" Type="http://schemas.openxmlformats.org/officeDocument/2006/relationships/externalLinkPath" Target="file:///\\D4DF6C14\Metro%20Cycle%203%20PY3%20EO%20TD%20Adj%20Calc%20202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4.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5.xlsb" TargetMode="External"/><Relationship Id="rId1" Type="http://schemas.openxmlformats.org/officeDocument/2006/relationships/externalLinkPath" Target="https://gppower.sharepoint.com/sites/FinAcct/Shared%20Documents/NetworkDrives/Old%20Genactg%20shared/Migrated%20CorpAcctg/Energy%20Efficiency/MEEIA/Metro%20MEEIA%20DSIM%20RIDER/20250601%20Filing/Metro%20EO%20Calculated%20Cycle%203%20PY5.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11%202024%20Metro%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11%202024%20Metro%20Spend%20Allocations%20Worksheet%20FINAL.xlsx?D4DF6C14" TargetMode="External"/><Relationship Id="rId1" Type="http://schemas.openxmlformats.org/officeDocument/2006/relationships/externalLinkPath" Target="file:///\\D4DF6C14\11%202024%20Metro%20Spend%20Allocations%20Worksheet%20FINAL.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12%202024%20Metro%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12%202024%20Metro%20Spend%20Allocations%20Worksheet%20FINAL.xlsx?D4DF6C14" TargetMode="External"/><Relationship Id="rId1" Type="http://schemas.openxmlformats.org/officeDocument/2006/relationships/externalLinkPath" Target="file:///\\D4DF6C14\12%202024%20Metro%20Spend%20Allocations%20Worksheet%20FINAL.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01%202025%20Metro%20C3%20Spend%20Allocations%20Worksheet%20FINAL-%20exclude%20SI0000_%20activity.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01%202025%20Metro%20C3%20Spend%20Allocations%20Worksheet%20FINAL-%20exclude%20SI0000_%20activity.xlsx?D4DF6C14" TargetMode="External"/><Relationship Id="rId1" Type="http://schemas.openxmlformats.org/officeDocument/2006/relationships/externalLinkPath" Target="file:///\\D4DF6C14\01%202025%20Metro%20C3%20Spend%20Allocations%20Worksheet%20FINAL-%20exclude%20SI0000_%20activity.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02%202025%20Metro%20C3%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02%202025%20Metro%20C3%20Spend%20Allocations%20Worksheet%20FINAL.xlsx?D4DF6C14" TargetMode="External"/><Relationship Id="rId1" Type="http://schemas.openxmlformats.org/officeDocument/2006/relationships/externalLinkPath" Target="file:///\\D4DF6C14\02%202025%20Metro%20C3%20Spend%20Allocations%20Worksheet%20FINAL.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03%202025%20Metro%20C3%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03%202025%20Metro%20C3%20Spend%20Allocations%20Worksheet%20FINAL.xlsx?D4DF6C14" TargetMode="External"/><Relationship Id="rId1" Type="http://schemas.openxmlformats.org/officeDocument/2006/relationships/externalLinkPath" Target="file:///\\D4DF6C14\03%202025%20Metro%20C3%20Spend%20Allocations%20Worksheet%20FINAL.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04%202025%20Metro%20C3%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04%202025%20Metro%20C3%20Spend%20Allocations%20Worksheet%20FINAL.xlsx?D4DF6C14" TargetMode="External"/><Relationship Id="rId1" Type="http://schemas.openxmlformats.org/officeDocument/2006/relationships/externalLinkPath" Target="file:///\\D4DF6C14\04%202025%20Metro%20C3%20Spend%20Allocations%20Worksheet%20FINAL.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0601%20Filing/wp/05%202025%20ADM%20forecast%20Metro%20C3%20Spend%20Allocations%20Worksheet.xlsx" TargetMode="External"/><Relationship Id="rId2" Type="http://schemas.microsoft.com/office/2019/04/relationships/externalLinkLongPath" Target="https://gppower.sharepoint.com/sites/FinAcct/Shared%20Documents/NetworkDrives/Old%20Genactg%20shared/Migrated%20CorpAcctg/Energy%20Efficiency/MEEIA/Metro%20MEEIA%20DSIM%20RIDER/20250601%20Filing/wp/05%202025%20ADM%20forecast%20Metro%20C3%20Spend%20Allocations%20Worksheet.xlsx?BE7474FF" TargetMode="External"/><Relationship Id="rId1" Type="http://schemas.openxmlformats.org/officeDocument/2006/relationships/externalLinkPath" Target="file:///\\BE7474FF\05%202025%20ADM%20forecast%20Metro%20C3%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CPL Billed kWh Sales"/>
    </sheetNames>
    <sheetDataSet>
      <sheetData sheetId="0">
        <row r="27">
          <cell r="R27">
            <v>157609478.17667899</v>
          </cell>
          <cell r="S27">
            <v>205906653.91496235</v>
          </cell>
          <cell r="T27">
            <v>301509714.2375688</v>
          </cell>
        </row>
        <row r="28">
          <cell r="R28">
            <v>49123963</v>
          </cell>
          <cell r="S28">
            <v>54344539</v>
          </cell>
          <cell r="T28">
            <v>60963032</v>
          </cell>
        </row>
        <row r="29">
          <cell r="R29">
            <v>84120584</v>
          </cell>
          <cell r="S29">
            <v>93060373</v>
          </cell>
          <cell r="T29">
            <v>104393975</v>
          </cell>
        </row>
        <row r="30">
          <cell r="R30">
            <v>137345127</v>
          </cell>
          <cell r="S30">
            <v>151941274</v>
          </cell>
          <cell r="T30">
            <v>170445842</v>
          </cell>
        </row>
        <row r="31">
          <cell r="R31">
            <v>32379572</v>
          </cell>
          <cell r="S31">
            <v>35820663</v>
          </cell>
          <cell r="T31">
            <v>40183176</v>
          </cell>
        </row>
        <row r="39">
          <cell r="E39">
            <v>1461526509.0241356</v>
          </cell>
          <cell r="F39">
            <v>1307492988.9845395</v>
          </cell>
        </row>
        <row r="40">
          <cell r="E40">
            <v>336828900</v>
          </cell>
          <cell r="F40">
            <v>317745312</v>
          </cell>
        </row>
        <row r="41">
          <cell r="E41">
            <v>576790669</v>
          </cell>
          <cell r="F41">
            <v>544111655</v>
          </cell>
        </row>
        <row r="42">
          <cell r="E42">
            <v>941736067</v>
          </cell>
          <cell r="F42">
            <v>888380478</v>
          </cell>
        </row>
        <row r="43">
          <cell r="E43">
            <v>222017421</v>
          </cell>
          <cell r="F43">
            <v>209438663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vember 2024"/>
      <sheetName val="December 2024"/>
      <sheetName val="January 2025"/>
      <sheetName val="February 2025"/>
      <sheetName val="March 2025"/>
      <sheetName val="April 2025"/>
    </sheetNames>
    <sheetDataSet>
      <sheetData sheetId="0">
        <row r="61">
          <cell r="G61">
            <v>7482.5700000000006</v>
          </cell>
        </row>
        <row r="62">
          <cell r="G62">
            <v>1391.8400000000001</v>
          </cell>
        </row>
        <row r="63">
          <cell r="G63">
            <v>3212.3500000000004</v>
          </cell>
        </row>
        <row r="64">
          <cell r="G64">
            <v>5491.19</v>
          </cell>
        </row>
        <row r="65">
          <cell r="G65">
            <v>397.12</v>
          </cell>
        </row>
        <row r="70">
          <cell r="G70">
            <v>-2993.05</v>
          </cell>
        </row>
        <row r="71">
          <cell r="G71">
            <v>3.69</v>
          </cell>
        </row>
        <row r="72">
          <cell r="G72">
            <v>805.72</v>
          </cell>
        </row>
        <row r="73">
          <cell r="G73">
            <v>1377.59</v>
          </cell>
        </row>
        <row r="74">
          <cell r="G74">
            <v>757.46</v>
          </cell>
        </row>
        <row r="88">
          <cell r="G88">
            <v>215498.97</v>
          </cell>
        </row>
        <row r="89">
          <cell r="G89">
            <v>31845.18</v>
          </cell>
        </row>
        <row r="90">
          <cell r="G90">
            <v>65268.42</v>
          </cell>
        </row>
        <row r="91">
          <cell r="G91">
            <v>110207.15</v>
          </cell>
        </row>
        <row r="92">
          <cell r="G92">
            <v>48098.81</v>
          </cell>
        </row>
        <row r="96">
          <cell r="G96">
            <v>38907.800000000003</v>
          </cell>
        </row>
        <row r="97">
          <cell r="G97">
            <v>-13383.5</v>
          </cell>
        </row>
        <row r="98">
          <cell r="G98">
            <v>84501.94</v>
          </cell>
        </row>
        <row r="99">
          <cell r="G99">
            <v>-22041.599999999999</v>
          </cell>
        </row>
        <row r="100">
          <cell r="G100">
            <v>2895.02</v>
          </cell>
        </row>
        <row r="104">
          <cell r="G104">
            <v>136180.14000000001</v>
          </cell>
        </row>
        <row r="105">
          <cell r="G105">
            <v>36868.189999999995</v>
          </cell>
        </row>
        <row r="106">
          <cell r="G106">
            <v>90124.479999999996</v>
          </cell>
        </row>
        <row r="107">
          <cell r="G107">
            <v>71634.850000000006</v>
          </cell>
        </row>
        <row r="108">
          <cell r="G108">
            <v>5302.23</v>
          </cell>
        </row>
        <row r="112">
          <cell r="G112">
            <v>-5986.18</v>
          </cell>
        </row>
        <row r="113">
          <cell r="G113">
            <v>-3259.5</v>
          </cell>
        </row>
        <row r="114">
          <cell r="G114">
            <v>19305.02</v>
          </cell>
        </row>
        <row r="115">
          <cell r="G115">
            <v>6887.98</v>
          </cell>
        </row>
        <row r="116">
          <cell r="G116">
            <v>-378.73</v>
          </cell>
        </row>
        <row r="120">
          <cell r="G120">
            <v>-4489.55</v>
          </cell>
        </row>
        <row r="121">
          <cell r="G121">
            <v>0</v>
          </cell>
        </row>
        <row r="122">
          <cell r="G122">
            <v>0</v>
          </cell>
        </row>
        <row r="123">
          <cell r="G123">
            <v>0</v>
          </cell>
        </row>
        <row r="124">
          <cell r="G124">
            <v>0</v>
          </cell>
        </row>
        <row r="128">
          <cell r="G128">
            <v>106250.17</v>
          </cell>
        </row>
        <row r="129">
          <cell r="G129">
            <v>17953.02</v>
          </cell>
        </row>
        <row r="130">
          <cell r="G130">
            <v>35414.79</v>
          </cell>
        </row>
        <row r="131">
          <cell r="G131">
            <v>63369.26</v>
          </cell>
        </row>
        <row r="132">
          <cell r="G132">
            <v>12876.85</v>
          </cell>
        </row>
        <row r="136">
          <cell r="G136">
            <v>0</v>
          </cell>
        </row>
        <row r="137">
          <cell r="G137">
            <v>0</v>
          </cell>
        </row>
        <row r="138">
          <cell r="G138">
            <v>0</v>
          </cell>
        </row>
        <row r="139">
          <cell r="G139">
            <v>0</v>
          </cell>
        </row>
        <row r="140">
          <cell r="G140">
            <v>0</v>
          </cell>
        </row>
        <row r="144">
          <cell r="G144">
            <v>1496.45</v>
          </cell>
        </row>
        <row r="145">
          <cell r="G145">
            <v>0</v>
          </cell>
        </row>
        <row r="146">
          <cell r="G146">
            <v>804.38</v>
          </cell>
        </row>
        <row r="147">
          <cell r="G147">
            <v>1377.59</v>
          </cell>
        </row>
        <row r="148">
          <cell r="G148">
            <v>757.46</v>
          </cell>
        </row>
        <row r="152">
          <cell r="G152">
            <v>0</v>
          </cell>
        </row>
        <row r="153">
          <cell r="G153">
            <v>0</v>
          </cell>
        </row>
        <row r="154">
          <cell r="G154">
            <v>0</v>
          </cell>
        </row>
        <row r="155">
          <cell r="G155">
            <v>0</v>
          </cell>
        </row>
        <row r="156">
          <cell r="G156">
            <v>0</v>
          </cell>
        </row>
        <row r="193">
          <cell r="G193">
            <v>149649104.46689987</v>
          </cell>
        </row>
        <row r="194">
          <cell r="G194">
            <v>47178870.071200013</v>
          </cell>
        </row>
        <row r="195">
          <cell r="G195">
            <v>80578946.172299981</v>
          </cell>
        </row>
        <row r="196">
          <cell r="G196">
            <v>137786199.5469</v>
          </cell>
        </row>
        <row r="197">
          <cell r="G197">
            <v>37873077.480899997</v>
          </cell>
        </row>
      </sheetData>
      <sheetData sheetId="1">
        <row r="61">
          <cell r="G61">
            <v>10671.99</v>
          </cell>
        </row>
        <row r="62">
          <cell r="G62">
            <v>1676.28</v>
          </cell>
        </row>
        <row r="63">
          <cell r="G63">
            <v>3593.76</v>
          </cell>
        </row>
        <row r="64">
          <cell r="G64">
            <v>6148.74</v>
          </cell>
        </row>
        <row r="65">
          <cell r="G65">
            <v>328.06</v>
          </cell>
        </row>
        <row r="70">
          <cell r="G70">
            <v>-4269.0600000000004</v>
          </cell>
        </row>
        <row r="71">
          <cell r="G71">
            <v>-0.06</v>
          </cell>
        </row>
        <row r="72">
          <cell r="G72">
            <v>902.5</v>
          </cell>
        </row>
        <row r="73">
          <cell r="G73">
            <v>1544.14</v>
          </cell>
        </row>
        <row r="74">
          <cell r="G74">
            <v>569.77</v>
          </cell>
        </row>
        <row r="88">
          <cell r="G88">
            <v>307373.65999999997</v>
          </cell>
        </row>
        <row r="89">
          <cell r="G89">
            <v>38166.1</v>
          </cell>
        </row>
        <row r="90">
          <cell r="G90">
            <v>73102.789999999994</v>
          </cell>
        </row>
        <row r="91">
          <cell r="G91">
            <v>123530.86</v>
          </cell>
        </row>
        <row r="92">
          <cell r="G92">
            <v>36180.589999999997</v>
          </cell>
        </row>
        <row r="96">
          <cell r="G96">
            <v>55494.62</v>
          </cell>
        </row>
        <row r="97">
          <cell r="G97">
            <v>-15711.61</v>
          </cell>
        </row>
        <row r="98">
          <cell r="G98">
            <v>94762.87</v>
          </cell>
        </row>
        <row r="99">
          <cell r="G99">
            <v>-24706.16</v>
          </cell>
        </row>
        <row r="100">
          <cell r="G100">
            <v>2211.4700000000003</v>
          </cell>
        </row>
        <row r="104">
          <cell r="G104">
            <v>194238.06</v>
          </cell>
        </row>
        <row r="105">
          <cell r="G105">
            <v>43774.06</v>
          </cell>
        </row>
        <row r="106">
          <cell r="G106">
            <v>101080.39</v>
          </cell>
        </row>
        <row r="107">
          <cell r="G107">
            <v>80295.06</v>
          </cell>
        </row>
        <row r="108">
          <cell r="G108">
            <v>3988.41</v>
          </cell>
        </row>
        <row r="112">
          <cell r="G112">
            <v>-8538.18</v>
          </cell>
        </row>
        <row r="113">
          <cell r="G113">
            <v>-3929.07</v>
          </cell>
        </row>
        <row r="114">
          <cell r="G114">
            <v>21660.09</v>
          </cell>
        </row>
        <row r="115">
          <cell r="G115">
            <v>7720.68</v>
          </cell>
        </row>
        <row r="116">
          <cell r="G116">
            <v>-284.89</v>
          </cell>
        </row>
        <row r="120">
          <cell r="G120">
            <v>-6403.43</v>
          </cell>
        </row>
        <row r="121">
          <cell r="G121">
            <v>0</v>
          </cell>
        </row>
        <row r="122">
          <cell r="G122">
            <v>0</v>
          </cell>
        </row>
        <row r="123">
          <cell r="G123">
            <v>0</v>
          </cell>
        </row>
        <row r="124">
          <cell r="G124">
            <v>0</v>
          </cell>
        </row>
        <row r="128">
          <cell r="G128">
            <v>151548.46</v>
          </cell>
        </row>
        <row r="129">
          <cell r="G129">
            <v>21326.06</v>
          </cell>
        </row>
        <row r="130">
          <cell r="G130">
            <v>39710.160000000003</v>
          </cell>
        </row>
        <row r="131">
          <cell r="G131">
            <v>71030.25</v>
          </cell>
        </row>
        <row r="132">
          <cell r="G132">
            <v>9686.14</v>
          </cell>
        </row>
        <row r="136">
          <cell r="G136">
            <v>0</v>
          </cell>
        </row>
        <row r="137">
          <cell r="G137">
            <v>0</v>
          </cell>
        </row>
        <row r="138">
          <cell r="G138">
            <v>0</v>
          </cell>
        </row>
        <row r="139">
          <cell r="G139">
            <v>0</v>
          </cell>
        </row>
        <row r="140">
          <cell r="G140">
            <v>0</v>
          </cell>
        </row>
        <row r="144">
          <cell r="G144">
            <v>2134.4499999999998</v>
          </cell>
        </row>
        <row r="145">
          <cell r="G145">
            <v>0</v>
          </cell>
        </row>
        <row r="146">
          <cell r="G146">
            <v>902.5</v>
          </cell>
        </row>
        <row r="147">
          <cell r="G147">
            <v>1544.14</v>
          </cell>
        </row>
        <row r="148">
          <cell r="G148">
            <v>569.77</v>
          </cell>
        </row>
        <row r="152">
          <cell r="G152">
            <v>0</v>
          </cell>
        </row>
        <row r="153">
          <cell r="G153">
            <v>0</v>
          </cell>
        </row>
        <row r="154">
          <cell r="G154">
            <v>0</v>
          </cell>
        </row>
        <row r="155">
          <cell r="G155">
            <v>0</v>
          </cell>
        </row>
        <row r="156">
          <cell r="G156">
            <v>0</v>
          </cell>
        </row>
        <row r="193">
          <cell r="G193">
            <v>213449217.20499986</v>
          </cell>
        </row>
        <row r="194">
          <cell r="G194">
            <v>56152693.198199987</v>
          </cell>
        </row>
        <row r="195">
          <cell r="G195">
            <v>90345399.898699999</v>
          </cell>
        </row>
        <row r="196">
          <cell r="G196">
            <v>154542733.21810001</v>
          </cell>
        </row>
        <row r="197">
          <cell r="G197">
            <v>28488653.657100003</v>
          </cell>
        </row>
      </sheetData>
      <sheetData sheetId="2">
        <row r="61">
          <cell r="G61">
            <v>13046.37</v>
          </cell>
        </row>
        <row r="62">
          <cell r="G62">
            <v>1651.28</v>
          </cell>
        </row>
        <row r="63">
          <cell r="G63">
            <v>3820.33</v>
          </cell>
        </row>
        <row r="64">
          <cell r="G64">
            <v>6325.67</v>
          </cell>
        </row>
        <row r="65">
          <cell r="G65">
            <v>394.35999999999996</v>
          </cell>
        </row>
        <row r="70">
          <cell r="G70">
            <v>-5219.78</v>
          </cell>
        </row>
        <row r="71">
          <cell r="G71">
            <v>9.65</v>
          </cell>
        </row>
        <row r="72">
          <cell r="G72">
            <v>960.78</v>
          </cell>
        </row>
        <row r="73">
          <cell r="G73">
            <v>1589.99</v>
          </cell>
        </row>
        <row r="74">
          <cell r="G74">
            <v>729.55</v>
          </cell>
        </row>
        <row r="88">
          <cell r="G88">
            <v>375857.77</v>
          </cell>
        </row>
        <row r="89">
          <cell r="G89">
            <v>38654.300000000003</v>
          </cell>
        </row>
        <row r="90">
          <cell r="G90">
            <v>77240.86</v>
          </cell>
        </row>
        <row r="91">
          <cell r="G91">
            <v>126944.61</v>
          </cell>
        </row>
        <row r="92">
          <cell r="G92">
            <v>46326.71</v>
          </cell>
        </row>
        <row r="96">
          <cell r="G96">
            <v>67871.759999999995</v>
          </cell>
        </row>
        <row r="97">
          <cell r="G97">
            <v>-16884.21</v>
          </cell>
        </row>
        <row r="98">
          <cell r="G98">
            <v>98988.37999999999</v>
          </cell>
        </row>
        <row r="99">
          <cell r="G99">
            <v>-24894.94</v>
          </cell>
        </row>
        <row r="100">
          <cell r="G100">
            <v>2695.08</v>
          </cell>
        </row>
        <row r="104">
          <cell r="G104">
            <v>237526.16</v>
          </cell>
        </row>
        <row r="105">
          <cell r="G105">
            <v>45586.720000000001</v>
          </cell>
        </row>
        <row r="106">
          <cell r="G106">
            <v>105588.94</v>
          </cell>
        </row>
        <row r="107">
          <cell r="G107">
            <v>81784.19</v>
          </cell>
        </row>
        <row r="108">
          <cell r="G108">
            <v>5106.88</v>
          </cell>
        </row>
        <row r="112">
          <cell r="G112">
            <v>-10439.719999999999</v>
          </cell>
        </row>
        <row r="113">
          <cell r="G113">
            <v>-3894.15</v>
          </cell>
        </row>
        <row r="114">
          <cell r="G114">
            <v>22542.959999999999</v>
          </cell>
        </row>
        <row r="115">
          <cell r="G115">
            <v>7795.52</v>
          </cell>
        </row>
        <row r="116">
          <cell r="G116">
            <v>-364.78</v>
          </cell>
        </row>
        <row r="120">
          <cell r="G120">
            <v>-7829.3600000000006</v>
          </cell>
        </row>
        <row r="121">
          <cell r="G121">
            <v>0</v>
          </cell>
        </row>
        <row r="122">
          <cell r="G122">
            <v>0</v>
          </cell>
        </row>
        <row r="123">
          <cell r="G123">
            <v>0</v>
          </cell>
        </row>
        <row r="124">
          <cell r="G124">
            <v>0</v>
          </cell>
        </row>
        <row r="128">
          <cell r="G128">
            <v>185330.3</v>
          </cell>
        </row>
        <row r="129">
          <cell r="G129">
            <v>22213.9</v>
          </cell>
        </row>
        <row r="130">
          <cell r="G130">
            <v>41553.040000000001</v>
          </cell>
        </row>
        <row r="131">
          <cell r="G131">
            <v>72459.12</v>
          </cell>
        </row>
        <row r="132">
          <cell r="G132">
            <v>12402.43</v>
          </cell>
        </row>
        <row r="136">
          <cell r="G136">
            <v>0</v>
          </cell>
        </row>
        <row r="137">
          <cell r="G137">
            <v>0</v>
          </cell>
        </row>
        <row r="138">
          <cell r="G138">
            <v>0</v>
          </cell>
        </row>
        <row r="139">
          <cell r="G139">
            <v>0</v>
          </cell>
        </row>
        <row r="140">
          <cell r="G140">
            <v>0</v>
          </cell>
        </row>
        <row r="144">
          <cell r="G144">
            <v>2610.31</v>
          </cell>
        </row>
        <row r="145">
          <cell r="G145">
            <v>0</v>
          </cell>
        </row>
        <row r="146">
          <cell r="G146">
            <v>939.5</v>
          </cell>
        </row>
        <row r="147">
          <cell r="G147">
            <v>1566.41</v>
          </cell>
        </row>
        <row r="148">
          <cell r="G148">
            <v>729.55</v>
          </cell>
        </row>
        <row r="152">
          <cell r="G152">
            <v>0</v>
          </cell>
        </row>
        <row r="153">
          <cell r="G153">
            <v>0</v>
          </cell>
        </row>
        <row r="154">
          <cell r="G154">
            <v>0</v>
          </cell>
        </row>
        <row r="155">
          <cell r="G155">
            <v>0</v>
          </cell>
        </row>
        <row r="156">
          <cell r="G156">
            <v>0</v>
          </cell>
        </row>
        <row r="193">
          <cell r="G193">
            <v>261019624.50579989</v>
          </cell>
        </row>
        <row r="194">
          <cell r="G194">
            <v>58057164.596899994</v>
          </cell>
        </row>
        <row r="195">
          <cell r="G195">
            <v>94795570.78019999</v>
          </cell>
        </row>
        <row r="196">
          <cell r="G196">
            <v>157704341.24930006</v>
          </cell>
        </row>
        <row r="197">
          <cell r="G197">
            <v>36477728.331699997</v>
          </cell>
        </row>
      </sheetData>
      <sheetData sheetId="3">
        <row r="61">
          <cell r="G61">
            <v>11341.82</v>
          </cell>
        </row>
        <row r="62">
          <cell r="G62">
            <v>1527.43</v>
          </cell>
        </row>
        <row r="63">
          <cell r="G63">
            <v>3473.42</v>
          </cell>
        </row>
        <row r="64">
          <cell r="G64">
            <v>4936.51</v>
          </cell>
        </row>
        <row r="65">
          <cell r="G65">
            <v>461.42</v>
          </cell>
        </row>
        <row r="70">
          <cell r="G70">
            <v>-4733.92</v>
          </cell>
        </row>
        <row r="71">
          <cell r="G71">
            <v>-228.77</v>
          </cell>
        </row>
        <row r="72">
          <cell r="G72">
            <v>709.08</v>
          </cell>
        </row>
        <row r="73">
          <cell r="G73">
            <v>1089.17</v>
          </cell>
        </row>
        <row r="74">
          <cell r="G74">
            <v>579.08000000000004</v>
          </cell>
        </row>
        <row r="88">
          <cell r="G88">
            <v>277759.90999999997</v>
          </cell>
        </row>
        <row r="89">
          <cell r="G89">
            <v>30128.21</v>
          </cell>
        </row>
        <row r="90">
          <cell r="G90">
            <v>58738.38</v>
          </cell>
        </row>
        <row r="91">
          <cell r="G91">
            <v>89544.04</v>
          </cell>
        </row>
        <row r="92">
          <cell r="G92">
            <v>37255.39</v>
          </cell>
        </row>
        <row r="96">
          <cell r="G96">
            <v>137446.42000000001</v>
          </cell>
        </row>
        <row r="97">
          <cell r="G97">
            <v>21280.010000000002</v>
          </cell>
        </row>
        <row r="98">
          <cell r="G98">
            <v>116528.88</v>
          </cell>
        </row>
        <row r="99">
          <cell r="G99">
            <v>4868.67</v>
          </cell>
        </row>
        <row r="100">
          <cell r="G100">
            <v>-869.81</v>
          </cell>
        </row>
        <row r="104">
          <cell r="G104">
            <v>260251.25</v>
          </cell>
        </row>
        <row r="105">
          <cell r="G105">
            <v>63632.22</v>
          </cell>
        </row>
        <row r="106">
          <cell r="G106">
            <v>119527.7</v>
          </cell>
        </row>
        <row r="107">
          <cell r="G107">
            <v>90381.34</v>
          </cell>
        </row>
        <row r="108">
          <cell r="G108">
            <v>6311.77</v>
          </cell>
        </row>
        <row r="112">
          <cell r="G112">
            <v>-5524.74</v>
          </cell>
        </row>
        <row r="113">
          <cell r="G113">
            <v>2177.7399999999998</v>
          </cell>
        </row>
        <row r="114">
          <cell r="G114">
            <v>22881.93</v>
          </cell>
        </row>
        <row r="115">
          <cell r="G115">
            <v>7253.59</v>
          </cell>
        </row>
        <row r="116">
          <cell r="G116">
            <v>-450.84</v>
          </cell>
        </row>
        <row r="120">
          <cell r="G120">
            <v>-6607.98</v>
          </cell>
        </row>
        <row r="121">
          <cell r="G121">
            <v>0</v>
          </cell>
        </row>
        <row r="122">
          <cell r="G122">
            <v>0</v>
          </cell>
        </row>
        <row r="123">
          <cell r="G123">
            <v>0</v>
          </cell>
        </row>
        <row r="124">
          <cell r="G124">
            <v>0</v>
          </cell>
        </row>
        <row r="128">
          <cell r="G128">
            <v>168553.69</v>
          </cell>
        </row>
        <row r="129">
          <cell r="G129">
            <v>21169.03</v>
          </cell>
        </row>
        <row r="130">
          <cell r="G130">
            <v>38693.14</v>
          </cell>
        </row>
        <row r="131">
          <cell r="G131">
            <v>65768.94</v>
          </cell>
        </row>
        <row r="132">
          <cell r="G132">
            <v>13231.66</v>
          </cell>
        </row>
        <row r="136">
          <cell r="G136">
            <v>250374.05</v>
          </cell>
        </row>
        <row r="137">
          <cell r="G137">
            <v>17918.27</v>
          </cell>
        </row>
        <row r="138">
          <cell r="G138">
            <v>82601.240000000005</v>
          </cell>
        </row>
        <row r="139">
          <cell r="G139">
            <v>62668.2</v>
          </cell>
        </row>
        <row r="140">
          <cell r="G140">
            <v>21291.78</v>
          </cell>
        </row>
        <row r="144">
          <cell r="G144">
            <v>2859.96</v>
          </cell>
        </row>
        <row r="145">
          <cell r="G145">
            <v>0</v>
          </cell>
        </row>
        <row r="146">
          <cell r="G146">
            <v>708.55</v>
          </cell>
        </row>
        <row r="147">
          <cell r="G147">
            <v>1089.17</v>
          </cell>
        </row>
        <row r="148">
          <cell r="G148">
            <v>901.68</v>
          </cell>
        </row>
        <row r="152">
          <cell r="G152">
            <v>10842.97</v>
          </cell>
        </row>
        <row r="153">
          <cell r="G153">
            <v>453.63</v>
          </cell>
        </row>
        <row r="154">
          <cell r="G154">
            <v>652.97</v>
          </cell>
        </row>
        <row r="155">
          <cell r="G155">
            <v>1205.1600000000001</v>
          </cell>
        </row>
        <row r="156">
          <cell r="G156">
            <v>322.60000000000002</v>
          </cell>
        </row>
        <row r="193">
          <cell r="G193">
            <v>285989273.62479985</v>
          </cell>
        </row>
        <row r="194">
          <cell r="G194">
            <v>65952615.427600026</v>
          </cell>
        </row>
        <row r="195">
          <cell r="G195">
            <v>103621147.79090002</v>
          </cell>
        </row>
        <row r="196">
          <cell r="G196">
            <v>169176405.75279999</v>
          </cell>
        </row>
        <row r="197">
          <cell r="G197">
            <v>45084065.729199998</v>
          </cell>
        </row>
      </sheetData>
      <sheetData sheetId="4">
        <row r="61">
          <cell r="G61">
            <v>4706.0600000000004</v>
          </cell>
        </row>
        <row r="62">
          <cell r="G62">
            <v>-2331.38</v>
          </cell>
        </row>
        <row r="63">
          <cell r="G63">
            <v>-908.23</v>
          </cell>
        </row>
        <row r="64">
          <cell r="G64">
            <v>-2263.08</v>
          </cell>
        </row>
        <row r="65">
          <cell r="G65">
            <v>-2550.48</v>
          </cell>
        </row>
        <row r="70">
          <cell r="G70">
            <v>-2342.77</v>
          </cell>
        </row>
        <row r="71">
          <cell r="G71">
            <v>-877.39</v>
          </cell>
        </row>
        <row r="72">
          <cell r="G72">
            <v>-1850.21</v>
          </cell>
        </row>
        <row r="73">
          <cell r="G73">
            <v>-938.87</v>
          </cell>
        </row>
        <row r="74">
          <cell r="G74">
            <v>-1623.68</v>
          </cell>
        </row>
        <row r="88">
          <cell r="G88">
            <v>20495.330000000002</v>
          </cell>
        </row>
        <row r="89">
          <cell r="G89">
            <v>-14699.93</v>
          </cell>
        </row>
        <row r="90">
          <cell r="G90">
            <v>-12733.27</v>
          </cell>
        </row>
        <row r="91">
          <cell r="G91">
            <v>-60297.87</v>
          </cell>
        </row>
        <row r="92">
          <cell r="G92">
            <v>-81333.600000000006</v>
          </cell>
        </row>
        <row r="96">
          <cell r="G96">
            <v>208583.53</v>
          </cell>
        </row>
        <row r="97">
          <cell r="G97">
            <v>87353.180000000008</v>
          </cell>
        </row>
        <row r="98">
          <cell r="G98">
            <v>116117.67</v>
          </cell>
        </row>
        <row r="99">
          <cell r="G99">
            <v>54438.09</v>
          </cell>
        </row>
        <row r="100">
          <cell r="G100">
            <v>-2610.63</v>
          </cell>
        </row>
        <row r="104">
          <cell r="G104">
            <v>211800.1</v>
          </cell>
        </row>
        <row r="105">
          <cell r="G105">
            <v>64121.23</v>
          </cell>
        </row>
        <row r="106">
          <cell r="G106">
            <v>105824.64</v>
          </cell>
        </row>
        <row r="107">
          <cell r="G107">
            <v>60578.45</v>
          </cell>
        </row>
        <row r="108">
          <cell r="G108">
            <v>-4317.38</v>
          </cell>
        </row>
        <row r="112">
          <cell r="G112">
            <v>4572.17</v>
          </cell>
        </row>
        <row r="113">
          <cell r="G113">
            <v>15166.9</v>
          </cell>
        </row>
        <row r="114">
          <cell r="G114">
            <v>16072.15</v>
          </cell>
        </row>
        <row r="115">
          <cell r="G115">
            <v>4301.1400000000003</v>
          </cell>
        </row>
        <row r="116">
          <cell r="G116">
            <v>1012.6</v>
          </cell>
        </row>
        <row r="120">
          <cell r="G120">
            <v>-2355.8200000000002</v>
          </cell>
        </row>
        <row r="121">
          <cell r="G121">
            <v>0</v>
          </cell>
        </row>
        <row r="122">
          <cell r="G122">
            <v>0</v>
          </cell>
        </row>
        <row r="123">
          <cell r="G123">
            <v>0</v>
          </cell>
        </row>
        <row r="124">
          <cell r="G124">
            <v>0</v>
          </cell>
        </row>
        <row r="128">
          <cell r="G128">
            <v>84253.36</v>
          </cell>
        </row>
        <row r="129">
          <cell r="G129">
            <v>7612.63</v>
          </cell>
        </row>
        <row r="130">
          <cell r="G130">
            <v>17922.09</v>
          </cell>
        </row>
        <row r="131">
          <cell r="G131">
            <v>15610.15</v>
          </cell>
        </row>
        <row r="132">
          <cell r="G132">
            <v>-13084.45</v>
          </cell>
        </row>
        <row r="136">
          <cell r="G136">
            <v>587695.79</v>
          </cell>
        </row>
        <row r="137">
          <cell r="G137">
            <v>44868.17</v>
          </cell>
        </row>
        <row r="138">
          <cell r="G138">
            <v>234620.62</v>
          </cell>
        </row>
        <row r="139">
          <cell r="G139">
            <v>153754.43</v>
          </cell>
        </row>
        <row r="140">
          <cell r="G140">
            <v>38557.75</v>
          </cell>
        </row>
        <row r="144">
          <cell r="G144">
            <v>2327.19</v>
          </cell>
        </row>
        <row r="145">
          <cell r="G145">
            <v>0</v>
          </cell>
        </row>
        <row r="146">
          <cell r="G146">
            <v>-33.6</v>
          </cell>
        </row>
        <row r="147">
          <cell r="G147">
            <v>-243.33</v>
          </cell>
        </row>
        <row r="148">
          <cell r="G148">
            <v>-53.75</v>
          </cell>
        </row>
        <row r="152">
          <cell r="G152">
            <v>25451.39</v>
          </cell>
        </row>
        <row r="153">
          <cell r="G153">
            <v>1135.9000000000001</v>
          </cell>
        </row>
        <row r="154">
          <cell r="G154">
            <v>1854.71</v>
          </cell>
        </row>
        <row r="155">
          <cell r="G155">
            <v>2956.82</v>
          </cell>
        </row>
        <row r="156">
          <cell r="G156">
            <v>584.21</v>
          </cell>
        </row>
        <row r="193">
          <cell r="G193">
            <v>232738549.62549981</v>
          </cell>
        </row>
        <row r="194">
          <cell r="G194">
            <v>41303067.231400058</v>
          </cell>
        </row>
        <row r="195">
          <cell r="G195">
            <v>81473060.369900003</v>
          </cell>
        </row>
        <row r="196">
          <cell r="G196">
            <v>92656012.208900005</v>
          </cell>
        </row>
        <row r="197">
          <cell r="G197">
            <v>-42996504.818200007</v>
          </cell>
        </row>
      </sheetData>
      <sheetData sheetId="5">
        <row r="61">
          <cell r="G61">
            <v>3012.82</v>
          </cell>
        </row>
        <row r="62">
          <cell r="G62">
            <v>590.57000000000005</v>
          </cell>
        </row>
        <row r="63">
          <cell r="G63">
            <v>1166.44</v>
          </cell>
        </row>
        <row r="64">
          <cell r="G64">
            <v>1219.77</v>
          </cell>
        </row>
        <row r="65">
          <cell r="G65">
            <v>335.89</v>
          </cell>
        </row>
        <row r="70">
          <cell r="G70">
            <v>-1519.07</v>
          </cell>
        </row>
        <row r="71">
          <cell r="G71">
            <v>-431.11</v>
          </cell>
        </row>
        <row r="72">
          <cell r="G72">
            <v>-297.82</v>
          </cell>
        </row>
        <row r="73">
          <cell r="G73">
            <v>-9.69</v>
          </cell>
        </row>
        <row r="74">
          <cell r="G74">
            <v>0</v>
          </cell>
        </row>
        <row r="88">
          <cell r="G88">
            <v>12145</v>
          </cell>
        </row>
        <row r="89">
          <cell r="G89">
            <v>1736.42</v>
          </cell>
        </row>
        <row r="90">
          <cell r="G90">
            <v>2567.34</v>
          </cell>
        </row>
        <row r="91">
          <cell r="G91">
            <v>4315.5200000000004</v>
          </cell>
        </row>
        <row r="92">
          <cell r="G92">
            <v>909.23</v>
          </cell>
        </row>
        <row r="96">
          <cell r="G96">
            <v>136252.41</v>
          </cell>
        </row>
        <row r="97">
          <cell r="G97">
            <v>66981.040000000008</v>
          </cell>
        </row>
        <row r="98">
          <cell r="G98">
            <v>97605.63</v>
          </cell>
        </row>
        <row r="99">
          <cell r="G99">
            <v>47246.68</v>
          </cell>
        </row>
        <row r="100">
          <cell r="G100">
            <v>-5421.58</v>
          </cell>
        </row>
        <row r="104">
          <cell r="G104">
            <v>137783.70000000001</v>
          </cell>
        </row>
        <row r="105">
          <cell r="G105">
            <v>60340.4</v>
          </cell>
        </row>
        <row r="106">
          <cell r="G106">
            <v>92899.27</v>
          </cell>
        </row>
        <row r="107">
          <cell r="G107">
            <v>70769.73</v>
          </cell>
        </row>
        <row r="108">
          <cell r="G108">
            <v>4243.09</v>
          </cell>
        </row>
        <row r="112">
          <cell r="G112">
            <v>3024.66</v>
          </cell>
        </row>
        <row r="113">
          <cell r="G113">
            <v>10433.93</v>
          </cell>
        </row>
        <row r="114">
          <cell r="G114">
            <v>13659.63</v>
          </cell>
        </row>
        <row r="115">
          <cell r="G115">
            <v>3769.77</v>
          </cell>
        </row>
        <row r="116">
          <cell r="G116">
            <v>-303.08</v>
          </cell>
        </row>
        <row r="120">
          <cell r="G120">
            <v>-1515.16</v>
          </cell>
        </row>
        <row r="121">
          <cell r="G121">
            <v>0</v>
          </cell>
        </row>
        <row r="122">
          <cell r="G122">
            <v>0</v>
          </cell>
        </row>
        <row r="123">
          <cell r="G123">
            <v>0</v>
          </cell>
        </row>
        <row r="124">
          <cell r="G124">
            <v>0</v>
          </cell>
        </row>
        <row r="128">
          <cell r="G128">
            <v>54538.67</v>
          </cell>
        </row>
        <row r="129">
          <cell r="G129">
            <v>9603.0300000000007</v>
          </cell>
        </row>
        <row r="130">
          <cell r="G130">
            <v>17444.849999999999</v>
          </cell>
        </row>
        <row r="131">
          <cell r="G131">
            <v>32645.51</v>
          </cell>
        </row>
        <row r="132">
          <cell r="G132">
            <v>6364.64</v>
          </cell>
        </row>
        <row r="136">
          <cell r="G136">
            <v>384497.24</v>
          </cell>
        </row>
        <row r="137">
          <cell r="G137">
            <v>36002.31</v>
          </cell>
        </row>
        <row r="138">
          <cell r="G138">
            <v>191181.86</v>
          </cell>
        </row>
        <row r="139">
          <cell r="G139">
            <v>132365.57999999999</v>
          </cell>
        </row>
        <row r="140">
          <cell r="G140">
            <v>40006.32</v>
          </cell>
        </row>
        <row r="144">
          <cell r="G144">
            <v>1514.4</v>
          </cell>
        </row>
        <row r="145">
          <cell r="G145">
            <v>0</v>
          </cell>
        </row>
        <row r="146">
          <cell r="G146">
            <v>1.32</v>
          </cell>
        </row>
        <row r="147">
          <cell r="G147">
            <v>-9.69</v>
          </cell>
        </row>
        <row r="148">
          <cell r="G148">
            <v>606.16</v>
          </cell>
        </row>
        <row r="152">
          <cell r="G152">
            <v>16651.46</v>
          </cell>
        </row>
        <row r="153">
          <cell r="G153">
            <v>911.45</v>
          </cell>
        </row>
        <row r="154">
          <cell r="G154">
            <v>1511.32</v>
          </cell>
        </row>
        <row r="155">
          <cell r="G155">
            <v>2545.4899999999998</v>
          </cell>
        </row>
        <row r="156">
          <cell r="G156">
            <v>606.16</v>
          </cell>
        </row>
        <row r="193">
          <cell r="G193">
            <v>151419388.44740003</v>
          </cell>
        </row>
        <row r="194">
          <cell r="G194">
            <v>45969530.472700007</v>
          </cell>
        </row>
        <row r="195">
          <cell r="G195">
            <v>75431927.148500025</v>
          </cell>
        </row>
        <row r="196">
          <cell r="G196">
            <v>126375336.97510001</v>
          </cell>
        </row>
        <row r="197">
          <cell r="G197">
            <v>30307815.815900002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ro ST Rate Apr 2025"/>
      <sheetName val="Metro ST Rate Mar 2025"/>
      <sheetName val="Metro ST Rate Feb 2025"/>
      <sheetName val="Metro ST Rate Jan 2025"/>
      <sheetName val="Metro ST Rate Dec 2024"/>
      <sheetName val="Metro ST Rate Nov 2024"/>
    </sheetNames>
    <sheetDataSet>
      <sheetData sheetId="0">
        <row r="43">
          <cell r="E43">
            <v>4.6207399999999999E-3</v>
          </cell>
        </row>
      </sheetData>
      <sheetData sheetId="1">
        <row r="43">
          <cell r="E43">
            <v>4.62145E-3</v>
          </cell>
        </row>
      </sheetData>
      <sheetData sheetId="2">
        <row r="43">
          <cell r="E43">
            <v>4.6177400000000004E-3</v>
          </cell>
        </row>
      </sheetData>
      <sheetData sheetId="3">
        <row r="43">
          <cell r="E43">
            <v>4.6108499999999997E-3</v>
          </cell>
        </row>
      </sheetData>
      <sheetData sheetId="4">
        <row r="43">
          <cell r="E43">
            <v>4.6890200000000003E-3</v>
          </cell>
        </row>
      </sheetData>
      <sheetData sheetId="5">
        <row r="43">
          <cell r="E43">
            <v>4.8565300000000004E-3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row r="40">
          <cell r="N40">
            <v>35040.17</v>
          </cell>
          <cell r="O40">
            <v>3931.42</v>
          </cell>
          <cell r="P40">
            <v>15746.05</v>
          </cell>
          <cell r="Q40">
            <v>13336.42</v>
          </cell>
          <cell r="R40">
            <v>4382.4699999999993</v>
          </cell>
        </row>
      </sheetData>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row r="40">
          <cell r="N40">
            <v>135969.19</v>
          </cell>
          <cell r="O40">
            <v>9800.2699999999986</v>
          </cell>
          <cell r="P40">
            <v>66783.399999999994</v>
          </cell>
          <cell r="Q40">
            <v>39665.600000000006</v>
          </cell>
          <cell r="R40">
            <v>14723.969999999996</v>
          </cell>
        </row>
      </sheetData>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row r="40">
          <cell r="N40">
            <v>116145.19</v>
          </cell>
          <cell r="O40">
            <v>14186.02</v>
          </cell>
          <cell r="P40">
            <v>38320.050000000017</v>
          </cell>
          <cell r="Q40">
            <v>43809.180000000008</v>
          </cell>
          <cell r="R40">
            <v>13261.04</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Cost by Qtr"/>
      <sheetName val="Historical Cost by Mth"/>
      <sheetName val="Historical Mthly Cost Alloc"/>
      <sheetName val="Spend EO- Metro"/>
      <sheetName val="Spend EO- MOWest"/>
      <sheetName val="Pivot - SI Project Metro"/>
      <sheetName val="Pivot - SI Project MOWest"/>
      <sheetName val="SI0000 Alloc"/>
      <sheetName val="SI Project Data"/>
      <sheetName val="Spending-Alloc Rates"/>
      <sheetName val="Revenue by Rate Annual"/>
      <sheetName val="042025 C4 Spend (incl EO) Alloc"/>
    </sheetNames>
    <sheetDataSet>
      <sheetData sheetId="0"/>
      <sheetData sheetId="1"/>
      <sheetData sheetId="2"/>
      <sheetData sheetId="3">
        <row r="13">
          <cell r="O13">
            <v>4321.03</v>
          </cell>
        </row>
      </sheetData>
      <sheetData sheetId="4"/>
      <sheetData sheetId="5">
        <row r="40">
          <cell r="N40">
            <v>172149</v>
          </cell>
          <cell r="O40">
            <v>16695.260000000002</v>
          </cell>
          <cell r="P40">
            <v>152698.72999999998</v>
          </cell>
          <cell r="Q40">
            <v>-25500.690000000017</v>
          </cell>
          <cell r="R40">
            <v>-4736.4799999999959</v>
          </cell>
        </row>
      </sheetData>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efreshError="1"/>
      <sheetData sheetId="2">
        <row r="563">
          <cell r="BS563">
            <v>189464.58000000002</v>
          </cell>
          <cell r="BT563">
            <v>182626.76999999996</v>
          </cell>
          <cell r="BU563">
            <v>142424.86000000002</v>
          </cell>
          <cell r="BV563">
            <v>88209.91</v>
          </cell>
          <cell r="BW563">
            <v>96400.94</v>
          </cell>
          <cell r="BX563">
            <v>109014.79</v>
          </cell>
          <cell r="BY563">
            <v>95248.510000000009</v>
          </cell>
          <cell r="BZ563">
            <v>88126.12999999999</v>
          </cell>
          <cell r="CA563">
            <v>89079.05</v>
          </cell>
          <cell r="CB563">
            <v>91395.489999999991</v>
          </cell>
          <cell r="CC563">
            <v>95084.23</v>
          </cell>
          <cell r="CD563">
            <v>133332.79</v>
          </cell>
        </row>
        <row r="564">
          <cell r="BS564">
            <v>26524.06</v>
          </cell>
          <cell r="BT564">
            <v>26075.55</v>
          </cell>
          <cell r="BU564">
            <v>21199.420000000002</v>
          </cell>
          <cell r="BV564">
            <v>17756.739999999998</v>
          </cell>
          <cell r="BW564">
            <v>17578.559999999998</v>
          </cell>
          <cell r="BX564">
            <v>16539.86</v>
          </cell>
          <cell r="BY564">
            <v>16474.89</v>
          </cell>
          <cell r="BZ564">
            <v>14944.609999999999</v>
          </cell>
          <cell r="CA564">
            <v>16999.73</v>
          </cell>
          <cell r="CB564">
            <v>17085.260000000002</v>
          </cell>
          <cell r="CC564">
            <v>18778.53</v>
          </cell>
          <cell r="CD564">
            <v>23724.079999999998</v>
          </cell>
        </row>
        <row r="565">
          <cell r="BS565">
            <v>48205.939999999995</v>
          </cell>
          <cell r="BT565">
            <v>48721.81</v>
          </cell>
          <cell r="BU565">
            <v>45202.86</v>
          </cell>
          <cell r="BV565">
            <v>34038.350000000006</v>
          </cell>
          <cell r="BW565">
            <v>34241.730000000003</v>
          </cell>
          <cell r="BX565">
            <v>31849.920000000002</v>
          </cell>
          <cell r="BY565">
            <v>31360.93</v>
          </cell>
          <cell r="BZ565">
            <v>28632.11</v>
          </cell>
          <cell r="CA565">
            <v>32667.43</v>
          </cell>
          <cell r="CB565">
            <v>33185.42</v>
          </cell>
          <cell r="CC565">
            <v>37213.81</v>
          </cell>
          <cell r="CD565">
            <v>49998.8</v>
          </cell>
        </row>
        <row r="566">
          <cell r="BS566">
            <v>44083.869999999995</v>
          </cell>
          <cell r="BT566">
            <v>45095.869999999995</v>
          </cell>
          <cell r="BU566">
            <v>40796.06</v>
          </cell>
          <cell r="BV566">
            <v>29814.579999999998</v>
          </cell>
          <cell r="BW566">
            <v>31071.690000000002</v>
          </cell>
          <cell r="BX566">
            <v>28982.520000000004</v>
          </cell>
          <cell r="BY566">
            <v>28850.49</v>
          </cell>
          <cell r="BZ566">
            <v>26303.199999999997</v>
          </cell>
          <cell r="CA566">
            <v>30069.190000000002</v>
          </cell>
          <cell r="CB566">
            <v>30819.5</v>
          </cell>
          <cell r="CC566">
            <v>33533.67</v>
          </cell>
          <cell r="CD566">
            <v>45810.450000000004</v>
          </cell>
        </row>
        <row r="567">
          <cell r="BS567">
            <v>2235.52</v>
          </cell>
          <cell r="BT567">
            <v>2384.94</v>
          </cell>
          <cell r="BU567">
            <v>2180.63</v>
          </cell>
          <cell r="BV567">
            <v>1633.24</v>
          </cell>
          <cell r="BW567">
            <v>1644.6</v>
          </cell>
          <cell r="BX567">
            <v>1612.23</v>
          </cell>
          <cell r="BY567">
            <v>1388.28</v>
          </cell>
          <cell r="BZ567">
            <v>1577.7199999999998</v>
          </cell>
          <cell r="CA567">
            <v>1774.71</v>
          </cell>
          <cell r="CB567">
            <v>1678.02</v>
          </cell>
          <cell r="CC567">
            <v>1766.64</v>
          </cell>
          <cell r="CD567">
            <v>2365.0100000000002</v>
          </cell>
        </row>
      </sheetData>
      <sheetData sheetId="3">
        <row r="575">
          <cell r="BS575">
            <v>132330.07</v>
          </cell>
          <cell r="BT575">
            <v>122159.84999999999</v>
          </cell>
          <cell r="BU575">
            <v>64603.78</v>
          </cell>
          <cell r="BV575">
            <v>33450.449999999997</v>
          </cell>
          <cell r="BW575">
            <v>36056.129999999997</v>
          </cell>
          <cell r="BX575">
            <v>33264.42</v>
          </cell>
          <cell r="BY575">
            <v>31040.75</v>
          </cell>
          <cell r="BZ575">
            <v>28408.02</v>
          </cell>
          <cell r="CA575">
            <v>34549.740000000005</v>
          </cell>
          <cell r="CB575">
            <v>35124.080000000002</v>
          </cell>
          <cell r="CC575">
            <v>38114.839999999997</v>
          </cell>
          <cell r="CD575">
            <v>75988.44</v>
          </cell>
        </row>
        <row r="576">
          <cell r="BS576">
            <v>9107.0499999999993</v>
          </cell>
          <cell r="BT576">
            <v>9078.5299999999988</v>
          </cell>
          <cell r="BU576">
            <v>8356.7800000000007</v>
          </cell>
          <cell r="BV576">
            <v>6393.1100000000006</v>
          </cell>
          <cell r="BW576">
            <v>6401.4900000000007</v>
          </cell>
          <cell r="BX576">
            <v>5892.95</v>
          </cell>
          <cell r="BY576">
            <v>5816.2</v>
          </cell>
          <cell r="BZ576">
            <v>5264.66</v>
          </cell>
          <cell r="CA576">
            <v>6141.13</v>
          </cell>
          <cell r="CB576">
            <v>6193.35</v>
          </cell>
          <cell r="CC576">
            <v>6765.3600000000006</v>
          </cell>
          <cell r="CD576">
            <v>9245.86</v>
          </cell>
        </row>
        <row r="577">
          <cell r="BS577">
            <v>50655.919999999991</v>
          </cell>
          <cell r="BT577">
            <v>51097.659999999996</v>
          </cell>
          <cell r="BU577">
            <v>47558.58</v>
          </cell>
          <cell r="BV577">
            <v>35210.22</v>
          </cell>
          <cell r="BW577">
            <v>35541.18</v>
          </cell>
          <cell r="BX577">
            <v>32892.17</v>
          </cell>
          <cell r="BY577">
            <v>32196.06</v>
          </cell>
          <cell r="BZ577">
            <v>29370.819999999996</v>
          </cell>
          <cell r="CA577">
            <v>33664.619999999995</v>
          </cell>
          <cell r="CB577">
            <v>34338.469999999994</v>
          </cell>
          <cell r="CC577">
            <v>38327.69</v>
          </cell>
          <cell r="CD577">
            <v>52400.170000000006</v>
          </cell>
        </row>
        <row r="578">
          <cell r="BS578">
            <v>38729.75</v>
          </cell>
          <cell r="BT578">
            <v>39501.369999999995</v>
          </cell>
          <cell r="BU578">
            <v>35849.64</v>
          </cell>
          <cell r="BV578">
            <v>25413.45</v>
          </cell>
          <cell r="BW578">
            <v>26565.59</v>
          </cell>
          <cell r="BX578">
            <v>24591.030000000002</v>
          </cell>
          <cell r="BY578">
            <v>24359.85</v>
          </cell>
          <cell r="BZ578">
            <v>22188.560000000001</v>
          </cell>
          <cell r="CA578">
            <v>25593.109999999997</v>
          </cell>
          <cell r="CB578">
            <v>26268.210000000003</v>
          </cell>
          <cell r="CC578">
            <v>28487.77</v>
          </cell>
          <cell r="CD578">
            <v>39995.969999999994</v>
          </cell>
        </row>
        <row r="579">
          <cell r="BS579">
            <v>2612.98</v>
          </cell>
          <cell r="BT579">
            <v>2742.72</v>
          </cell>
          <cell r="BU579">
            <v>2522.88</v>
          </cell>
          <cell r="BV579">
            <v>1732.06</v>
          </cell>
          <cell r="BW579">
            <v>1769.86</v>
          </cell>
          <cell r="BX579">
            <v>1690.8899999999999</v>
          </cell>
          <cell r="BY579">
            <v>1477.33</v>
          </cell>
          <cell r="BZ579">
            <v>1614.2</v>
          </cell>
          <cell r="CA579">
            <v>1859.17</v>
          </cell>
          <cell r="CB579">
            <v>1784.61</v>
          </cell>
          <cell r="CC579">
            <v>1872.5</v>
          </cell>
          <cell r="CD579">
            <v>2695.3399999999997</v>
          </cell>
        </row>
      </sheetData>
      <sheetData sheetId="4">
        <row r="711">
          <cell r="BS711">
            <v>66757.76999999999</v>
          </cell>
          <cell r="BT711">
            <v>63248.140000000007</v>
          </cell>
          <cell r="BU711">
            <v>47368.11</v>
          </cell>
          <cell r="BV711">
            <v>26424.080000000002</v>
          </cell>
          <cell r="BW711">
            <v>28618.190000000006</v>
          </cell>
          <cell r="BX711">
            <v>29173.980000000003</v>
          </cell>
          <cell r="BY711">
            <v>27066.629999999997</v>
          </cell>
          <cell r="BZ711">
            <v>24921.65</v>
          </cell>
          <cell r="CA711">
            <v>27789.83</v>
          </cell>
          <cell r="CB711">
            <v>28350.130000000005</v>
          </cell>
          <cell r="CC711">
            <v>30283.14</v>
          </cell>
          <cell r="CD711">
            <v>53007.1</v>
          </cell>
        </row>
        <row r="712">
          <cell r="BS712">
            <v>52513.429999999986</v>
          </cell>
          <cell r="BT712">
            <v>52666.780000000006</v>
          </cell>
          <cell r="BU712">
            <v>48960.65</v>
          </cell>
          <cell r="BV712">
            <v>41178.949999999997</v>
          </cell>
          <cell r="BW712">
            <v>40766.120000000003</v>
          </cell>
          <cell r="BX712">
            <v>38368</v>
          </cell>
          <cell r="BY712">
            <v>38151.469999999994</v>
          </cell>
          <cell r="BZ712">
            <v>34597.630000000005</v>
          </cell>
          <cell r="CA712">
            <v>39320.11</v>
          </cell>
          <cell r="CB712">
            <v>39581.87999999999</v>
          </cell>
          <cell r="CC712">
            <v>43455.18</v>
          </cell>
          <cell r="CD712">
            <v>54786.850000000006</v>
          </cell>
        </row>
        <row r="713">
          <cell r="BS713">
            <v>55695.880000000012</v>
          </cell>
          <cell r="BT713">
            <v>56258.339999999989</v>
          </cell>
          <cell r="BU713">
            <v>52299.810000000005</v>
          </cell>
          <cell r="BV713">
            <v>39114.1</v>
          </cell>
          <cell r="BW713">
            <v>39430.130000000005</v>
          </cell>
          <cell r="BX713">
            <v>36634.610000000008</v>
          </cell>
          <cell r="BY713">
            <v>35944.670000000006</v>
          </cell>
          <cell r="BZ713">
            <v>32805.730000000003</v>
          </cell>
          <cell r="CA713">
            <v>37464.849999999991</v>
          </cell>
          <cell r="CB713">
            <v>38157.160000000003</v>
          </cell>
          <cell r="CC713">
            <v>42645.17</v>
          </cell>
          <cell r="CD713">
            <v>57648.53</v>
          </cell>
        </row>
        <row r="714">
          <cell r="BS714">
            <v>18492.79</v>
          </cell>
          <cell r="BT714">
            <v>18820.150000000005</v>
          </cell>
          <cell r="BU714">
            <v>17170.13</v>
          </cell>
          <cell r="BV714">
            <v>11694.6</v>
          </cell>
          <cell r="BW714">
            <v>12279.67</v>
          </cell>
          <cell r="BX714">
            <v>11334.870000000003</v>
          </cell>
          <cell r="BY714">
            <v>11170.359999999999</v>
          </cell>
          <cell r="BZ714">
            <v>10185.52</v>
          </cell>
          <cell r="CA714">
            <v>11818.439999999999</v>
          </cell>
          <cell r="CB714">
            <v>12119.949999999999</v>
          </cell>
          <cell r="CC714">
            <v>13064.45</v>
          </cell>
          <cell r="CD714">
            <v>18817.47</v>
          </cell>
        </row>
        <row r="715">
          <cell r="BS715">
            <v>1790.47</v>
          </cell>
          <cell r="BT715">
            <v>1830.05</v>
          </cell>
          <cell r="BU715">
            <v>1701.9299999999998</v>
          </cell>
          <cell r="BV715">
            <v>1015.8399999999999</v>
          </cell>
          <cell r="BW715">
            <v>1069.3</v>
          </cell>
          <cell r="BX715">
            <v>984.49999999999989</v>
          </cell>
          <cell r="BY715">
            <v>892.14</v>
          </cell>
          <cell r="BZ715">
            <v>895.59</v>
          </cell>
          <cell r="CA715">
            <v>1064.97</v>
          </cell>
          <cell r="CB715">
            <v>1056.1599999999999</v>
          </cell>
          <cell r="CC715">
            <v>1099.6400000000001</v>
          </cell>
          <cell r="CD715">
            <v>1760.0400000000002</v>
          </cell>
        </row>
      </sheetData>
      <sheetData sheetId="5">
        <row r="3">
          <cell r="Z3">
            <v>149224.38</v>
          </cell>
          <cell r="AA3">
            <v>167454.87999999998</v>
          </cell>
          <cell r="AB3">
            <v>159132.67000000001</v>
          </cell>
          <cell r="AC3">
            <v>147388.31</v>
          </cell>
          <cell r="AD3">
            <v>157476.65000000002</v>
          </cell>
          <cell r="AE3">
            <v>161321.32</v>
          </cell>
          <cell r="AF3">
            <v>169437.52999999997</v>
          </cell>
          <cell r="AG3">
            <v>271350.02</v>
          </cell>
        </row>
        <row r="4">
          <cell r="Z4">
            <v>55433.75</v>
          </cell>
          <cell r="AA4">
            <v>56858.880000000005</v>
          </cell>
          <cell r="AB4">
            <v>60442.559999999998</v>
          </cell>
          <cell r="AC4">
            <v>54806.9</v>
          </cell>
          <cell r="AD4">
            <v>62460.97</v>
          </cell>
          <cell r="AE4">
            <v>62860.489999999991</v>
          </cell>
          <cell r="AF4">
            <v>68999.070000000007</v>
          </cell>
          <cell r="AG4">
            <v>87756.790000000008</v>
          </cell>
        </row>
        <row r="5">
          <cell r="Z5">
            <v>91625.97</v>
          </cell>
          <cell r="AA5">
            <v>93656.47</v>
          </cell>
          <cell r="AB5">
            <v>99501.66</v>
          </cell>
          <cell r="AC5">
            <v>90808.66</v>
          </cell>
          <cell r="AD5">
            <v>103796.89999999998</v>
          </cell>
          <cell r="AE5">
            <v>105681.04999999999</v>
          </cell>
          <cell r="AF5">
            <v>118186.67</v>
          </cell>
          <cell r="AG5">
            <v>160047.5</v>
          </cell>
        </row>
        <row r="6">
          <cell r="Z6">
            <v>63112.36</v>
          </cell>
          <cell r="AA6">
            <v>62166.270000000004</v>
          </cell>
          <cell r="AB6">
            <v>64380.7</v>
          </cell>
          <cell r="AC6">
            <v>58677.279999999999</v>
          </cell>
          <cell r="AD6">
            <v>67480.740000000005</v>
          </cell>
          <cell r="AE6">
            <v>69207.66</v>
          </cell>
          <cell r="AF6">
            <v>75085.89</v>
          </cell>
          <cell r="AG6">
            <v>104623.89</v>
          </cell>
        </row>
        <row r="7">
          <cell r="Z7">
            <v>4069.9700000000003</v>
          </cell>
          <cell r="AA7">
            <v>4179.1899999999996</v>
          </cell>
          <cell r="AB7">
            <v>3757.7499999999995</v>
          </cell>
          <cell r="AC7">
            <v>4087.51</v>
          </cell>
          <cell r="AD7">
            <v>4698.8500000000004</v>
          </cell>
          <cell r="AE7">
            <v>4518.79</v>
          </cell>
          <cell r="AF7">
            <v>4738.7800000000007</v>
          </cell>
          <cell r="AG7">
            <v>6820.39</v>
          </cell>
        </row>
        <row r="18">
          <cell r="Z18">
            <v>2716493.9504557815</v>
          </cell>
          <cell r="AA18">
            <v>3275517.889887224</v>
          </cell>
          <cell r="AB18">
            <v>3396986.3526831074</v>
          </cell>
          <cell r="AC18">
            <v>3061869.0236856081</v>
          </cell>
          <cell r="AD18">
            <v>3152798.4020048468</v>
          </cell>
          <cell r="AE18">
            <v>3033521.7032404272</v>
          </cell>
          <cell r="AF18">
            <v>3219769.2095790468</v>
          </cell>
          <cell r="AG18">
            <v>3286990.1644622064</v>
          </cell>
          <cell r="AH18">
            <v>4347613.707226906</v>
          </cell>
          <cell r="AI18">
            <v>4127261.1883847089</v>
          </cell>
          <cell r="AJ18">
            <v>3049940.9498418379</v>
          </cell>
          <cell r="AK18">
            <v>3093221.1002999344</v>
          </cell>
          <cell r="AL18">
            <v>2973391.3380581462</v>
          </cell>
          <cell r="AM18">
            <v>3374691.0260285479</v>
          </cell>
          <cell r="AN18">
            <v>3319508.0757890986</v>
          </cell>
          <cell r="AO18">
            <v>2984390.7467915993</v>
          </cell>
          <cell r="AP18">
            <v>3075320.1251108381</v>
          </cell>
          <cell r="AQ18">
            <v>2956043.4263464184</v>
          </cell>
          <cell r="AR18">
            <v>3147346.5248163491</v>
          </cell>
          <cell r="AS18">
            <v>3214567.4796995088</v>
          </cell>
        </row>
        <row r="19">
          <cell r="Z19">
            <v>885296.68233539723</v>
          </cell>
          <cell r="AA19">
            <v>969575.59743865381</v>
          </cell>
          <cell r="AB19">
            <v>1088384.8238383075</v>
          </cell>
          <cell r="AC19">
            <v>983305.92400294705</v>
          </cell>
          <cell r="AD19">
            <v>1093306.0496875739</v>
          </cell>
          <cell r="AE19">
            <v>1044503.9484968557</v>
          </cell>
          <cell r="AF19">
            <v>1094833.9633477174</v>
          </cell>
          <cell r="AG19">
            <v>1060606.3737907219</v>
          </cell>
          <cell r="AH19">
            <v>1132008.6138683278</v>
          </cell>
          <cell r="AI19">
            <v>1145707.1818266679</v>
          </cell>
          <cell r="AJ19">
            <v>1035263.0503486521</v>
          </cell>
          <cell r="AK19">
            <v>1097576.6801571017</v>
          </cell>
          <cell r="AL19">
            <v>1039537.2846923408</v>
          </cell>
          <cell r="AM19">
            <v>1039221.2656257441</v>
          </cell>
          <cell r="AN19">
            <v>1088384.8238383075</v>
          </cell>
          <cell r="AO19">
            <v>983305.92400294705</v>
          </cell>
          <cell r="AP19">
            <v>1093306.0496875739</v>
          </cell>
          <cell r="AQ19">
            <v>1044503.9484968557</v>
          </cell>
          <cell r="AR19">
            <v>1094833.9633477174</v>
          </cell>
          <cell r="AS19">
            <v>1060606.3737907219</v>
          </cell>
        </row>
        <row r="20">
          <cell r="Z20">
            <v>2088588.0526398318</v>
          </cell>
          <cell r="AA20">
            <v>2314626.8112396789</v>
          </cell>
          <cell r="AB20">
            <v>2642710.421834141</v>
          </cell>
          <cell r="AC20">
            <v>2388551.0077829859</v>
          </cell>
          <cell r="AD20">
            <v>2653844.4660945092</v>
          </cell>
          <cell r="AE20">
            <v>2532182.6269621686</v>
          </cell>
          <cell r="AF20">
            <v>2657075.5318343434</v>
          </cell>
          <cell r="AG20">
            <v>2567182.616596262</v>
          </cell>
          <cell r="AH20">
            <v>2637566.2127440842</v>
          </cell>
          <cell r="AI20">
            <v>2684526.863507783</v>
          </cell>
          <cell r="AJ20">
            <v>2503985.1143560442</v>
          </cell>
          <cell r="AK20">
            <v>2659859.1081490116</v>
          </cell>
          <cell r="AL20">
            <v>2517808.0827801032</v>
          </cell>
          <cell r="AM20">
            <v>2519241.6692336854</v>
          </cell>
          <cell r="AN20">
            <v>2642710.421834141</v>
          </cell>
          <cell r="AO20">
            <v>2388551.0077829859</v>
          </cell>
          <cell r="AP20">
            <v>2653844.4660945092</v>
          </cell>
          <cell r="AQ20">
            <v>2532182.6269621686</v>
          </cell>
          <cell r="AR20">
            <v>2657075.5318343434</v>
          </cell>
          <cell r="AS20">
            <v>2567182.616596262</v>
          </cell>
        </row>
        <row r="21">
          <cell r="Z21">
            <v>2273576.3321595094</v>
          </cell>
          <cell r="AA21">
            <v>2406305.6840417748</v>
          </cell>
          <cell r="AB21">
            <v>2642491.1111216052</v>
          </cell>
          <cell r="AC21">
            <v>2387228.0781238535</v>
          </cell>
          <cell r="AD21">
            <v>2658268.7473468003</v>
          </cell>
          <cell r="AE21">
            <v>2536785.7092839563</v>
          </cell>
          <cell r="AF21">
            <v>2661998.8507400956</v>
          </cell>
          <cell r="AG21">
            <v>2585517.2546375724</v>
          </cell>
          <cell r="AH21">
            <v>2656868.932522628</v>
          </cell>
          <cell r="AI21">
            <v>2702552.9519642652</v>
          </cell>
          <cell r="AJ21">
            <v>2520933.1799576068</v>
          </cell>
          <cell r="AK21">
            <v>2665547.8341784682</v>
          </cell>
          <cell r="AL21">
            <v>2523767.6014057104</v>
          </cell>
          <cell r="AM21">
            <v>2520189.3179664756</v>
          </cell>
          <cell r="AN21">
            <v>2642491.1111216052</v>
          </cell>
          <cell r="AO21">
            <v>2387228.0781238535</v>
          </cell>
          <cell r="AP21">
            <v>2658268.7473468003</v>
          </cell>
          <cell r="AQ21">
            <v>2536785.7092839563</v>
          </cell>
          <cell r="AR21">
            <v>2661998.8507400956</v>
          </cell>
          <cell r="AS21">
            <v>2585517.2546375724</v>
          </cell>
        </row>
        <row r="22">
          <cell r="Z22">
            <v>333785.54347840318</v>
          </cell>
          <cell r="AA22">
            <v>336292.17947700934</v>
          </cell>
          <cell r="AB22">
            <v>353258.55646552297</v>
          </cell>
          <cell r="AC22">
            <v>318722.20217001089</v>
          </cell>
          <cell r="AD22">
            <v>356831.69816912105</v>
          </cell>
          <cell r="AE22">
            <v>341474.30930148182</v>
          </cell>
          <cell r="AF22">
            <v>357582.04038816434</v>
          </cell>
          <cell r="AG22">
            <v>352728.37095630786</v>
          </cell>
          <cell r="AH22">
            <v>362709.18306852155</v>
          </cell>
          <cell r="AI22">
            <v>368215.04929310951</v>
          </cell>
          <cell r="AJ22">
            <v>344152.43570370437</v>
          </cell>
          <cell r="AK22">
            <v>359209.64176352712</v>
          </cell>
          <cell r="AL22">
            <v>340677.04146011965</v>
          </cell>
          <cell r="AM22">
            <v>338289.6583034175</v>
          </cell>
          <cell r="AN22">
            <v>353258.55646552297</v>
          </cell>
          <cell r="AO22">
            <v>318722.20217001089</v>
          </cell>
          <cell r="AP22">
            <v>356831.69816912105</v>
          </cell>
          <cell r="AQ22">
            <v>341474.30930148182</v>
          </cell>
          <cell r="AR22">
            <v>357582.04038816434</v>
          </cell>
          <cell r="AS22">
            <v>352728.37095630786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Monthly TD Calc"/>
      <sheetName val="Summary Monthly TD Calc"/>
    </sheetNames>
    <sheetDataSet>
      <sheetData sheetId="0"/>
      <sheetData sheetId="1"/>
      <sheetData sheetId="2"/>
      <sheetData sheetId="3">
        <row r="3">
          <cell r="B3">
            <v>0</v>
          </cell>
          <cell r="C3">
            <v>0</v>
          </cell>
          <cell r="D3">
            <v>0</v>
          </cell>
          <cell r="E3">
            <v>0</v>
          </cell>
          <cell r="F3">
            <v>308.89999999999998</v>
          </cell>
          <cell r="G3">
            <v>5875.74</v>
          </cell>
          <cell r="H3">
            <v>14494.439999999997</v>
          </cell>
          <cell r="I3">
            <v>16683.910000000003</v>
          </cell>
          <cell r="J3">
            <v>16123.910000000002</v>
          </cell>
          <cell r="K3">
            <v>5526.5199999999995</v>
          </cell>
          <cell r="L3">
            <v>6585.4199999999992</v>
          </cell>
          <cell r="M3">
            <v>11134.490000000002</v>
          </cell>
          <cell r="N3">
            <v>16471.109999999997</v>
          </cell>
          <cell r="O3">
            <v>15138.14</v>
          </cell>
          <cell r="P3">
            <v>16128.36</v>
          </cell>
          <cell r="Q3">
            <v>14723.61</v>
          </cell>
          <cell r="R3">
            <v>16372.060000000001</v>
          </cell>
          <cell r="S3">
            <v>66983.389999999985</v>
          </cell>
        </row>
        <row r="4">
          <cell r="B4">
            <v>0</v>
          </cell>
          <cell r="C4">
            <v>0</v>
          </cell>
          <cell r="D4">
            <v>0</v>
          </cell>
          <cell r="E4">
            <v>40.85</v>
          </cell>
          <cell r="F4">
            <v>186.21</v>
          </cell>
          <cell r="G4">
            <v>1101.58</v>
          </cell>
          <cell r="H4">
            <v>2111.5700000000002</v>
          </cell>
          <cell r="I4">
            <v>2905.93</v>
          </cell>
          <cell r="J4">
            <v>2900.8200000000006</v>
          </cell>
          <cell r="K4">
            <v>1589.9499999999998</v>
          </cell>
          <cell r="L4">
            <v>2028.19</v>
          </cell>
          <cell r="M4">
            <v>2234.0500000000002</v>
          </cell>
          <cell r="N4">
            <v>2709.46</v>
          </cell>
          <cell r="O4">
            <v>2591.6099999999997</v>
          </cell>
          <cell r="P4">
            <v>4238.7</v>
          </cell>
          <cell r="Q4">
            <v>4334.6400000000003</v>
          </cell>
          <cell r="R4">
            <v>5768.9899999999989</v>
          </cell>
          <cell r="S4">
            <v>16873.650000000001</v>
          </cell>
        </row>
        <row r="5">
          <cell r="B5">
            <v>0</v>
          </cell>
          <cell r="C5">
            <v>0</v>
          </cell>
          <cell r="D5">
            <v>0</v>
          </cell>
          <cell r="E5">
            <v>134.37</v>
          </cell>
          <cell r="F5">
            <v>469.55</v>
          </cell>
          <cell r="G5">
            <v>2174.7400000000002</v>
          </cell>
          <cell r="H5">
            <v>3551.8300000000004</v>
          </cell>
          <cell r="I5">
            <v>4550.3</v>
          </cell>
          <cell r="J5">
            <v>4260.49</v>
          </cell>
          <cell r="K5">
            <v>2008.4999999999998</v>
          </cell>
          <cell r="L5">
            <v>2570.36</v>
          </cell>
          <cell r="M5">
            <v>2737.2200000000003</v>
          </cell>
          <cell r="N5">
            <v>3242.73</v>
          </cell>
          <cell r="O5">
            <v>3116.7400000000002</v>
          </cell>
          <cell r="P5">
            <v>5134.16</v>
          </cell>
          <cell r="Q5">
            <v>5295.8</v>
          </cell>
          <cell r="R5">
            <v>7193.8499999999995</v>
          </cell>
          <cell r="S5">
            <v>22454.929999999997</v>
          </cell>
        </row>
        <row r="6">
          <cell r="B6">
            <v>0</v>
          </cell>
          <cell r="C6">
            <v>0</v>
          </cell>
          <cell r="D6">
            <v>0</v>
          </cell>
          <cell r="E6">
            <v>0</v>
          </cell>
          <cell r="F6">
            <v>84.779999999999987</v>
          </cell>
          <cell r="G6">
            <v>977.53000000000009</v>
          </cell>
          <cell r="H6">
            <v>2227.19</v>
          </cell>
          <cell r="I6">
            <v>3338.9299999999994</v>
          </cell>
          <cell r="J6">
            <v>3394.6500000000005</v>
          </cell>
          <cell r="K6">
            <v>1674.5299999999997</v>
          </cell>
          <cell r="L6">
            <v>2270.4499999999998</v>
          </cell>
          <cell r="M6">
            <v>2514.4</v>
          </cell>
          <cell r="N6">
            <v>3067.3100000000004</v>
          </cell>
          <cell r="O6">
            <v>2953</v>
          </cell>
          <cell r="P6">
            <v>4828.99</v>
          </cell>
          <cell r="Q6">
            <v>5054.6499999999996</v>
          </cell>
          <cell r="R6">
            <v>6656.62</v>
          </cell>
          <cell r="S6">
            <v>20978.280000000006</v>
          </cell>
        </row>
        <row r="7">
          <cell r="B7">
            <v>0</v>
          </cell>
          <cell r="C7">
            <v>0</v>
          </cell>
          <cell r="D7">
            <v>0</v>
          </cell>
          <cell r="E7">
            <v>0</v>
          </cell>
          <cell r="F7">
            <v>7.87</v>
          </cell>
          <cell r="G7">
            <v>79.7</v>
          </cell>
          <cell r="H7">
            <v>168.57000000000002</v>
          </cell>
          <cell r="I7">
            <v>273.39999999999998</v>
          </cell>
          <cell r="J7">
            <v>276.49</v>
          </cell>
          <cell r="K7">
            <v>160.77000000000001</v>
          </cell>
          <cell r="L7">
            <v>205.19</v>
          </cell>
          <cell r="M7">
            <v>247.32</v>
          </cell>
          <cell r="N7">
            <v>253.37</v>
          </cell>
          <cell r="O7">
            <v>326.46000000000004</v>
          </cell>
          <cell r="P7">
            <v>512.79</v>
          </cell>
          <cell r="Q7">
            <v>479.99</v>
          </cell>
          <cell r="R7">
            <v>616.65000000000009</v>
          </cell>
          <cell r="S7">
            <v>1710.4699999999998</v>
          </cell>
        </row>
        <row r="18">
          <cell r="B18">
            <v>0</v>
          </cell>
          <cell r="C18">
            <v>0</v>
          </cell>
          <cell r="D18">
            <v>0</v>
          </cell>
          <cell r="E18">
            <v>0</v>
          </cell>
          <cell r="F18">
            <v>3347.7910714974118</v>
          </cell>
          <cell r="G18">
            <v>46860.715667337929</v>
          </cell>
          <cell r="H18">
            <v>115831.80720824438</v>
          </cell>
          <cell r="I18">
            <v>133491.79879727145</v>
          </cell>
          <cell r="J18">
            <v>130446.20782326766</v>
          </cell>
          <cell r="K18">
            <v>60154.31583546583</v>
          </cell>
          <cell r="L18">
            <v>72166.440859790484</v>
          </cell>
          <cell r="M18">
            <v>122135.17940258152</v>
          </cell>
          <cell r="N18">
            <v>180793.61917176953</v>
          </cell>
          <cell r="O18">
            <v>166164.48528635045</v>
          </cell>
          <cell r="P18">
            <v>177054.60597342535</v>
          </cell>
          <cell r="Q18">
            <v>161694.6050295842</v>
          </cell>
          <cell r="R18">
            <v>177432.92680942977</v>
          </cell>
          <cell r="S18">
            <v>534212.15863166249</v>
          </cell>
        </row>
        <row r="19">
          <cell r="B19">
            <v>0</v>
          </cell>
          <cell r="C19">
            <v>0</v>
          </cell>
          <cell r="D19">
            <v>0</v>
          </cell>
          <cell r="E19">
            <v>801.59799916408417</v>
          </cell>
          <cell r="F19">
            <v>3291.6068704718064</v>
          </cell>
          <cell r="G19">
            <v>14214.975076634228</v>
          </cell>
          <cell r="H19">
            <v>28997.785261002675</v>
          </cell>
          <cell r="I19">
            <v>41438.972387776994</v>
          </cell>
          <cell r="J19">
            <v>41030.536674801617</v>
          </cell>
          <cell r="K19">
            <v>27677.001589559335</v>
          </cell>
          <cell r="L19">
            <v>34240.88647756198</v>
          </cell>
          <cell r="M19">
            <v>38637.275564246986</v>
          </cell>
          <cell r="N19">
            <v>48384.70250207933</v>
          </cell>
          <cell r="O19">
            <v>46392.705980261693</v>
          </cell>
          <cell r="P19">
            <v>77862.763465565731</v>
          </cell>
          <cell r="Q19">
            <v>75350.316327220135</v>
          </cell>
          <cell r="R19">
            <v>97758.6530330612</v>
          </cell>
          <cell r="S19">
            <v>223955.89995282341</v>
          </cell>
        </row>
        <row r="20">
          <cell r="B20">
            <v>0</v>
          </cell>
          <cell r="C20">
            <v>0</v>
          </cell>
          <cell r="D20">
            <v>0</v>
          </cell>
          <cell r="E20">
            <v>3960.1755523276756</v>
          </cell>
          <cell r="F20">
            <v>12604.309452503137</v>
          </cell>
          <cell r="G20">
            <v>40249.224544684796</v>
          </cell>
          <cell r="H20">
            <v>68854.256032001416</v>
          </cell>
          <cell r="I20">
            <v>89865.74861682042</v>
          </cell>
          <cell r="J20">
            <v>83079.757874134099</v>
          </cell>
          <cell r="K20">
            <v>53746.432086085159</v>
          </cell>
          <cell r="L20">
            <v>65383.093125711152</v>
          </cell>
          <cell r="M20">
            <v>72169.797063855018</v>
          </cell>
          <cell r="N20">
            <v>89483.402118621059</v>
          </cell>
          <cell r="O20">
            <v>85637.572753675195</v>
          </cell>
          <cell r="P20">
            <v>144187.71109090085</v>
          </cell>
          <cell r="Q20">
            <v>138828.95011872239</v>
          </cell>
          <cell r="R20">
            <v>180292.87289780748</v>
          </cell>
          <cell r="S20">
            <v>412560.5840501397</v>
          </cell>
        </row>
        <row r="21">
          <cell r="B21">
            <v>0</v>
          </cell>
          <cell r="C21">
            <v>0</v>
          </cell>
          <cell r="D21">
            <v>0</v>
          </cell>
          <cell r="E21">
            <v>0</v>
          </cell>
          <cell r="F21">
            <v>3318.7864997833904</v>
          </cell>
          <cell r="G21">
            <v>27202.428034720597</v>
          </cell>
          <cell r="H21">
            <v>67516.631196202958</v>
          </cell>
          <cell r="I21">
            <v>104223.92633238526</v>
          </cell>
          <cell r="J21">
            <v>108550.66752224085</v>
          </cell>
          <cell r="K21">
            <v>75304.741804999067</v>
          </cell>
          <cell r="L21">
            <v>94171.141075764521</v>
          </cell>
          <cell r="M21">
            <v>107721.65765351481</v>
          </cell>
          <cell r="N21">
            <v>135708.42687349149</v>
          </cell>
          <cell r="O21">
            <v>130268.13707606694</v>
          </cell>
          <cell r="P21">
            <v>218218.07978403458</v>
          </cell>
          <cell r="Q21">
            <v>211817.48725469827</v>
          </cell>
          <cell r="R21">
            <v>274648.32801074965</v>
          </cell>
          <cell r="S21">
            <v>629623.17991640186</v>
          </cell>
        </row>
        <row r="22">
          <cell r="B22">
            <v>0</v>
          </cell>
          <cell r="C22">
            <v>0</v>
          </cell>
          <cell r="D22">
            <v>0</v>
          </cell>
          <cell r="E22">
            <v>0</v>
          </cell>
          <cell r="F22">
            <v>932.4605309442627</v>
          </cell>
          <cell r="G22">
            <v>7642.9111900621838</v>
          </cell>
          <cell r="H22">
            <v>18969.7631244201</v>
          </cell>
          <cell r="I22">
            <v>29283.202665268574</v>
          </cell>
          <cell r="J22">
            <v>30498.86249392719</v>
          </cell>
          <cell r="K22">
            <v>21157.944199543657</v>
          </cell>
          <cell r="L22">
            <v>26458.728897430869</v>
          </cell>
          <cell r="M22">
            <v>30265.940321576272</v>
          </cell>
          <cell r="N22">
            <v>38129.223388036793</v>
          </cell>
          <cell r="O22">
            <v>36600.696165302943</v>
          </cell>
          <cell r="P22">
            <v>61311.490399860442</v>
          </cell>
          <cell r="Q22">
            <v>59513.152390684656</v>
          </cell>
          <cell r="R22">
            <v>77166.375684481318</v>
          </cell>
          <cell r="S22">
            <v>176901.63704240369</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onthly TD Calc"/>
    </sheetNames>
    <sheetDataSet>
      <sheetData sheetId="0"/>
      <sheetData sheetId="1">
        <row r="44">
          <cell r="DC44">
            <v>0.13576441564001979</v>
          </cell>
          <cell r="DD44">
            <v>0.35611574316442379</v>
          </cell>
          <cell r="DE44">
            <v>0.4183185730547726</v>
          </cell>
          <cell r="DF44">
            <v>8.9801268140783777E-2</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CPL STIP IMPORT"/>
      <sheetName val="EMM MEEIA 4 STIP AND RIDER FORE"/>
    </sheetNames>
    <sheetDataSet>
      <sheetData sheetId="0">
        <row r="104">
          <cell r="K104">
            <v>375927.72</v>
          </cell>
          <cell r="L104">
            <v>626948.53</v>
          </cell>
          <cell r="AU104">
            <v>4075508.54</v>
          </cell>
          <cell r="AV104">
            <v>2864804.79</v>
          </cell>
        </row>
        <row r="105">
          <cell r="K105">
            <v>27978.09</v>
          </cell>
          <cell r="L105">
            <v>80391.240000000005</v>
          </cell>
          <cell r="AU105">
            <v>577113.18000000005</v>
          </cell>
          <cell r="AV105">
            <v>346167.68000000005</v>
          </cell>
        </row>
        <row r="106">
          <cell r="K106">
            <v>81583.31</v>
          </cell>
          <cell r="L106">
            <v>584876.86</v>
          </cell>
          <cell r="AU106">
            <v>2469594.6199999996</v>
          </cell>
          <cell r="AV106">
            <v>1307384.69</v>
          </cell>
        </row>
        <row r="107">
          <cell r="K107">
            <v>87802.689999999988</v>
          </cell>
          <cell r="L107">
            <v>334016.43</v>
          </cell>
          <cell r="AU107">
            <v>1994605.67</v>
          </cell>
          <cell r="AV107">
            <v>1155853.22</v>
          </cell>
        </row>
        <row r="108">
          <cell r="K108">
            <v>26982.79</v>
          </cell>
          <cell r="L108">
            <v>125893.54999999999</v>
          </cell>
          <cell r="AU108">
            <v>665151.87000000011</v>
          </cell>
          <cell r="AV108">
            <v>374972</v>
          </cell>
        </row>
      </sheetData>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sheetData sheetId="1"/>
      <sheetData sheetId="2"/>
      <sheetData sheetId="3"/>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AC571">
            <v>-5411.179999999993</v>
          </cell>
          <cell r="AD571">
            <v>-3071.1700000000128</v>
          </cell>
          <cell r="AE571">
            <v>-3181.4700000000157</v>
          </cell>
          <cell r="AF571">
            <v>-7092.8899999999849</v>
          </cell>
          <cell r="AG571">
            <v>-8992.6299999999901</v>
          </cell>
          <cell r="AH571">
            <v>-17585.030000000057</v>
          </cell>
          <cell r="AI571">
            <v>-27443.090000000026</v>
          </cell>
          <cell r="AJ571">
            <v>-10613.02999999997</v>
          </cell>
          <cell r="AK571">
            <v>-9092.86</v>
          </cell>
          <cell r="AL571">
            <v>-6589.429999999993</v>
          </cell>
          <cell r="AM571">
            <v>-7679.3799999999901</v>
          </cell>
          <cell r="AN571">
            <v>-11240.109999999986</v>
          </cell>
          <cell r="AO571">
            <v>-10255.550000000003</v>
          </cell>
          <cell r="AP571">
            <v>-9871.6399999999849</v>
          </cell>
          <cell r="AQ571">
            <v>-10156.210000000021</v>
          </cell>
          <cell r="AR571">
            <v>-10501.119999999981</v>
          </cell>
          <cell r="AS571">
            <v>-10855.100000000006</v>
          </cell>
          <cell r="AT571">
            <v>-16245.080000000016</v>
          </cell>
          <cell r="AU571">
            <v>-19913.609999999986</v>
          </cell>
          <cell r="AV571">
            <v>-19264.889999999985</v>
          </cell>
          <cell r="AW571">
            <v>-15878.970000000001</v>
          </cell>
          <cell r="AX571">
            <v>-9541.7899999999936</v>
          </cell>
          <cell r="AY571">
            <v>-10488.130000000005</v>
          </cell>
          <cell r="AZ571">
            <v>-11291.850000000006</v>
          </cell>
          <cell r="BA571">
            <v>-10139.920000000027</v>
          </cell>
          <cell r="BB571">
            <v>-9612.1800000000076</v>
          </cell>
          <cell r="BC571">
            <v>-9923.7999999999884</v>
          </cell>
          <cell r="BD571">
            <v>-10259.37999999999</v>
          </cell>
          <cell r="BE571">
            <v>-10617.960000000021</v>
          </cell>
          <cell r="BF571">
            <v>-16058.950000000012</v>
          </cell>
          <cell r="BG571">
            <v>-19754.460000000021</v>
          </cell>
          <cell r="BH571">
            <v>-19078.669999999955</v>
          </cell>
          <cell r="BI571">
            <v>-15599.49000000002</v>
          </cell>
          <cell r="BJ571">
            <v>-9330.9500000000116</v>
          </cell>
          <cell r="BK571">
            <v>-10255</v>
          </cell>
          <cell r="BL571">
            <v>-10987.919999999998</v>
          </cell>
          <cell r="BM571">
            <v>-10139.920000000027</v>
          </cell>
          <cell r="BN571">
            <v>-9612.1800000000076</v>
          </cell>
          <cell r="BO571">
            <v>-9923.7999999999884</v>
          </cell>
          <cell r="BP571">
            <v>-10259.37999999999</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cell r="AY572">
            <v>-182.06999999999971</v>
          </cell>
          <cell r="AZ572">
            <v>-168.60000000000036</v>
          </cell>
          <cell r="BA572">
            <v>-292.80999999999767</v>
          </cell>
          <cell r="BB572">
            <v>-266.31999999999971</v>
          </cell>
          <cell r="BC572">
            <v>-307.40999999999985</v>
          </cell>
          <cell r="BD572">
            <v>-305.90000000000146</v>
          </cell>
          <cell r="BE572">
            <v>-337.15999999999622</v>
          </cell>
          <cell r="BF572">
            <v>-448.31999999999607</v>
          </cell>
          <cell r="BG572">
            <v>-2444.8400000000038</v>
          </cell>
          <cell r="BH572">
            <v>-2169.1600000000035</v>
          </cell>
          <cell r="BI572">
            <v>-405.64000000000306</v>
          </cell>
          <cell r="BJ572">
            <v>-313.04999999999927</v>
          </cell>
          <cell r="BK572">
            <v>-312.53999999999724</v>
          </cell>
          <cell r="BL572">
            <v>-291.64999999999964</v>
          </cell>
          <cell r="BM572">
            <v>-292.80999999999767</v>
          </cell>
          <cell r="BN572">
            <v>-266.31999999999971</v>
          </cell>
          <cell r="BO572">
            <v>-307.40999999999985</v>
          </cell>
          <cell r="BP572">
            <v>-305.90000000000146</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cell r="AY573">
            <v>-2201.2400000000016</v>
          </cell>
          <cell r="AZ573">
            <v>-2045.3400000000038</v>
          </cell>
          <cell r="BA573">
            <v>-2393.4400000000023</v>
          </cell>
          <cell r="BB573">
            <v>-2185.4700000000012</v>
          </cell>
          <cell r="BC573">
            <v>-2496.5699999999997</v>
          </cell>
          <cell r="BD573">
            <v>-2534.1399999999994</v>
          </cell>
          <cell r="BE573">
            <v>-2841.1600000000035</v>
          </cell>
          <cell r="BF573">
            <v>-3831.0300000000061</v>
          </cell>
          <cell r="BG573">
            <v>-3699.169999999991</v>
          </cell>
          <cell r="BH573">
            <v>-3738.6399999999994</v>
          </cell>
          <cell r="BI573">
            <v>-3466.8099999999977</v>
          </cell>
          <cell r="BJ573">
            <v>-2596.2800000000061</v>
          </cell>
          <cell r="BK573">
            <v>-2613.4399999999987</v>
          </cell>
          <cell r="BL573">
            <v>-2429.4200000000019</v>
          </cell>
          <cell r="BM573">
            <v>-2393.4400000000023</v>
          </cell>
          <cell r="BN573">
            <v>-2185.4700000000012</v>
          </cell>
          <cell r="BO573">
            <v>-2496.5699999999997</v>
          </cell>
          <cell r="BP573">
            <v>-2534.1399999999994</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cell r="AY574">
            <v>-677.84999999999854</v>
          </cell>
          <cell r="AZ574">
            <v>-625.0199999999968</v>
          </cell>
          <cell r="BA574">
            <v>-855.85000000000218</v>
          </cell>
          <cell r="BB574">
            <v>-781.20000000000073</v>
          </cell>
          <cell r="BC574">
            <v>-904.56000000000131</v>
          </cell>
          <cell r="BD574">
            <v>-920.73999999999796</v>
          </cell>
          <cell r="BE574">
            <v>-1000.9799999999996</v>
          </cell>
          <cell r="BF574">
            <v>-1420.6200000000026</v>
          </cell>
          <cell r="BG574">
            <v>-1389.4699999999939</v>
          </cell>
          <cell r="BH574">
            <v>-1417.0199999999968</v>
          </cell>
          <cell r="BI574">
            <v>-1284.1599999999962</v>
          </cell>
          <cell r="BJ574">
            <v>-887.65999999999622</v>
          </cell>
          <cell r="BK574">
            <v>-927.93000000000393</v>
          </cell>
          <cell r="BL574">
            <v>-859.10000000000582</v>
          </cell>
          <cell r="BM574">
            <v>-855.85000000000218</v>
          </cell>
          <cell r="BN574">
            <v>-781.20000000000073</v>
          </cell>
          <cell r="BO574">
            <v>-904.56000000000131</v>
          </cell>
          <cell r="BP574">
            <v>-920.73999999999796</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cell r="AY575">
            <v>42.679999999999836</v>
          </cell>
          <cell r="AZ575">
            <v>50.199999999999818</v>
          </cell>
          <cell r="BA575">
            <v>37.049999999999955</v>
          </cell>
          <cell r="BB575">
            <v>57.560000000000173</v>
          </cell>
          <cell r="BC575">
            <v>57.269999999999754</v>
          </cell>
          <cell r="BD575">
            <v>47.539999999999964</v>
          </cell>
          <cell r="BE575">
            <v>51.819999999999709</v>
          </cell>
          <cell r="BF575">
            <v>31.699999999999818</v>
          </cell>
          <cell r="BG575">
            <v>13.400000000000091</v>
          </cell>
          <cell r="BH575">
            <v>24.789999999999964</v>
          </cell>
          <cell r="BI575">
            <v>18.759999999999764</v>
          </cell>
          <cell r="BJ575">
            <v>47.799999999999955</v>
          </cell>
          <cell r="BK575">
            <v>42.029999999999973</v>
          </cell>
          <cell r="BL575">
            <v>49.529999999999745</v>
          </cell>
          <cell r="BM575">
            <v>37.049999999999955</v>
          </cell>
          <cell r="BN575">
            <v>57.560000000000173</v>
          </cell>
          <cell r="BO575">
            <v>57.269999999999754</v>
          </cell>
          <cell r="BP575">
            <v>47.539999999999964</v>
          </cell>
        </row>
      </sheetData>
      <sheetData sheetId="5">
        <row r="436">
          <cell r="AC436">
            <v>-92.430000000007567</v>
          </cell>
          <cell r="AD436">
            <v>-407.36999999999534</v>
          </cell>
          <cell r="AE436">
            <v>-755.53000000001339</v>
          </cell>
          <cell r="AF436">
            <v>-1028.5599999999977</v>
          </cell>
          <cell r="AG436">
            <v>-1367.0299999999988</v>
          </cell>
          <cell r="AH436">
            <v>-2115.6800000000221</v>
          </cell>
          <cell r="AI436">
            <v>-2901.1700000000419</v>
          </cell>
          <cell r="AJ436">
            <v>-3225.2200000000012</v>
          </cell>
          <cell r="AK436">
            <v>-3632.6600000000035</v>
          </cell>
          <cell r="AL436">
            <v>-2919.7300000000105</v>
          </cell>
          <cell r="AM436">
            <v>-3452.0500000000029</v>
          </cell>
          <cell r="AN436">
            <v>-4932.4200000000128</v>
          </cell>
          <cell r="AO436">
            <v>-4176.9400000000023</v>
          </cell>
          <cell r="AP436">
            <v>-3940.5900000000256</v>
          </cell>
          <cell r="AQ436">
            <v>-3713.9999999999854</v>
          </cell>
          <cell r="AR436">
            <v>-3838.320000000007</v>
          </cell>
          <cell r="AS436">
            <v>-3870.6200000000244</v>
          </cell>
          <cell r="AT436">
            <v>-4141.1900000000023</v>
          </cell>
          <cell r="AU436">
            <v>-4214.8600000000151</v>
          </cell>
          <cell r="AV436">
            <v>-4385.3999999999942</v>
          </cell>
          <cell r="AW436">
            <v>-4941.160000000018</v>
          </cell>
          <cell r="AX436">
            <v>-3405.3500000000058</v>
          </cell>
          <cell r="AY436">
            <v>-3741.5200000000041</v>
          </cell>
          <cell r="AZ436">
            <v>-4616.6700000000128</v>
          </cell>
          <cell r="BA436">
            <v>-2.9999999984283932E-2</v>
          </cell>
          <cell r="BB436">
            <v>0</v>
          </cell>
          <cell r="BC436">
            <v>9.9999999947613105E-3</v>
          </cell>
          <cell r="BD436">
            <v>0</v>
          </cell>
          <cell r="BE436">
            <v>0</v>
          </cell>
          <cell r="BF436">
            <v>0</v>
          </cell>
          <cell r="BG436">
            <v>0</v>
          </cell>
          <cell r="BH436">
            <v>0</v>
          </cell>
          <cell r="BI436">
            <v>-9.9999999947613105E-3</v>
          </cell>
          <cell r="BJ436">
            <v>0</v>
          </cell>
          <cell r="BK436">
            <v>9.9999999947613105E-3</v>
          </cell>
          <cell r="BL436">
            <v>0</v>
          </cell>
          <cell r="BM436">
            <v>-2.9999999984283932E-2</v>
          </cell>
          <cell r="BN436">
            <v>0</v>
          </cell>
          <cell r="BO436">
            <v>9.9999999947613105E-3</v>
          </cell>
          <cell r="BP436">
            <v>0</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cell r="AY437">
            <v>1309.0500000000011</v>
          </cell>
          <cell r="AZ437">
            <v>1234.6100000000024</v>
          </cell>
          <cell r="BA437">
            <v>0</v>
          </cell>
          <cell r="BB437">
            <v>1.0000000000218279E-2</v>
          </cell>
          <cell r="BC437">
            <v>0</v>
          </cell>
          <cell r="BD437">
            <v>0</v>
          </cell>
          <cell r="BE437">
            <v>0</v>
          </cell>
          <cell r="BF437">
            <v>-1.0000000002037268E-2</v>
          </cell>
          <cell r="BG437">
            <v>0</v>
          </cell>
          <cell r="BH437">
            <v>9.9999999983992893E-3</v>
          </cell>
          <cell r="BI437">
            <v>0</v>
          </cell>
          <cell r="BJ437">
            <v>9.9999999983992893E-3</v>
          </cell>
          <cell r="BK437">
            <v>0</v>
          </cell>
          <cell r="BL437">
            <v>0</v>
          </cell>
          <cell r="BM437">
            <v>0</v>
          </cell>
          <cell r="BN437">
            <v>1.0000000000218279E-2</v>
          </cell>
          <cell r="BO437">
            <v>0</v>
          </cell>
          <cell r="BP437">
            <v>0</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cell r="AY438">
            <v>4196.2100000000028</v>
          </cell>
          <cell r="AZ438">
            <v>3909.9900000000016</v>
          </cell>
          <cell r="BA438">
            <v>-9.9999999983992893E-3</v>
          </cell>
          <cell r="BB438">
            <v>-1.0000000002037268E-2</v>
          </cell>
          <cell r="BC438">
            <v>-1.0000000002037268E-2</v>
          </cell>
          <cell r="BD438">
            <v>-9.9999999983992893E-3</v>
          </cell>
          <cell r="BE438">
            <v>0</v>
          </cell>
          <cell r="BF438">
            <v>0</v>
          </cell>
          <cell r="BG438">
            <v>0</v>
          </cell>
          <cell r="BH438">
            <v>0</v>
          </cell>
          <cell r="BI438">
            <v>-1.0000000002037268E-2</v>
          </cell>
          <cell r="BJ438">
            <v>0</v>
          </cell>
          <cell r="BK438">
            <v>0</v>
          </cell>
          <cell r="BL438">
            <v>0</v>
          </cell>
          <cell r="BM438">
            <v>-9.9999999983992893E-3</v>
          </cell>
          <cell r="BN438">
            <v>-1.0000000002037268E-2</v>
          </cell>
          <cell r="BO438">
            <v>-1.0000000002037268E-2</v>
          </cell>
          <cell r="BP438">
            <v>-9.9999999983992893E-3</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cell r="AY439">
            <v>2545.7299999999959</v>
          </cell>
          <cell r="AZ439">
            <v>2382.9099999999962</v>
          </cell>
          <cell r="BA439">
            <v>-1.0000000002037268E-2</v>
          </cell>
          <cell r="BB439">
            <v>-9.9999999947613105E-3</v>
          </cell>
          <cell r="BC439">
            <v>1.0000000002037268E-2</v>
          </cell>
          <cell r="BD439">
            <v>0</v>
          </cell>
          <cell r="BE439">
            <v>1.0000000002037268E-2</v>
          </cell>
          <cell r="BF439">
            <v>0</v>
          </cell>
          <cell r="BG439">
            <v>0</v>
          </cell>
          <cell r="BH439">
            <v>1.0000000002037268E-2</v>
          </cell>
          <cell r="BI439">
            <v>0</v>
          </cell>
          <cell r="BJ439">
            <v>-1.0000000002037268E-2</v>
          </cell>
          <cell r="BK439">
            <v>0</v>
          </cell>
          <cell r="BL439">
            <v>0</v>
          </cell>
          <cell r="BM439">
            <v>-1.0000000002037268E-2</v>
          </cell>
          <cell r="BN439">
            <v>-9.9999999947613105E-3</v>
          </cell>
          <cell r="BO439">
            <v>1.0000000002037268E-2</v>
          </cell>
          <cell r="BP439">
            <v>0</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cell r="AY440">
            <v>6.6600000000000819</v>
          </cell>
          <cell r="AZ440">
            <v>6.7699999999999818</v>
          </cell>
          <cell r="BA440">
            <v>0</v>
          </cell>
          <cell r="BB440">
            <v>0</v>
          </cell>
          <cell r="BC440">
            <v>-9.9999999999909051E-3</v>
          </cell>
          <cell r="BD440">
            <v>0</v>
          </cell>
          <cell r="BE440">
            <v>0</v>
          </cell>
          <cell r="BF440">
            <v>0</v>
          </cell>
          <cell r="BG440">
            <v>0</v>
          </cell>
          <cell r="BH440">
            <v>-9.9999999997635314E-3</v>
          </cell>
          <cell r="BI440">
            <v>0</v>
          </cell>
          <cell r="BJ440">
            <v>9.9999999997635314E-3</v>
          </cell>
          <cell r="BK440">
            <v>-9.9999999999909051E-3</v>
          </cell>
          <cell r="BL440">
            <v>-1.999999999998181E-2</v>
          </cell>
          <cell r="BM440">
            <v>0</v>
          </cell>
          <cell r="BN440">
            <v>0</v>
          </cell>
          <cell r="BO440">
            <v>-9.9999999999909051E-3</v>
          </cell>
          <cell r="BP440">
            <v>0</v>
          </cell>
        </row>
      </sheetData>
      <sheetData sheetId="6">
        <row r="55">
          <cell r="AA55">
            <v>-15.5</v>
          </cell>
          <cell r="AB55">
            <v>-40.86</v>
          </cell>
          <cell r="AC55">
            <v>-61.87</v>
          </cell>
          <cell r="AD55">
            <v>-96.46</v>
          </cell>
          <cell r="AE55">
            <v>-135.86000000000001</v>
          </cell>
          <cell r="AF55">
            <v>-225.12</v>
          </cell>
          <cell r="AG55">
            <v>-362.39</v>
          </cell>
          <cell r="AH55">
            <v>-487.39</v>
          </cell>
          <cell r="AI55">
            <v>-561.4</v>
          </cell>
          <cell r="AJ55">
            <v>-636.86</v>
          </cell>
          <cell r="AK55">
            <v>-695.18</v>
          </cell>
          <cell r="AL55">
            <v>-719.05</v>
          </cell>
          <cell r="AM55">
            <v>-781.68</v>
          </cell>
          <cell r="AN55">
            <v>-832.33</v>
          </cell>
          <cell r="AO55">
            <v>-878.1</v>
          </cell>
          <cell r="AP55">
            <v>-1013.22</v>
          </cell>
          <cell r="AQ55">
            <v>-1104.54</v>
          </cell>
          <cell r="AR55">
            <v>-1136.48</v>
          </cell>
          <cell r="AS55">
            <v>-1240.92</v>
          </cell>
          <cell r="AT55">
            <v>-1410.63</v>
          </cell>
          <cell r="AU55">
            <v>-1485.46</v>
          </cell>
          <cell r="AV55">
            <v>-1564.55</v>
          </cell>
          <cell r="AW55">
            <v>-1711.8</v>
          </cell>
          <cell r="AX55">
            <v>-1802.65</v>
          </cell>
          <cell r="AY55">
            <v>-1856.73</v>
          </cell>
          <cell r="AZ55">
            <v>-1718.22</v>
          </cell>
          <cell r="BA55">
            <v>-1852.98</v>
          </cell>
          <cell r="BB55">
            <v>-2104.42</v>
          </cell>
          <cell r="BC55">
            <v>-2168.79</v>
          </cell>
          <cell r="BD55">
            <v>-2227.27</v>
          </cell>
          <cell r="BE55">
            <v>-2357.1999999999998</v>
          </cell>
          <cell r="BF55">
            <v>-2587.9499999999998</v>
          </cell>
          <cell r="BG55">
            <v>-2671.6</v>
          </cell>
          <cell r="BH55">
            <v>-2813.54</v>
          </cell>
          <cell r="BI55">
            <v>-2915.18</v>
          </cell>
          <cell r="BJ55">
            <v>-2885.69</v>
          </cell>
          <cell r="BK55">
            <v>-2784.45</v>
          </cell>
          <cell r="BL55">
            <v>-2314.15</v>
          </cell>
          <cell r="BM55">
            <v>-2566.12</v>
          </cell>
          <cell r="BN55">
            <v>-2430.9499999999998</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26.52</v>
          </cell>
          <cell r="AW56">
            <v>33.590000000000003</v>
          </cell>
          <cell r="AX56">
            <v>39.450000000000003</v>
          </cell>
          <cell r="AY56">
            <v>41.15</v>
          </cell>
          <cell r="AZ56">
            <v>35.81</v>
          </cell>
          <cell r="BA56">
            <v>36.270000000000003</v>
          </cell>
          <cell r="BB56">
            <v>38.619999999999997</v>
          </cell>
          <cell r="BC56">
            <v>37.14</v>
          </cell>
          <cell r="BD56">
            <v>34.93</v>
          </cell>
          <cell r="BE56">
            <v>27.9</v>
          </cell>
          <cell r="BF56">
            <v>16.61</v>
          </cell>
          <cell r="BG56">
            <v>9.4600000000000009</v>
          </cell>
          <cell r="BH56">
            <v>8.3699999999999992</v>
          </cell>
          <cell r="BI56">
            <v>6.77</v>
          </cell>
          <cell r="BJ56">
            <v>4.93</v>
          </cell>
          <cell r="BK56">
            <v>3.16</v>
          </cell>
          <cell r="BL56">
            <v>1.41</v>
          </cell>
          <cell r="BM56">
            <v>0.23</v>
          </cell>
          <cell r="BN56">
            <v>-0.95</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74.19</v>
          </cell>
          <cell r="AV57">
            <v>84.45</v>
          </cell>
          <cell r="AW57">
            <v>98.77</v>
          </cell>
          <cell r="AX57">
            <v>109.42</v>
          </cell>
          <cell r="AY57">
            <v>107.36</v>
          </cell>
          <cell r="AZ57">
            <v>86.31</v>
          </cell>
          <cell r="BA57">
            <v>79.510000000000005</v>
          </cell>
          <cell r="BB57">
            <v>75.66</v>
          </cell>
          <cell r="BC57">
            <v>62.08</v>
          </cell>
          <cell r="BD57">
            <v>44.54</v>
          </cell>
          <cell r="BE57">
            <v>25.49</v>
          </cell>
          <cell r="BF57">
            <v>6.28</v>
          </cell>
          <cell r="BG57">
            <v>-13.56</v>
          </cell>
          <cell r="BH57">
            <v>-29.09</v>
          </cell>
          <cell r="BI57">
            <v>-44.12</v>
          </cell>
          <cell r="BJ57">
            <v>-56.46</v>
          </cell>
          <cell r="BK57">
            <v>-65.78</v>
          </cell>
          <cell r="BL57">
            <v>-63.27</v>
          </cell>
          <cell r="BM57">
            <v>-79.61</v>
          </cell>
          <cell r="BN57">
            <v>-83.81</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93.62</v>
          </cell>
          <cell r="AU58">
            <v>103.38</v>
          </cell>
          <cell r="AV58">
            <v>112.79</v>
          </cell>
          <cell r="AW58">
            <v>127.73</v>
          </cell>
          <cell r="AX58">
            <v>138.01</v>
          </cell>
          <cell r="AY58">
            <v>139.38999999999999</v>
          </cell>
          <cell r="AZ58">
            <v>121.88</v>
          </cell>
          <cell r="BA58">
            <v>124.08</v>
          </cell>
          <cell r="BB58">
            <v>133.03</v>
          </cell>
          <cell r="BC58">
            <v>128.68</v>
          </cell>
          <cell r="BD58">
            <v>121.81</v>
          </cell>
          <cell r="BE58">
            <v>116.39</v>
          </cell>
          <cell r="BF58">
            <v>114.74</v>
          </cell>
          <cell r="BG58">
            <v>106.79</v>
          </cell>
          <cell r="BH58">
            <v>104.63</v>
          </cell>
          <cell r="BI58">
            <v>101.3</v>
          </cell>
          <cell r="BJ58">
            <v>93.44</v>
          </cell>
          <cell r="BK58">
            <v>84.01</v>
          </cell>
          <cell r="BL58">
            <v>65.150000000000006</v>
          </cell>
          <cell r="BM58">
            <v>67.150000000000006</v>
          </cell>
          <cell r="BN58">
            <v>59.13</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13.59</v>
          </cell>
          <cell r="AW59">
            <v>14.54</v>
          </cell>
          <cell r="AX59">
            <v>14.93</v>
          </cell>
          <cell r="AY59">
            <v>15.07</v>
          </cell>
          <cell r="AZ59">
            <v>13.8</v>
          </cell>
          <cell r="BA59">
            <v>14.78</v>
          </cell>
          <cell r="BB59">
            <v>16.649999999999999</v>
          </cell>
          <cell r="BC59">
            <v>16.989999999999998</v>
          </cell>
          <cell r="BD59">
            <v>17.12</v>
          </cell>
          <cell r="BE59">
            <v>17.52</v>
          </cell>
          <cell r="BF59">
            <v>18.54</v>
          </cell>
          <cell r="BG59">
            <v>18.579999999999998</v>
          </cell>
          <cell r="BH59">
            <v>19.309999999999999</v>
          </cell>
          <cell r="BI59">
            <v>19.88</v>
          </cell>
          <cell r="BJ59">
            <v>19.54</v>
          </cell>
          <cell r="BK59">
            <v>18.71</v>
          </cell>
          <cell r="BL59">
            <v>15.47</v>
          </cell>
          <cell r="BM59">
            <v>17.12</v>
          </cell>
          <cell r="BN59">
            <v>16.16</v>
          </cell>
        </row>
      </sheetData>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D116">
            <v>1237690.19</v>
          </cell>
        </row>
        <row r="117">
          <cell r="D117">
            <v>150961.88</v>
          </cell>
        </row>
        <row r="118">
          <cell r="D118">
            <v>302870.92000000004</v>
          </cell>
        </row>
        <row r="119">
          <cell r="D119">
            <v>481870.85</v>
          </cell>
        </row>
        <row r="120">
          <cell r="D120">
            <v>128779.09999999999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D278">
            <v>1213667.6473015237</v>
          </cell>
        </row>
        <row r="279">
          <cell r="D279">
            <v>260501.47379357362</v>
          </cell>
        </row>
        <row r="280">
          <cell r="D280">
            <v>436549.83105952013</v>
          </cell>
        </row>
        <row r="281">
          <cell r="D281">
            <v>328143.75201071985</v>
          </cell>
        </row>
        <row r="282">
          <cell r="D282">
            <v>58068.455513098081</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572633.16</v>
          </cell>
          <cell r="O32">
            <v>128114.46</v>
          </cell>
          <cell r="P32">
            <v>175880.02000000002</v>
          </cell>
          <cell r="Q32">
            <v>198411.72999999998</v>
          </cell>
          <cell r="R32">
            <v>36392.549999999777</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1322365.4799999997</v>
          </cell>
          <cell r="O32">
            <v>153451.74</v>
          </cell>
          <cell r="P32">
            <v>684372.19</v>
          </cell>
          <cell r="Q32">
            <v>541717.07000000007</v>
          </cell>
          <cell r="R32">
            <v>49590.380000000587</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7566.6100000000079</v>
          </cell>
          <cell r="O32">
            <v>55684.399999999994</v>
          </cell>
          <cell r="P32">
            <v>173936.6</v>
          </cell>
          <cell r="Q32">
            <v>42413.140000000014</v>
          </cell>
          <cell r="R32">
            <v>-13400.579999999998</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-11877.740000000005</v>
          </cell>
          <cell r="O32">
            <v>4343.68</v>
          </cell>
          <cell r="P32">
            <v>11608.78</v>
          </cell>
          <cell r="Q32">
            <v>9532.7800000000007</v>
          </cell>
          <cell r="R32">
            <v>1238.4799999999846</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91474.46</v>
          </cell>
          <cell r="O32">
            <v>2959.94</v>
          </cell>
          <cell r="P32">
            <v>8118.75</v>
          </cell>
          <cell r="Q32">
            <v>6233.9</v>
          </cell>
          <cell r="R32">
            <v>675.78000000002226</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11415.939999999999</v>
          </cell>
          <cell r="O32">
            <v>-4000.2499999999986</v>
          </cell>
          <cell r="P32">
            <v>-7354.82</v>
          </cell>
          <cell r="Q32">
            <v>-11755.600000000002</v>
          </cell>
          <cell r="R32">
            <v>-3607.9799999999668</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Remaining ADM-Forecast"/>
      <sheetName val="Input"/>
      <sheetName val="Program Descriptions"/>
    </sheetNames>
    <sheetDataSet>
      <sheetData sheetId="0">
        <row r="32">
          <cell r="N32">
            <v>85049.279999999984</v>
          </cell>
          <cell r="O32">
            <v>11230.7</v>
          </cell>
          <cell r="P32">
            <v>31944.989999999998</v>
          </cell>
          <cell r="Q32">
            <v>26085.83</v>
          </cell>
          <cell r="R32">
            <v>2364.0500000000002</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sheetPr codeName="Sheet1"/>
  <dimension ref="A1:D72"/>
  <sheetViews>
    <sheetView workbookViewId="0">
      <pane xSplit="1" ySplit="4" topLeftCell="B5" activePane="bottomRight" state="frozen"/>
      <selection activeCell="C7" sqref="C7"/>
      <selection pane="topRight" activeCell="C7" sqref="C7"/>
      <selection pane="bottomLeft" activeCell="C7" sqref="C7"/>
      <selection pane="bottomRight" activeCell="B5" sqref="B5"/>
    </sheetView>
  </sheetViews>
  <sheetFormatPr defaultColWidth="9.1796875" defaultRowHeight="14.5" x14ac:dyDescent="0.35"/>
  <cols>
    <col min="1" max="1" width="17" style="3" bestFit="1" customWidth="1"/>
    <col min="2" max="2" width="62.26953125" style="334" customWidth="1"/>
    <col min="3" max="3" width="62.1796875" style="334" customWidth="1"/>
    <col min="4" max="16384" width="9.1796875" style="45"/>
  </cols>
  <sheetData>
    <row r="1" spans="1:4" x14ac:dyDescent="0.35">
      <c r="A1" s="62" t="str">
        <f>'PTD Cycle 3'!A1</f>
        <v>Evergy Metro, Inc. - DSIM Rider Update Filed 06/02/2025</v>
      </c>
    </row>
    <row r="4" spans="1:4" s="3" customFormat="1" x14ac:dyDescent="0.35">
      <c r="A4" s="277" t="s">
        <v>174</v>
      </c>
      <c r="B4" s="278" t="s">
        <v>176</v>
      </c>
      <c r="C4" s="278" t="s">
        <v>177</v>
      </c>
    </row>
    <row r="5" spans="1:4" s="275" customFormat="1" ht="29" x14ac:dyDescent="0.35">
      <c r="A5" s="279" t="s">
        <v>175</v>
      </c>
      <c r="B5" s="344" t="s">
        <v>264</v>
      </c>
      <c r="C5" s="344" t="s">
        <v>178</v>
      </c>
      <c r="D5" s="314"/>
    </row>
    <row r="6" spans="1:4" s="275" customFormat="1" ht="29" x14ac:dyDescent="0.35">
      <c r="A6" s="279" t="s">
        <v>179</v>
      </c>
      <c r="B6" s="344" t="s">
        <v>180</v>
      </c>
      <c r="C6" s="344" t="s">
        <v>181</v>
      </c>
      <c r="D6" s="314"/>
    </row>
    <row r="7" spans="1:4" s="275" customFormat="1" ht="87" x14ac:dyDescent="0.35">
      <c r="A7" s="279" t="s">
        <v>235</v>
      </c>
      <c r="B7" s="344" t="s">
        <v>271</v>
      </c>
      <c r="C7" s="344" t="s">
        <v>237</v>
      </c>
      <c r="D7" s="314"/>
    </row>
    <row r="8" spans="1:4" s="275" customFormat="1" ht="130.5" x14ac:dyDescent="0.35">
      <c r="A8" s="279" t="s">
        <v>182</v>
      </c>
      <c r="B8" s="344" t="s">
        <v>274</v>
      </c>
      <c r="C8" s="344" t="s">
        <v>186</v>
      </c>
      <c r="D8" s="314"/>
    </row>
    <row r="9" spans="1:4" s="275" customFormat="1" ht="130.5" x14ac:dyDescent="0.35">
      <c r="A9" s="279" t="s">
        <v>220</v>
      </c>
      <c r="B9" s="344" t="s">
        <v>282</v>
      </c>
      <c r="C9" s="344" t="s">
        <v>186</v>
      </c>
      <c r="D9" s="314"/>
    </row>
    <row r="10" spans="1:4" s="275" customFormat="1" ht="72.5" x14ac:dyDescent="0.35">
      <c r="A10" s="279" t="s">
        <v>183</v>
      </c>
      <c r="B10" s="344" t="s">
        <v>265</v>
      </c>
      <c r="C10" s="344" t="s">
        <v>272</v>
      </c>
      <c r="D10" s="314"/>
    </row>
    <row r="11" spans="1:4" s="275" customFormat="1" ht="72.5" x14ac:dyDescent="0.35">
      <c r="A11" s="279" t="s">
        <v>236</v>
      </c>
      <c r="B11" s="344" t="s">
        <v>266</v>
      </c>
      <c r="C11" s="344" t="s">
        <v>283</v>
      </c>
      <c r="D11" s="314"/>
    </row>
    <row r="12" spans="1:4" s="275" customFormat="1" ht="204.75" customHeight="1" x14ac:dyDescent="0.35">
      <c r="A12" s="279" t="s">
        <v>184</v>
      </c>
      <c r="B12" s="344" t="s">
        <v>209</v>
      </c>
      <c r="C12" s="344" t="s">
        <v>195</v>
      </c>
      <c r="D12" s="314"/>
    </row>
    <row r="13" spans="1:4" s="275" customFormat="1" ht="238.5" customHeight="1" x14ac:dyDescent="0.35">
      <c r="A13" s="279" t="s">
        <v>185</v>
      </c>
      <c r="B13" s="344" t="s">
        <v>275</v>
      </c>
      <c r="C13" s="344" t="s">
        <v>194</v>
      </c>
      <c r="D13" s="314"/>
    </row>
    <row r="14" spans="1:4" s="275" customFormat="1" ht="238.5" customHeight="1" x14ac:dyDescent="0.35">
      <c r="A14" s="279" t="s">
        <v>279</v>
      </c>
      <c r="B14" s="344" t="s">
        <v>280</v>
      </c>
      <c r="C14" s="344" t="s">
        <v>281</v>
      </c>
      <c r="D14" s="314"/>
    </row>
    <row r="15" spans="1:4" s="275" customFormat="1" ht="220.5" customHeight="1" x14ac:dyDescent="0.35">
      <c r="A15" s="279" t="s">
        <v>187</v>
      </c>
      <c r="B15" s="344" t="s">
        <v>267</v>
      </c>
      <c r="C15" s="344" t="s">
        <v>198</v>
      </c>
    </row>
    <row r="16" spans="1:4" s="275" customFormat="1" ht="250.5" customHeight="1" x14ac:dyDescent="0.35">
      <c r="A16" s="279" t="s">
        <v>188</v>
      </c>
      <c r="B16" s="344" t="s">
        <v>268</v>
      </c>
      <c r="C16" s="344" t="s">
        <v>273</v>
      </c>
    </row>
    <row r="17" spans="1:3" s="275" customFormat="1" ht="231" customHeight="1" x14ac:dyDescent="0.35">
      <c r="A17" s="279" t="s">
        <v>284</v>
      </c>
      <c r="B17" s="344" t="s">
        <v>285</v>
      </c>
      <c r="C17" s="344" t="s">
        <v>304</v>
      </c>
    </row>
    <row r="18" spans="1:3" s="275" customFormat="1" ht="111" customHeight="1" x14ac:dyDescent="0.35">
      <c r="A18" s="279" t="s">
        <v>189</v>
      </c>
      <c r="B18" s="344" t="s">
        <v>276</v>
      </c>
      <c r="C18" s="344" t="s">
        <v>196</v>
      </c>
    </row>
    <row r="19" spans="1:3" s="275" customFormat="1" ht="107.25" customHeight="1" x14ac:dyDescent="0.35">
      <c r="A19" s="279" t="s">
        <v>190</v>
      </c>
      <c r="B19" s="344" t="s">
        <v>277</v>
      </c>
      <c r="C19" s="344" t="s">
        <v>197</v>
      </c>
    </row>
    <row r="20" spans="1:3" s="275" customFormat="1" ht="34.5" customHeight="1" x14ac:dyDescent="0.35">
      <c r="A20" s="279" t="s">
        <v>191</v>
      </c>
      <c r="B20" s="344" t="s">
        <v>269</v>
      </c>
      <c r="C20" s="344" t="s">
        <v>270</v>
      </c>
    </row>
    <row r="21" spans="1:3" s="275" customFormat="1" ht="72.5" x14ac:dyDescent="0.35">
      <c r="A21" s="279" t="s">
        <v>192</v>
      </c>
      <c r="B21" s="344" t="s">
        <v>278</v>
      </c>
      <c r="C21" s="344" t="s">
        <v>193</v>
      </c>
    </row>
    <row r="22" spans="1:3" s="275" customFormat="1" x14ac:dyDescent="0.35">
      <c r="A22" s="276"/>
      <c r="B22" s="333"/>
      <c r="C22" s="333"/>
    </row>
    <row r="23" spans="1:3" s="275" customFormat="1" x14ac:dyDescent="0.35">
      <c r="A23" s="276"/>
      <c r="B23" s="333"/>
      <c r="C23" s="333"/>
    </row>
    <row r="24" spans="1:3" s="275" customFormat="1" x14ac:dyDescent="0.35">
      <c r="A24" s="276"/>
      <c r="B24" s="333"/>
      <c r="C24" s="333"/>
    </row>
    <row r="25" spans="1:3" s="275" customFormat="1" x14ac:dyDescent="0.35">
      <c r="A25" s="276"/>
      <c r="B25" s="333"/>
      <c r="C25" s="333"/>
    </row>
    <row r="26" spans="1:3" s="275" customFormat="1" x14ac:dyDescent="0.35">
      <c r="A26" s="276"/>
      <c r="B26" s="333"/>
      <c r="C26" s="333"/>
    </row>
    <row r="27" spans="1:3" s="275" customFormat="1" x14ac:dyDescent="0.35">
      <c r="A27" s="276"/>
      <c r="B27" s="333"/>
      <c r="C27" s="333"/>
    </row>
    <row r="28" spans="1:3" s="275" customFormat="1" x14ac:dyDescent="0.35">
      <c r="A28" s="276"/>
      <c r="B28" s="333"/>
      <c r="C28" s="333"/>
    </row>
    <row r="29" spans="1:3" s="275" customFormat="1" x14ac:dyDescent="0.35">
      <c r="A29" s="276"/>
      <c r="B29" s="333"/>
      <c r="C29" s="333"/>
    </row>
    <row r="30" spans="1:3" s="275" customFormat="1" x14ac:dyDescent="0.35">
      <c r="A30" s="276"/>
      <c r="B30" s="333"/>
      <c r="C30" s="333"/>
    </row>
    <row r="31" spans="1:3" s="275" customFormat="1" x14ac:dyDescent="0.35">
      <c r="A31" s="276"/>
      <c r="B31" s="333"/>
      <c r="C31" s="333"/>
    </row>
    <row r="32" spans="1:3" s="275" customFormat="1" x14ac:dyDescent="0.35">
      <c r="A32" s="276"/>
      <c r="B32" s="333"/>
      <c r="C32" s="333"/>
    </row>
    <row r="33" spans="1:3" s="275" customFormat="1" x14ac:dyDescent="0.35">
      <c r="A33" s="276"/>
      <c r="B33" s="333"/>
      <c r="C33" s="333"/>
    </row>
    <row r="34" spans="1:3" s="275" customFormat="1" x14ac:dyDescent="0.35">
      <c r="A34" s="276"/>
      <c r="B34" s="333"/>
      <c r="C34" s="333"/>
    </row>
    <row r="35" spans="1:3" s="275" customFormat="1" x14ac:dyDescent="0.35">
      <c r="A35" s="276"/>
      <c r="B35" s="333"/>
      <c r="C35" s="333"/>
    </row>
    <row r="36" spans="1:3" s="275" customFormat="1" x14ac:dyDescent="0.35">
      <c r="A36" s="276"/>
      <c r="B36" s="333"/>
      <c r="C36" s="333"/>
    </row>
    <row r="37" spans="1:3" s="275" customFormat="1" x14ac:dyDescent="0.35">
      <c r="A37" s="276"/>
      <c r="B37" s="333"/>
      <c r="C37" s="333"/>
    </row>
    <row r="38" spans="1:3" s="275" customFormat="1" x14ac:dyDescent="0.35">
      <c r="A38" s="276"/>
      <c r="B38" s="333"/>
      <c r="C38" s="333"/>
    </row>
    <row r="39" spans="1:3" s="275" customFormat="1" x14ac:dyDescent="0.35">
      <c r="A39" s="276"/>
      <c r="B39" s="333"/>
      <c r="C39" s="333"/>
    </row>
    <row r="40" spans="1:3" s="275" customFormat="1" x14ac:dyDescent="0.35">
      <c r="A40" s="276"/>
      <c r="B40" s="333"/>
      <c r="C40" s="333"/>
    </row>
    <row r="41" spans="1:3" s="275" customFormat="1" x14ac:dyDescent="0.35">
      <c r="A41" s="276"/>
      <c r="B41" s="333"/>
      <c r="C41" s="333"/>
    </row>
    <row r="42" spans="1:3" s="275" customFormat="1" x14ac:dyDescent="0.35">
      <c r="A42" s="276"/>
      <c r="B42" s="333"/>
      <c r="C42" s="333"/>
    </row>
    <row r="43" spans="1:3" s="275" customFormat="1" x14ac:dyDescent="0.35">
      <c r="A43" s="276"/>
      <c r="B43" s="333"/>
      <c r="C43" s="333"/>
    </row>
    <row r="44" spans="1:3" s="275" customFormat="1" x14ac:dyDescent="0.35">
      <c r="A44" s="276"/>
      <c r="B44" s="333"/>
      <c r="C44" s="333"/>
    </row>
    <row r="45" spans="1:3" s="275" customFormat="1" x14ac:dyDescent="0.35">
      <c r="A45" s="276"/>
      <c r="B45" s="333"/>
      <c r="C45" s="333"/>
    </row>
    <row r="46" spans="1:3" s="275" customFormat="1" x14ac:dyDescent="0.35">
      <c r="A46" s="276"/>
      <c r="B46" s="333"/>
      <c r="C46" s="333"/>
    </row>
    <row r="47" spans="1:3" s="275" customFormat="1" x14ac:dyDescent="0.35">
      <c r="A47" s="276"/>
      <c r="B47" s="333"/>
      <c r="C47" s="333"/>
    </row>
    <row r="48" spans="1:3" s="275" customFormat="1" x14ac:dyDescent="0.35">
      <c r="A48" s="276"/>
      <c r="B48" s="333"/>
      <c r="C48" s="333"/>
    </row>
    <row r="49" spans="1:3" s="275" customFormat="1" x14ac:dyDescent="0.35">
      <c r="A49" s="276"/>
      <c r="B49" s="333"/>
      <c r="C49" s="333"/>
    </row>
    <row r="50" spans="1:3" s="275" customFormat="1" x14ac:dyDescent="0.35">
      <c r="A50" s="276"/>
      <c r="B50" s="333"/>
      <c r="C50" s="333"/>
    </row>
    <row r="51" spans="1:3" s="275" customFormat="1" x14ac:dyDescent="0.35">
      <c r="A51" s="276"/>
      <c r="B51" s="333"/>
      <c r="C51" s="333"/>
    </row>
    <row r="52" spans="1:3" s="275" customFormat="1" x14ac:dyDescent="0.35">
      <c r="A52" s="276"/>
      <c r="B52" s="333"/>
      <c r="C52" s="333"/>
    </row>
    <row r="53" spans="1:3" s="275" customFormat="1" x14ac:dyDescent="0.35">
      <c r="A53" s="276"/>
      <c r="B53" s="333"/>
      <c r="C53" s="333"/>
    </row>
    <row r="54" spans="1:3" s="275" customFormat="1" x14ac:dyDescent="0.35">
      <c r="A54" s="276"/>
      <c r="B54" s="333"/>
      <c r="C54" s="333"/>
    </row>
    <row r="55" spans="1:3" s="275" customFormat="1" x14ac:dyDescent="0.35">
      <c r="A55" s="276"/>
      <c r="B55" s="333"/>
      <c r="C55" s="333"/>
    </row>
    <row r="56" spans="1:3" s="275" customFormat="1" x14ac:dyDescent="0.35">
      <c r="A56" s="276"/>
      <c r="B56" s="333"/>
      <c r="C56" s="333"/>
    </row>
    <row r="57" spans="1:3" s="275" customFormat="1" x14ac:dyDescent="0.35">
      <c r="A57" s="276"/>
      <c r="B57" s="333"/>
      <c r="C57" s="333"/>
    </row>
    <row r="58" spans="1:3" s="275" customFormat="1" x14ac:dyDescent="0.35">
      <c r="A58" s="276"/>
      <c r="B58" s="333"/>
      <c r="C58" s="333"/>
    </row>
    <row r="59" spans="1:3" s="275" customFormat="1" x14ac:dyDescent="0.35">
      <c r="A59" s="276"/>
      <c r="B59" s="333"/>
      <c r="C59" s="333"/>
    </row>
    <row r="60" spans="1:3" s="275" customFormat="1" x14ac:dyDescent="0.35">
      <c r="A60" s="276"/>
      <c r="B60" s="333"/>
      <c r="C60" s="333"/>
    </row>
    <row r="61" spans="1:3" s="275" customFormat="1" x14ac:dyDescent="0.35">
      <c r="A61" s="276"/>
      <c r="B61" s="333"/>
      <c r="C61" s="333"/>
    </row>
    <row r="62" spans="1:3" s="275" customFormat="1" x14ac:dyDescent="0.35">
      <c r="A62" s="276"/>
      <c r="B62" s="333"/>
      <c r="C62" s="333"/>
    </row>
    <row r="63" spans="1:3" s="275" customFormat="1" x14ac:dyDescent="0.35">
      <c r="A63" s="276"/>
      <c r="B63" s="333"/>
      <c r="C63" s="333"/>
    </row>
    <row r="64" spans="1:3" s="275" customFormat="1" x14ac:dyDescent="0.35">
      <c r="A64" s="276"/>
      <c r="B64" s="333"/>
      <c r="C64" s="333"/>
    </row>
    <row r="65" spans="1:3" s="275" customFormat="1" x14ac:dyDescent="0.35">
      <c r="A65" s="276"/>
      <c r="B65" s="333"/>
      <c r="C65" s="333"/>
    </row>
    <row r="66" spans="1:3" s="275" customFormat="1" x14ac:dyDescent="0.35">
      <c r="A66" s="276"/>
      <c r="B66" s="333"/>
      <c r="C66" s="333"/>
    </row>
    <row r="67" spans="1:3" s="275" customFormat="1" x14ac:dyDescent="0.35">
      <c r="A67" s="276"/>
      <c r="B67" s="333"/>
      <c r="C67" s="333"/>
    </row>
    <row r="68" spans="1:3" s="275" customFormat="1" x14ac:dyDescent="0.35">
      <c r="A68" s="276"/>
      <c r="B68" s="333"/>
      <c r="C68" s="333"/>
    </row>
    <row r="69" spans="1:3" s="275" customFormat="1" x14ac:dyDescent="0.35">
      <c r="A69" s="276"/>
      <c r="B69" s="333"/>
      <c r="C69" s="333"/>
    </row>
    <row r="70" spans="1:3" s="275" customFormat="1" x14ac:dyDescent="0.35">
      <c r="A70" s="276"/>
      <c r="B70" s="333"/>
      <c r="C70" s="333"/>
    </row>
    <row r="71" spans="1:3" s="275" customFormat="1" x14ac:dyDescent="0.35">
      <c r="A71" s="276"/>
      <c r="B71" s="333"/>
      <c r="C71" s="333"/>
    </row>
    <row r="72" spans="1:3" s="275" customFormat="1" x14ac:dyDescent="0.35">
      <c r="A72" s="276"/>
      <c r="B72" s="333"/>
      <c r="C72" s="333"/>
    </row>
  </sheetData>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codeName="Sheet16">
    <pageSetUpPr fitToPage="1"/>
  </sheetPr>
  <dimension ref="A1:AI74"/>
  <sheetViews>
    <sheetView zoomScale="85" zoomScaleNormal="85" workbookViewId="0"/>
  </sheetViews>
  <sheetFormatPr defaultColWidth="9.1796875" defaultRowHeight="14.5" outlineLevelCol="1" x14ac:dyDescent="0.35"/>
  <cols>
    <col min="1" max="1" width="37" style="45" customWidth="1"/>
    <col min="2" max="2" width="12.1796875" style="45" customWidth="1"/>
    <col min="3" max="3" width="12.453125" style="45" customWidth="1"/>
    <col min="4" max="4" width="12.453125" style="45" customWidth="1" outlineLevel="1"/>
    <col min="5" max="5" width="15.453125" style="45" customWidth="1"/>
    <col min="6" max="6" width="15.81640625" style="45" customWidth="1"/>
    <col min="7" max="7" width="12.26953125" style="45" customWidth="1"/>
    <col min="8" max="9" width="13.26953125" style="45" customWidth="1"/>
    <col min="10" max="10" width="12.26953125" style="45" bestFit="1" customWidth="1"/>
    <col min="11" max="11" width="11.54296875" style="45" bestFit="1" customWidth="1"/>
    <col min="12" max="12" width="12.81640625" style="45" customWidth="1"/>
    <col min="13" max="13" width="12.26953125" style="45" bestFit="1" customWidth="1"/>
    <col min="14" max="14" width="15" style="45" bestFit="1" customWidth="1"/>
    <col min="15" max="15" width="16" style="45" bestFit="1" customWidth="1"/>
    <col min="16" max="16" width="15.26953125" style="45" hidden="1" customWidth="1" outlineLevel="1"/>
    <col min="17" max="17" width="17.453125" style="45" bestFit="1" customWidth="1" collapsed="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62" t="str">
        <f>'PTD Cycle 3'!A1</f>
        <v>Evergy Metro, Inc. - DSIM Rider Update Filed 06/02/2025</v>
      </c>
      <c r="B1" s="3"/>
      <c r="C1" s="3"/>
      <c r="D1" s="3"/>
    </row>
    <row r="2" spans="1:35" x14ac:dyDescent="0.35">
      <c r="E2" s="3" t="s">
        <v>126</v>
      </c>
    </row>
    <row r="3" spans="1:35" ht="29" x14ac:dyDescent="0.35">
      <c r="E3" s="47" t="s">
        <v>40</v>
      </c>
      <c r="F3" s="69" t="s">
        <v>62</v>
      </c>
      <c r="G3" s="69" t="s">
        <v>48</v>
      </c>
      <c r="H3" s="47" t="s">
        <v>1</v>
      </c>
      <c r="I3" s="69" t="s">
        <v>49</v>
      </c>
      <c r="J3" s="47" t="s">
        <v>8</v>
      </c>
      <c r="K3" s="47" t="s">
        <v>7</v>
      </c>
      <c r="S3" s="47"/>
    </row>
    <row r="4" spans="1:35" x14ac:dyDescent="0.35">
      <c r="A4" s="19" t="s">
        <v>22</v>
      </c>
      <c r="B4" s="19"/>
      <c r="C4" s="19"/>
      <c r="D4" s="19"/>
      <c r="E4" s="21">
        <f>SUM(C16:M16)</f>
        <v>1186266.5284961655</v>
      </c>
      <c r="F4" s="131">
        <f>N23</f>
        <v>19310950.504599996</v>
      </c>
      <c r="G4" s="21">
        <f>SUM(C30:L30)</f>
        <v>1072977.8900000001</v>
      </c>
      <c r="H4" s="21">
        <f>G4-E4</f>
        <v>-113288.6384961654</v>
      </c>
      <c r="I4" s="21">
        <f>+B46</f>
        <v>36490.481410000073</v>
      </c>
      <c r="J4" s="21">
        <f>SUM(C54:L54)</f>
        <v>4496.88</v>
      </c>
      <c r="K4" s="24">
        <f>SUM(H4:J4)</f>
        <v>-72301.277086165326</v>
      </c>
      <c r="L4" s="46">
        <f>+K4-M46</f>
        <v>0</v>
      </c>
      <c r="N4" s="46"/>
    </row>
    <row r="5" spans="1:35" x14ac:dyDescent="0.35">
      <c r="A5" s="19" t="s">
        <v>94</v>
      </c>
      <c r="B5" s="19"/>
      <c r="C5" s="19"/>
      <c r="D5" s="19"/>
      <c r="E5" s="21">
        <f t="shared" ref="E5:E7" si="0">SUM(C17:M17)</f>
        <v>472818.33376000001</v>
      </c>
      <c r="F5" s="131">
        <f t="shared" ref="F5:F7" si="1">N24</f>
        <v>6322833.9363000002</v>
      </c>
      <c r="G5" s="21">
        <f t="shared" ref="G5:G7" si="2">SUM(C31:L31)</f>
        <v>395036.81000000006</v>
      </c>
      <c r="H5" s="21">
        <f t="shared" ref="H5:H7" si="3">G5-E5</f>
        <v>-77781.523759999953</v>
      </c>
      <c r="I5" s="21">
        <f t="shared" ref="I5:I7" si="4">+B47</f>
        <v>145920.07606000005</v>
      </c>
      <c r="J5" s="21">
        <f t="shared" ref="J5:J7" si="5">SUM(C55:L55)</f>
        <v>4904.6499999999996</v>
      </c>
      <c r="K5" s="24">
        <f t="shared" ref="K5:K7" si="6">SUM(H5:J5)</f>
        <v>73043.202300000092</v>
      </c>
      <c r="L5" s="46">
        <f>+K5-M47</f>
        <v>0</v>
      </c>
      <c r="N5" s="46"/>
    </row>
    <row r="6" spans="1:35" x14ac:dyDescent="0.35">
      <c r="A6" s="19" t="s">
        <v>95</v>
      </c>
      <c r="B6" s="19"/>
      <c r="C6" s="19"/>
      <c r="D6" s="19"/>
      <c r="E6" s="21">
        <f t="shared" si="0"/>
        <v>744639.88028000004</v>
      </c>
      <c r="F6" s="131">
        <f t="shared" si="1"/>
        <v>15393357.979899999</v>
      </c>
      <c r="G6" s="21">
        <f t="shared" si="2"/>
        <v>676367.23</v>
      </c>
      <c r="H6" s="21">
        <f t="shared" si="3"/>
        <v>-68272.65028000006</v>
      </c>
      <c r="I6" s="21">
        <f t="shared" si="4"/>
        <v>205971.7261599999</v>
      </c>
      <c r="J6" s="21">
        <f t="shared" si="5"/>
        <v>7832.22</v>
      </c>
      <c r="K6" s="24">
        <f t="shared" si="6"/>
        <v>145531.29587999985</v>
      </c>
      <c r="L6" s="46">
        <f>+K6-M48</f>
        <v>0</v>
      </c>
      <c r="N6" s="46"/>
    </row>
    <row r="7" spans="1:35" x14ac:dyDescent="0.35">
      <c r="A7" s="19" t="s">
        <v>96</v>
      </c>
      <c r="B7" s="19"/>
      <c r="C7" s="19"/>
      <c r="D7" s="19"/>
      <c r="E7" s="21">
        <f t="shared" si="0"/>
        <v>503828.85748999991</v>
      </c>
      <c r="F7" s="131">
        <f t="shared" si="1"/>
        <v>15151060.9253</v>
      </c>
      <c r="G7" s="21">
        <f t="shared" si="2"/>
        <v>432393.06000000006</v>
      </c>
      <c r="H7" s="21">
        <f t="shared" si="3"/>
        <v>-71435.797489999852</v>
      </c>
      <c r="I7" s="21">
        <f t="shared" si="4"/>
        <v>49502.244120000018</v>
      </c>
      <c r="J7" s="21">
        <f t="shared" si="5"/>
        <v>2264.5699999999997</v>
      </c>
      <c r="K7" s="24">
        <f t="shared" si="6"/>
        <v>-19668.983369999834</v>
      </c>
      <c r="L7" s="46">
        <f>+K7-M49</f>
        <v>7.6397554948925972E-11</v>
      </c>
      <c r="N7" s="46"/>
    </row>
    <row r="8" spans="1:35" ht="15" thickBot="1" x14ac:dyDescent="0.4">
      <c r="A8" s="19" t="s">
        <v>97</v>
      </c>
      <c r="B8" s="19"/>
      <c r="C8" s="19"/>
      <c r="D8" s="19"/>
      <c r="E8" s="21">
        <f>SUM(C20:M20)</f>
        <v>17250.708170000005</v>
      </c>
      <c r="F8" s="131">
        <f>N27</f>
        <v>1956324.2391000004</v>
      </c>
      <c r="G8" s="21">
        <f>SUM(C34:L34)</f>
        <v>27801.5</v>
      </c>
      <c r="H8" s="21">
        <f>G8-E8</f>
        <v>10550.791829999995</v>
      </c>
      <c r="I8" s="21">
        <f>+B50</f>
        <v>-10118.055259999985</v>
      </c>
      <c r="J8" s="21">
        <f>SUM(C58:L58)</f>
        <v>9.0400000000000063</v>
      </c>
      <c r="K8" s="24">
        <f>SUM(H8:J8)</f>
        <v>441.77657000001005</v>
      </c>
      <c r="L8" s="46">
        <f>+K8-M50</f>
        <v>-5.4569682106375694E-12</v>
      </c>
      <c r="N8" s="46"/>
    </row>
    <row r="9" spans="1:35" ht="15.5" thickTop="1" thickBot="1" x14ac:dyDescent="0.4">
      <c r="E9" s="26">
        <f t="shared" ref="E9:I9" si="7">SUM(E4:E8)</f>
        <v>2924804.3081961656</v>
      </c>
      <c r="F9" s="132">
        <f t="shared" si="7"/>
        <v>58134527.585200004</v>
      </c>
      <c r="G9" s="26">
        <f t="shared" si="7"/>
        <v>2604576.4900000002</v>
      </c>
      <c r="H9" s="26">
        <f t="shared" si="7"/>
        <v>-320227.81819616526</v>
      </c>
      <c r="I9" s="26">
        <f t="shared" si="7"/>
        <v>427766.47249000001</v>
      </c>
      <c r="J9" s="26">
        <f>SUM(J4:J8)</f>
        <v>19507.36</v>
      </c>
      <c r="K9" s="26">
        <f>SUM(K4:K8)</f>
        <v>127046.0142938348</v>
      </c>
      <c r="T9" s="5"/>
    </row>
    <row r="10" spans="1:35" ht="15.5" thickTop="1" thickBot="1" x14ac:dyDescent="0.4">
      <c r="K10" s="217"/>
      <c r="L10" s="216"/>
    </row>
    <row r="11" spans="1:35" ht="116.5" thickBot="1" x14ac:dyDescent="0.4">
      <c r="B11" s="112" t="str">
        <f>'PCR Cycle 4'!B$11</f>
        <v>Cumulative Over/Under Carryover From 12/01/2024 Filing</v>
      </c>
      <c r="C11" s="146" t="str">
        <f>'PCR Cycle 4'!C$11</f>
        <v>Reverse November 2024 - January 2025 Forecast From 12/01/2024 Filing</v>
      </c>
      <c r="D11" s="316"/>
      <c r="E11" s="357" t="s">
        <v>28</v>
      </c>
      <c r="F11" s="357"/>
      <c r="G11" s="358"/>
      <c r="H11" s="363" t="s">
        <v>28</v>
      </c>
      <c r="I11" s="364"/>
      <c r="J11" s="365"/>
      <c r="K11" s="352" t="s">
        <v>6</v>
      </c>
      <c r="L11" s="353"/>
      <c r="M11" s="354"/>
      <c r="P11" s="274" t="s">
        <v>210</v>
      </c>
    </row>
    <row r="12" spans="1:35" x14ac:dyDescent="0.35">
      <c r="A12" s="45" t="s">
        <v>56</v>
      </c>
      <c r="C12" s="102"/>
      <c r="D12" s="201"/>
      <c r="E12" s="18">
        <f>+'PCR Cycle 4'!E$12</f>
        <v>45626</v>
      </c>
      <c r="F12" s="18">
        <f>+'PCR Cycle 4'!F$12</f>
        <v>45657</v>
      </c>
      <c r="G12" s="18">
        <f>+'PCR Cycle 4'!G$12</f>
        <v>45688</v>
      </c>
      <c r="H12" s="13">
        <f>+'PCR Cycle 4'!H$12</f>
        <v>45716</v>
      </c>
      <c r="I12" s="18">
        <f>+'PCR Cycle 4'!I$12</f>
        <v>45747</v>
      </c>
      <c r="J12" s="14">
        <f>+'PCR Cycle 4'!J$12</f>
        <v>45777</v>
      </c>
      <c r="K12" s="18">
        <f>+'PCR Cycle 4'!K$12</f>
        <v>45808</v>
      </c>
      <c r="L12" s="18">
        <f>+'PCR Cycle 4'!L$12</f>
        <v>45838</v>
      </c>
      <c r="M12" s="93">
        <f>+'PCR Cycle 4'!M$12</f>
        <v>45869</v>
      </c>
      <c r="P12" s="181"/>
      <c r="Z12" s="1"/>
      <c r="AA12" s="1"/>
      <c r="AB12" s="1"/>
      <c r="AC12" s="1"/>
      <c r="AD12" s="1"/>
      <c r="AE12" s="1"/>
      <c r="AF12" s="1"/>
      <c r="AG12" s="1"/>
      <c r="AH12" s="1"/>
      <c r="AI12" s="1"/>
    </row>
    <row r="13" spans="1:35" x14ac:dyDescent="0.35">
      <c r="A13" s="45" t="s">
        <v>3</v>
      </c>
      <c r="C13" s="183">
        <v>-752739.58</v>
      </c>
      <c r="D13" s="185"/>
      <c r="E13" s="106">
        <f t="shared" ref="E13:L13" si="8">SUM(E30:E34)</f>
        <v>363466.42999999993</v>
      </c>
      <c r="F13" s="106">
        <f t="shared" si="8"/>
        <v>384315.69</v>
      </c>
      <c r="G13" s="107">
        <f t="shared" si="8"/>
        <v>387215.34</v>
      </c>
      <c r="H13" s="15">
        <f t="shared" si="8"/>
        <v>355768.66000000003</v>
      </c>
      <c r="I13" s="54">
        <f t="shared" si="8"/>
        <v>395914.11</v>
      </c>
      <c r="J13" s="159">
        <f t="shared" si="8"/>
        <v>403589.31</v>
      </c>
      <c r="K13" s="152">
        <f t="shared" si="8"/>
        <v>436447.94</v>
      </c>
      <c r="L13" s="76">
        <f t="shared" si="8"/>
        <v>630598.59000000008</v>
      </c>
      <c r="M13" s="77"/>
      <c r="P13" s="181">
        <f>-SUM(K13:M13)</f>
        <v>-1067046.53</v>
      </c>
    </row>
    <row r="14" spans="1:35" x14ac:dyDescent="0.35">
      <c r="C14" s="97"/>
      <c r="D14" s="186"/>
      <c r="E14" s="16"/>
      <c r="F14" s="16"/>
      <c r="G14" s="16"/>
      <c r="H14" s="9"/>
      <c r="I14" s="16"/>
      <c r="J14" s="10"/>
      <c r="K14" s="30"/>
      <c r="L14" s="30"/>
      <c r="M14" s="28"/>
      <c r="P14" s="181"/>
    </row>
    <row r="15" spans="1:35" x14ac:dyDescent="0.35">
      <c r="A15" s="45" t="s">
        <v>55</v>
      </c>
      <c r="C15" s="97"/>
      <c r="D15" s="186"/>
      <c r="E15" s="17"/>
      <c r="F15" s="17"/>
      <c r="G15" s="17"/>
      <c r="H15" s="89"/>
      <c r="I15" s="17"/>
      <c r="J15" s="160"/>
      <c r="K15" s="30"/>
      <c r="L15" s="30"/>
      <c r="M15" s="28"/>
      <c r="N15" s="62" t="s">
        <v>59</v>
      </c>
      <c r="O15" s="38"/>
      <c r="P15" s="181"/>
    </row>
    <row r="16" spans="1:35" x14ac:dyDescent="0.35">
      <c r="A16" s="45" t="s">
        <v>22</v>
      </c>
      <c r="C16" s="183">
        <v>-587094.92859000002</v>
      </c>
      <c r="D16" s="185"/>
      <c r="E16" s="129">
        <f>'[10]November 2024'!$G104+'[10]November 2024'!$G112</f>
        <v>130193.96000000002</v>
      </c>
      <c r="F16" s="129">
        <f>'[10]December 2024'!$G104+'[10]December 2024'!$G112</f>
        <v>185699.88</v>
      </c>
      <c r="G16" s="129">
        <f>'[10]January 2025'!$G104+'[10]January 2025'!$G112</f>
        <v>227086.44</v>
      </c>
      <c r="H16" s="15">
        <f>'[10]February 2025'!$G104+'[10]February 2025'!$G112</f>
        <v>254726.51</v>
      </c>
      <c r="I16" s="115">
        <f>'[10]March 2025'!$G104+'[10]March 2025'!$G112</f>
        <v>216372.27000000002</v>
      </c>
      <c r="J16" s="159">
        <f>'[10]April 2025'!$G104+'[10]April 2025'!$G112</f>
        <v>140808.36000000002</v>
      </c>
      <c r="K16" s="117">
        <f>'PCR Cycle 4'!K22*'TDR Cycle 3'!$N16</f>
        <v>146576.81470431146</v>
      </c>
      <c r="L16" s="40">
        <f>'PCR Cycle 4'!L22*'TDR Cycle 3'!$N16</f>
        <v>191493.18814091501</v>
      </c>
      <c r="M16" s="60">
        <f>'PCR Cycle 4'!M22*'TDR Cycle 3'!$N16</f>
        <v>280404.03424093901</v>
      </c>
      <c r="N16" s="71">
        <v>9.3000000000000005E-4</v>
      </c>
      <c r="O16" s="4"/>
      <c r="P16" s="181">
        <f t="shared" ref="P16:P20" si="9">-SUM(K16:M16)</f>
        <v>-618474.03708616551</v>
      </c>
    </row>
    <row r="17" spans="1:16" x14ac:dyDescent="0.35">
      <c r="A17" s="45" t="s">
        <v>94</v>
      </c>
      <c r="C17" s="183">
        <v>-113069.21393999999</v>
      </c>
      <c r="D17" s="185"/>
      <c r="E17" s="129">
        <f>'[10]November 2024'!$G105+'[10]November 2024'!$G113</f>
        <v>33608.689999999995</v>
      </c>
      <c r="F17" s="129">
        <f>'[10]December 2024'!$G105+'[10]December 2024'!$G113</f>
        <v>39844.99</v>
      </c>
      <c r="G17" s="129">
        <f>'[10]January 2025'!$G105+'[10]January 2025'!$G113</f>
        <v>41692.57</v>
      </c>
      <c r="H17" s="15">
        <f>'[10]February 2025'!$G105+'[10]February 2025'!$G113</f>
        <v>65809.960000000006</v>
      </c>
      <c r="I17" s="115">
        <f>'[10]March 2025'!$G105+'[10]March 2025'!$G113</f>
        <v>79288.13</v>
      </c>
      <c r="J17" s="159">
        <f>'[10]April 2025'!$G105+'[10]April 2025'!$G113</f>
        <v>70774.33</v>
      </c>
      <c r="K17" s="117">
        <f>'PCR Cycle 4'!K23*'TDR Cycle 3'!$N17</f>
        <v>76142.142649999994</v>
      </c>
      <c r="L17" s="40">
        <f>'PCR Cycle 4'!L23*'TDR Cycle 3'!$N17</f>
        <v>84234.035449999996</v>
      </c>
      <c r="M17" s="60">
        <f>'PCR Cycle 4'!M23*'TDR Cycle 3'!$N17</f>
        <v>94492.699599999993</v>
      </c>
      <c r="N17" s="71">
        <v>1.5499999999999999E-3</v>
      </c>
      <c r="O17" s="4"/>
      <c r="P17" s="181">
        <f t="shared" si="9"/>
        <v>-254868.87769999998</v>
      </c>
    </row>
    <row r="18" spans="1:16" x14ac:dyDescent="0.35">
      <c r="A18" s="45" t="s">
        <v>95</v>
      </c>
      <c r="C18" s="183">
        <v>-383547.97383999999</v>
      </c>
      <c r="D18" s="185"/>
      <c r="E18" s="129">
        <f>'[10]November 2024'!$G106+'[10]November 2024'!$G114</f>
        <v>109429.5</v>
      </c>
      <c r="F18" s="129">
        <f>'[10]December 2024'!$G106+'[10]December 2024'!$G114</f>
        <v>122740.48</v>
      </c>
      <c r="G18" s="129">
        <f>'[10]January 2025'!$G106+'[10]January 2025'!$G114</f>
        <v>128131.9</v>
      </c>
      <c r="H18" s="15">
        <f>'[10]February 2025'!$G106+'[10]February 2025'!$G114</f>
        <v>142409.63</v>
      </c>
      <c r="I18" s="115">
        <f>'[10]March 2025'!$G106+'[10]March 2025'!$G114</f>
        <v>121896.79</v>
      </c>
      <c r="J18" s="159">
        <f>'[10]April 2025'!$G106+'[10]April 2025'!$G114</f>
        <v>106558.90000000001</v>
      </c>
      <c r="K18" s="117">
        <f>'PCR Cycle 4'!K24*'TDR Cycle 3'!$N18</f>
        <v>118610.02344</v>
      </c>
      <c r="L18" s="40">
        <f>'PCR Cycle 4'!L24*'TDR Cycle 3'!$N18</f>
        <v>131215.12593000001</v>
      </c>
      <c r="M18" s="60">
        <f>'PCR Cycle 4'!M24*'TDR Cycle 3'!$N18</f>
        <v>147195.50474999999</v>
      </c>
      <c r="N18" s="71">
        <v>1.41E-3</v>
      </c>
      <c r="O18" s="4"/>
      <c r="P18" s="181">
        <f t="shared" si="9"/>
        <v>-397020.65411999996</v>
      </c>
    </row>
    <row r="19" spans="1:16" x14ac:dyDescent="0.35">
      <c r="A19" s="45" t="s">
        <v>96</v>
      </c>
      <c r="C19" s="183">
        <v>-260585.46588</v>
      </c>
      <c r="D19" s="185"/>
      <c r="E19" s="129">
        <f>'[10]November 2024'!$G107+'[10]November 2024'!$G115</f>
        <v>78522.83</v>
      </c>
      <c r="F19" s="129">
        <f>'[10]December 2024'!$G107+'[10]December 2024'!$G115</f>
        <v>88015.739999999991</v>
      </c>
      <c r="G19" s="129">
        <f>'[10]January 2025'!$G107+'[10]January 2025'!$G115</f>
        <v>89579.71</v>
      </c>
      <c r="H19" s="15">
        <f>'[10]February 2025'!$G107+'[10]February 2025'!$G115</f>
        <v>97634.93</v>
      </c>
      <c r="I19" s="115">
        <f>'[10]March 2025'!$G107+'[10]March 2025'!$G115</f>
        <v>64879.59</v>
      </c>
      <c r="J19" s="159">
        <f>'[10]April 2025'!$G107+'[10]April 2025'!$G115</f>
        <v>74539.5</v>
      </c>
      <c r="K19" s="117">
        <f>'PCR Cycle 4'!K25*'TDR Cycle 3'!$N19</f>
        <v>81033.624929999991</v>
      </c>
      <c r="L19" s="40">
        <f>'PCR Cycle 4'!L25*'TDR Cycle 3'!$N19</f>
        <v>89645.351659999986</v>
      </c>
      <c r="M19" s="60">
        <f>'PCR Cycle 4'!M25*'TDR Cycle 3'!$N19</f>
        <v>100563.04677999999</v>
      </c>
      <c r="N19" s="71">
        <v>5.8999999999999992E-4</v>
      </c>
      <c r="O19" s="4"/>
      <c r="P19" s="181">
        <f t="shared" si="9"/>
        <v>-271242.02336999995</v>
      </c>
    </row>
    <row r="20" spans="1:16" x14ac:dyDescent="0.35">
      <c r="A20" s="45" t="s">
        <v>97</v>
      </c>
      <c r="C20" s="183">
        <v>-16704.415259999998</v>
      </c>
      <c r="D20" s="185"/>
      <c r="E20" s="129">
        <f>'[10]November 2024'!$G108+'[10]November 2024'!$G116</f>
        <v>4923.5</v>
      </c>
      <c r="F20" s="129">
        <f>'[10]December 2024'!$G108+'[10]December 2024'!$G116</f>
        <v>3703.52</v>
      </c>
      <c r="G20" s="129">
        <f>'[10]January 2025'!$G108+'[10]January 2025'!$G116</f>
        <v>4742.1000000000004</v>
      </c>
      <c r="H20" s="15">
        <f>'[10]February 2025'!$G108+'[10]February 2025'!$G116</f>
        <v>5860.93</v>
      </c>
      <c r="I20" s="115">
        <f>'[10]March 2025'!$G108+'[10]March 2025'!$G116</f>
        <v>-3304.78</v>
      </c>
      <c r="J20" s="159">
        <f>'[10]April 2025'!$G108+'[10]April 2025'!$G116</f>
        <v>3940.01</v>
      </c>
      <c r="K20" s="117">
        <f>'PCR Cycle 4'!K26*'TDR Cycle 3'!$N20</f>
        <v>4209.3443600000001</v>
      </c>
      <c r="L20" s="40">
        <f>'PCR Cycle 4'!L26*'TDR Cycle 3'!$N20</f>
        <v>4656.6861899999994</v>
      </c>
      <c r="M20" s="60">
        <f>'PCR Cycle 4'!M26*'TDR Cycle 3'!$N20</f>
        <v>5223.8128799999995</v>
      </c>
      <c r="N20" s="71">
        <v>1.2999999999999999E-4</v>
      </c>
      <c r="O20" s="4"/>
      <c r="P20" s="181">
        <f t="shared" si="9"/>
        <v>-14089.843429999999</v>
      </c>
    </row>
    <row r="21" spans="1:16" x14ac:dyDescent="0.35">
      <c r="C21" s="66"/>
      <c r="D21" s="187"/>
      <c r="E21" s="67"/>
      <c r="F21" s="67"/>
      <c r="G21" s="67"/>
      <c r="H21" s="66"/>
      <c r="I21" s="67"/>
      <c r="J21" s="162"/>
      <c r="K21" s="55"/>
      <c r="L21" s="55"/>
      <c r="M21" s="12"/>
      <c r="O21" s="4"/>
    </row>
    <row r="22" spans="1:16" x14ac:dyDescent="0.35">
      <c r="A22" s="38" t="s">
        <v>58</v>
      </c>
      <c r="B22" s="38"/>
      <c r="C22" s="66"/>
      <c r="D22" s="187"/>
      <c r="E22" s="55"/>
      <c r="F22" s="55"/>
      <c r="G22" s="55"/>
      <c r="H22" s="11"/>
      <c r="I22" s="55"/>
      <c r="J22" s="163"/>
      <c r="K22" s="55"/>
      <c r="L22" s="55"/>
      <c r="M22" s="12"/>
      <c r="N22" s="6"/>
    </row>
    <row r="23" spans="1:16" x14ac:dyDescent="0.35">
      <c r="A23" s="45" t="s">
        <v>22</v>
      </c>
      <c r="C23" s="184">
        <v>-5832996.1914999997</v>
      </c>
      <c r="D23" s="188"/>
      <c r="E23" s="108">
        <f>ROUND('[16]Summary Monthly TD Calc'!Z18,4)</f>
        <v>2716493.9504999998</v>
      </c>
      <c r="F23" s="108">
        <f>ROUND('[16]Summary Monthly TD Calc'!AA18,4)</f>
        <v>3275517.8898999998</v>
      </c>
      <c r="G23" s="119">
        <f>ROUND('[16]Summary Monthly TD Calc'!AB18,4)</f>
        <v>3396986.3527000002</v>
      </c>
      <c r="H23" s="72">
        <f>ROUND('[16]Summary Monthly TD Calc'!AC18,4)</f>
        <v>3061869.0236999998</v>
      </c>
      <c r="I23" s="73">
        <f>ROUND('[16]Summary Monthly TD Calc'!AD18,4)</f>
        <v>3152798.4019999998</v>
      </c>
      <c r="J23" s="164">
        <f>ROUND('[16]Summary Monthly TD Calc'!AE18,4)</f>
        <v>3033521.7031999999</v>
      </c>
      <c r="K23" s="153">
        <f>ROUND('[16]Summary Monthly TD Calc'!AF18,4)</f>
        <v>3219769.2096000002</v>
      </c>
      <c r="L23" s="137">
        <f>ROUND('[16]Summary Monthly TD Calc'!AG18,4)</f>
        <v>3286990.1645</v>
      </c>
      <c r="M23" s="78"/>
      <c r="N23" s="58">
        <f>SUM(C23:L23)</f>
        <v>19310950.504599996</v>
      </c>
      <c r="P23" s="181">
        <f t="shared" ref="P23:P27" si="10">-SUM(K23:M23)</f>
        <v>-6506759.3740999997</v>
      </c>
    </row>
    <row r="24" spans="1:16" x14ac:dyDescent="0.35">
      <c r="A24" s="45" t="s">
        <v>94</v>
      </c>
      <c r="C24" s="184">
        <v>-1896979.4265000001</v>
      </c>
      <c r="D24" s="188"/>
      <c r="E24" s="108">
        <f>ROUND('[16]Summary Monthly TD Calc'!Z19,4)</f>
        <v>885296.68229999999</v>
      </c>
      <c r="F24" s="108">
        <f>ROUND('[16]Summary Monthly TD Calc'!AA19,4)</f>
        <v>969575.59739999997</v>
      </c>
      <c r="G24" s="119">
        <f>ROUND('[16]Summary Monthly TD Calc'!AB19,4)</f>
        <v>1088384.8237999999</v>
      </c>
      <c r="H24" s="72">
        <f>ROUND('[16]Summary Monthly TD Calc'!AC19,4)</f>
        <v>983305.924</v>
      </c>
      <c r="I24" s="73">
        <f>ROUND('[16]Summary Monthly TD Calc'!AD19,4)</f>
        <v>1093306.0497000001</v>
      </c>
      <c r="J24" s="164">
        <f>ROUND('[16]Summary Monthly TD Calc'!AE19,4)</f>
        <v>1044503.9485000001</v>
      </c>
      <c r="K24" s="153">
        <f>ROUND('[16]Summary Monthly TD Calc'!AF19,4)</f>
        <v>1094833.9632999999</v>
      </c>
      <c r="L24" s="137">
        <f>ROUND('[16]Summary Monthly TD Calc'!AG19,4)</f>
        <v>1060606.3737999999</v>
      </c>
      <c r="M24" s="78"/>
      <c r="N24" s="58">
        <f t="shared" ref="N24:N27" si="11">SUM(C24:L24)</f>
        <v>6322833.9363000002</v>
      </c>
      <c r="P24" s="181">
        <f t="shared" si="10"/>
        <v>-2155440.3371000001</v>
      </c>
    </row>
    <row r="25" spans="1:16" x14ac:dyDescent="0.35">
      <c r="A25" s="45" t="s">
        <v>95</v>
      </c>
      <c r="C25" s="184">
        <v>-4451403.5549999997</v>
      </c>
      <c r="D25" s="188"/>
      <c r="E25" s="108">
        <f>ROUND('[16]Summary Monthly TD Calc'!Z20,4)</f>
        <v>2088588.0526000001</v>
      </c>
      <c r="F25" s="108">
        <f>ROUND('[16]Summary Monthly TD Calc'!AA20,4)</f>
        <v>2314626.8111999999</v>
      </c>
      <c r="G25" s="119">
        <f>ROUND('[16]Summary Monthly TD Calc'!AB20,4)</f>
        <v>2642710.4218000001</v>
      </c>
      <c r="H25" s="72">
        <f>ROUND('[16]Summary Monthly TD Calc'!AC20,4)</f>
        <v>2388551.0077999998</v>
      </c>
      <c r="I25" s="73">
        <f>ROUND('[16]Summary Monthly TD Calc'!AD20,4)</f>
        <v>2653844.4660999998</v>
      </c>
      <c r="J25" s="164">
        <f>ROUND('[16]Summary Monthly TD Calc'!AE20,4)</f>
        <v>2532182.6269999999</v>
      </c>
      <c r="K25" s="153">
        <f>ROUND('[16]Summary Monthly TD Calc'!AF20,4)</f>
        <v>2657075.5318</v>
      </c>
      <c r="L25" s="137">
        <f>ROUND('[16]Summary Monthly TD Calc'!AG20,4)</f>
        <v>2567182.6165999998</v>
      </c>
      <c r="M25" s="78"/>
      <c r="N25" s="58">
        <f t="shared" si="11"/>
        <v>15393357.979899999</v>
      </c>
      <c r="P25" s="181">
        <f t="shared" si="10"/>
        <v>-5224258.1483999994</v>
      </c>
    </row>
    <row r="26" spans="1:16" x14ac:dyDescent="0.35">
      <c r="A26" s="45" t="s">
        <v>96</v>
      </c>
      <c r="C26" s="184">
        <v>-5001110.8420000002</v>
      </c>
      <c r="D26" s="188"/>
      <c r="E26" s="108">
        <f>ROUND('[16]Summary Monthly TD Calc'!Z21,4)</f>
        <v>2273576.3322000001</v>
      </c>
      <c r="F26" s="108">
        <f>ROUND('[16]Summary Monthly TD Calc'!AA21,4)</f>
        <v>2406305.6839999999</v>
      </c>
      <c r="G26" s="119">
        <f>ROUND('[16]Summary Monthly TD Calc'!AB21,4)</f>
        <v>2642491.1110999999</v>
      </c>
      <c r="H26" s="72">
        <f>ROUND('[16]Summary Monthly TD Calc'!AC21,4)</f>
        <v>2387228.0781</v>
      </c>
      <c r="I26" s="73">
        <f>ROUND('[16]Summary Monthly TD Calc'!AD21,4)</f>
        <v>2658268.7472999999</v>
      </c>
      <c r="J26" s="164">
        <f>ROUND('[16]Summary Monthly TD Calc'!AE21,4)</f>
        <v>2536785.7093000002</v>
      </c>
      <c r="K26" s="153">
        <f>ROUND('[16]Summary Monthly TD Calc'!AF21,4)</f>
        <v>2661998.8506999998</v>
      </c>
      <c r="L26" s="137">
        <f>ROUND('[16]Summary Monthly TD Calc'!AG21,4)</f>
        <v>2585517.2546000001</v>
      </c>
      <c r="M26" s="78"/>
      <c r="N26" s="58">
        <f t="shared" si="11"/>
        <v>15151060.9253</v>
      </c>
      <c r="P26" s="181">
        <f t="shared" si="10"/>
        <v>-5247516.1052999999</v>
      </c>
    </row>
    <row r="27" spans="1:16" x14ac:dyDescent="0.35">
      <c r="A27" s="45" t="s">
        <v>97</v>
      </c>
      <c r="C27" s="184">
        <v>-794350.66149999993</v>
      </c>
      <c r="D27" s="188"/>
      <c r="E27" s="108">
        <f>ROUND('[16]Summary Monthly TD Calc'!Z22,4)</f>
        <v>333785.54350000003</v>
      </c>
      <c r="F27" s="108">
        <f>ROUND('[16]Summary Monthly TD Calc'!AA22,4)</f>
        <v>336292.17950000003</v>
      </c>
      <c r="G27" s="119">
        <f>ROUND('[16]Summary Monthly TD Calc'!AB22,4)</f>
        <v>353258.55650000001</v>
      </c>
      <c r="H27" s="72">
        <f>ROUND('[16]Summary Monthly TD Calc'!AC22,4)</f>
        <v>318722.2022</v>
      </c>
      <c r="I27" s="73">
        <f>ROUND('[16]Summary Monthly TD Calc'!AD22,4)</f>
        <v>356831.69819999998</v>
      </c>
      <c r="J27" s="164">
        <f>ROUND('[16]Summary Monthly TD Calc'!AE22,4)</f>
        <v>341474.30930000002</v>
      </c>
      <c r="K27" s="153">
        <f>ROUND('[16]Summary Monthly TD Calc'!AF22,4)</f>
        <v>357582.0404</v>
      </c>
      <c r="L27" s="137">
        <f>ROUND('[16]Summary Monthly TD Calc'!AG22,4)</f>
        <v>352728.37099999998</v>
      </c>
      <c r="M27" s="78"/>
      <c r="N27" s="58">
        <f t="shared" si="11"/>
        <v>1956324.2391000004</v>
      </c>
      <c r="P27" s="181">
        <f t="shared" si="10"/>
        <v>-710310.41139999998</v>
      </c>
    </row>
    <row r="28" spans="1:16" x14ac:dyDescent="0.35">
      <c r="C28" s="66"/>
      <c r="D28" s="187"/>
      <c r="E28" s="55"/>
      <c r="F28" s="55"/>
      <c r="G28" s="55"/>
      <c r="H28" s="11"/>
      <c r="I28" s="55"/>
      <c r="J28" s="163"/>
      <c r="K28" s="55"/>
      <c r="L28" s="55"/>
      <c r="M28" s="12"/>
    </row>
    <row r="29" spans="1:16" x14ac:dyDescent="0.35">
      <c r="A29" s="45" t="s">
        <v>60</v>
      </c>
      <c r="C29" s="35"/>
      <c r="D29" s="189"/>
      <c r="E29" s="36"/>
      <c r="F29" s="36"/>
      <c r="G29" s="36"/>
      <c r="H29" s="35"/>
      <c r="I29" s="36"/>
      <c r="J29" s="165"/>
      <c r="K29" s="51"/>
      <c r="L29" s="51"/>
      <c r="M29" s="37"/>
    </row>
    <row r="30" spans="1:16" x14ac:dyDescent="0.35">
      <c r="A30" s="45" t="s">
        <v>22</v>
      </c>
      <c r="C30" s="183">
        <v>-309807.87</v>
      </c>
      <c r="D30" s="185"/>
      <c r="E30" s="106">
        <f>'[16]Summary Monthly TD Calc'!Z3</f>
        <v>149224.38</v>
      </c>
      <c r="F30" s="106">
        <f>'[16]Summary Monthly TD Calc'!AA3</f>
        <v>167454.87999999998</v>
      </c>
      <c r="G30" s="107">
        <f>'[16]Summary Monthly TD Calc'!AB3</f>
        <v>159132.67000000001</v>
      </c>
      <c r="H30" s="15">
        <f>'[16]Summary Monthly TD Calc'!AC3</f>
        <v>147388.31</v>
      </c>
      <c r="I30" s="54">
        <f>'[16]Summary Monthly TD Calc'!AD3</f>
        <v>157476.65000000002</v>
      </c>
      <c r="J30" s="159">
        <f>'[16]Summary Monthly TD Calc'!AE3</f>
        <v>161321.32</v>
      </c>
      <c r="K30" s="154">
        <f>'[16]Summary Monthly TD Calc'!AF3</f>
        <v>169437.52999999997</v>
      </c>
      <c r="L30" s="136">
        <f>'[16]Summary Monthly TD Calc'!AG3</f>
        <v>271350.02</v>
      </c>
      <c r="M30" s="77"/>
      <c r="P30" s="181">
        <f t="shared" ref="P30:P36" si="12">-SUM(K30:M30)</f>
        <v>-440787.55</v>
      </c>
    </row>
    <row r="31" spans="1:16" x14ac:dyDescent="0.35">
      <c r="A31" s="45" t="s">
        <v>94</v>
      </c>
      <c r="C31" s="183">
        <v>-114582.6</v>
      </c>
      <c r="D31" s="185"/>
      <c r="E31" s="106">
        <f>'[16]Summary Monthly TD Calc'!Z4</f>
        <v>55433.75</v>
      </c>
      <c r="F31" s="106">
        <f>'[16]Summary Monthly TD Calc'!AA4</f>
        <v>56858.880000000005</v>
      </c>
      <c r="G31" s="107">
        <f>'[16]Summary Monthly TD Calc'!AB4</f>
        <v>60442.559999999998</v>
      </c>
      <c r="H31" s="15">
        <f>'[16]Summary Monthly TD Calc'!AC4</f>
        <v>54806.9</v>
      </c>
      <c r="I31" s="54">
        <f>'[16]Summary Monthly TD Calc'!AD4</f>
        <v>62460.97</v>
      </c>
      <c r="J31" s="159">
        <f>'[16]Summary Monthly TD Calc'!AE4</f>
        <v>62860.489999999991</v>
      </c>
      <c r="K31" s="154">
        <f>'[16]Summary Monthly TD Calc'!AF4</f>
        <v>68999.070000000007</v>
      </c>
      <c r="L31" s="136">
        <f>'[16]Summary Monthly TD Calc'!AG4</f>
        <v>87756.790000000008</v>
      </c>
      <c r="M31" s="77"/>
      <c r="P31" s="181">
        <f t="shared" si="12"/>
        <v>-156755.86000000002</v>
      </c>
    </row>
    <row r="32" spans="1:16" x14ac:dyDescent="0.35">
      <c r="A32" s="45" t="s">
        <v>95</v>
      </c>
      <c r="C32" s="183">
        <v>-186937.65</v>
      </c>
      <c r="D32" s="185"/>
      <c r="E32" s="106">
        <f>'[16]Summary Monthly TD Calc'!Z5</f>
        <v>91625.97</v>
      </c>
      <c r="F32" s="106">
        <f>'[16]Summary Monthly TD Calc'!AA5</f>
        <v>93656.47</v>
      </c>
      <c r="G32" s="107">
        <f>'[16]Summary Monthly TD Calc'!AB5</f>
        <v>99501.66</v>
      </c>
      <c r="H32" s="15">
        <f>'[16]Summary Monthly TD Calc'!AC5</f>
        <v>90808.66</v>
      </c>
      <c r="I32" s="54">
        <f>'[16]Summary Monthly TD Calc'!AD5</f>
        <v>103796.89999999998</v>
      </c>
      <c r="J32" s="159">
        <f>'[16]Summary Monthly TD Calc'!AE5</f>
        <v>105681.04999999999</v>
      </c>
      <c r="K32" s="154">
        <f>'[16]Summary Monthly TD Calc'!AF5</f>
        <v>118186.67</v>
      </c>
      <c r="L32" s="136">
        <f>'[16]Summary Monthly TD Calc'!AG5</f>
        <v>160047.5</v>
      </c>
      <c r="M32" s="77"/>
      <c r="P32" s="181">
        <f t="shared" si="12"/>
        <v>-278234.17</v>
      </c>
    </row>
    <row r="33" spans="1:18" x14ac:dyDescent="0.35">
      <c r="A33" s="45" t="s">
        <v>96</v>
      </c>
      <c r="C33" s="183">
        <v>-132341.72999999998</v>
      </c>
      <c r="D33" s="185"/>
      <c r="E33" s="106">
        <f>'[16]Summary Monthly TD Calc'!Z6</f>
        <v>63112.36</v>
      </c>
      <c r="F33" s="106">
        <f>'[16]Summary Monthly TD Calc'!AA6</f>
        <v>62166.270000000004</v>
      </c>
      <c r="G33" s="107">
        <f>'[16]Summary Monthly TD Calc'!AB6</f>
        <v>64380.7</v>
      </c>
      <c r="H33" s="15">
        <f>'[16]Summary Monthly TD Calc'!AC6</f>
        <v>58677.279999999999</v>
      </c>
      <c r="I33" s="54">
        <f>'[16]Summary Monthly TD Calc'!AD6</f>
        <v>67480.740000000005</v>
      </c>
      <c r="J33" s="159">
        <f>'[16]Summary Monthly TD Calc'!AE6</f>
        <v>69207.66</v>
      </c>
      <c r="K33" s="154">
        <f>'[16]Summary Monthly TD Calc'!AF6</f>
        <v>75085.89</v>
      </c>
      <c r="L33" s="136">
        <f>'[16]Summary Monthly TD Calc'!AG6</f>
        <v>104623.89</v>
      </c>
      <c r="M33" s="77"/>
      <c r="P33" s="181">
        <f t="shared" si="12"/>
        <v>-179709.78</v>
      </c>
    </row>
    <row r="34" spans="1:18" x14ac:dyDescent="0.35">
      <c r="A34" s="45" t="s">
        <v>97</v>
      </c>
      <c r="C34" s="183">
        <v>-9069.73</v>
      </c>
      <c r="D34" s="185"/>
      <c r="E34" s="106">
        <f>'[16]Summary Monthly TD Calc'!Z7</f>
        <v>4069.9700000000003</v>
      </c>
      <c r="F34" s="106">
        <f>'[16]Summary Monthly TD Calc'!AA7</f>
        <v>4179.1899999999996</v>
      </c>
      <c r="G34" s="107">
        <f>'[16]Summary Monthly TD Calc'!AB7</f>
        <v>3757.7499999999995</v>
      </c>
      <c r="H34" s="15">
        <f>'[16]Summary Monthly TD Calc'!AC7</f>
        <v>4087.51</v>
      </c>
      <c r="I34" s="54">
        <f>'[16]Summary Monthly TD Calc'!AD7</f>
        <v>4698.8500000000004</v>
      </c>
      <c r="J34" s="159">
        <f>'[16]Summary Monthly TD Calc'!AE7</f>
        <v>4518.79</v>
      </c>
      <c r="K34" s="154">
        <f>'[16]Summary Monthly TD Calc'!AF7</f>
        <v>4738.7800000000007</v>
      </c>
      <c r="L34" s="136">
        <f>'[16]Summary Monthly TD Calc'!AG7</f>
        <v>6820.39</v>
      </c>
      <c r="M34" s="77"/>
      <c r="O34" s="46"/>
      <c r="P34" s="181">
        <f t="shared" si="12"/>
        <v>-11559.170000000002</v>
      </c>
    </row>
    <row r="35" spans="1:18" x14ac:dyDescent="0.35">
      <c r="C35" s="66"/>
      <c r="D35" s="187"/>
      <c r="E35" s="55"/>
      <c r="F35" s="55"/>
      <c r="G35" s="55"/>
      <c r="H35" s="11"/>
      <c r="I35" s="55"/>
      <c r="J35" s="165"/>
      <c r="K35" s="55"/>
      <c r="L35" s="55"/>
      <c r="M35" s="12"/>
    </row>
    <row r="36" spans="1:18" ht="15" thickBot="1" x14ac:dyDescent="0.4">
      <c r="A36" s="3" t="s">
        <v>13</v>
      </c>
      <c r="B36" s="3"/>
      <c r="C36" s="318">
        <v>-9904.48</v>
      </c>
      <c r="D36" s="190"/>
      <c r="E36" s="129">
        <f>4999.9-0.01</f>
        <v>4999.8899999999994</v>
      </c>
      <c r="F36" s="129">
        <f>4736.23-0.02</f>
        <v>4736.2099999999991</v>
      </c>
      <c r="G36" s="130">
        <f>4310.93-0.01</f>
        <v>4310.92</v>
      </c>
      <c r="H36" s="25">
        <f>3610.71-0.02</f>
        <v>3610.69</v>
      </c>
      <c r="I36" s="116">
        <f>2951.19-0.02</f>
        <v>2951.17</v>
      </c>
      <c r="J36" s="166">
        <v>2788.19</v>
      </c>
      <c r="K36" s="155">
        <f>ROUND((SUM(J46:J50)+SUM(J54:J58)+SUM(K39:K43)/2)*K$52,2)-0.01</f>
        <v>2839.9799999999996</v>
      </c>
      <c r="L36" s="138">
        <f>ROUND((SUM(K46:K50)+SUM(K54:K58)+SUM(L39:L43)/2)*L$52,2)</f>
        <v>3174.79</v>
      </c>
      <c r="M36" s="80"/>
      <c r="P36" s="181">
        <f t="shared" si="12"/>
        <v>-6014.7699999999995</v>
      </c>
      <c r="R36" s="315"/>
    </row>
    <row r="37" spans="1:18" x14ac:dyDescent="0.35">
      <c r="C37" s="63"/>
      <c r="D37" s="193"/>
      <c r="E37" s="65"/>
      <c r="F37" s="65"/>
      <c r="G37" s="32"/>
      <c r="H37" s="63"/>
      <c r="I37" s="32"/>
      <c r="J37" s="167"/>
      <c r="K37" s="33"/>
      <c r="L37" s="33"/>
      <c r="M37" s="59"/>
    </row>
    <row r="38" spans="1:18" x14ac:dyDescent="0.35">
      <c r="A38" s="45" t="s">
        <v>46</v>
      </c>
      <c r="C38" s="64"/>
      <c r="D38" s="194"/>
      <c r="E38" s="34"/>
      <c r="F38" s="34"/>
      <c r="G38" s="34"/>
      <c r="H38" s="64"/>
      <c r="I38" s="34"/>
      <c r="J38" s="168"/>
      <c r="K38" s="33"/>
      <c r="L38" s="33"/>
      <c r="M38" s="59"/>
    </row>
    <row r="39" spans="1:18" x14ac:dyDescent="0.35">
      <c r="A39" s="45" t="s">
        <v>22</v>
      </c>
      <c r="C39" s="191">
        <f t="shared" ref="C39" si="13">C30-C16</f>
        <v>277287.05859000003</v>
      </c>
      <c r="D39" s="195">
        <f t="shared" ref="D39" si="14">D30-D16</f>
        <v>0</v>
      </c>
      <c r="E39" s="40">
        <f t="shared" ref="E39:M39" si="15">E30-E16</f>
        <v>19030.419999999984</v>
      </c>
      <c r="F39" s="40">
        <f t="shared" si="15"/>
        <v>-18245.000000000029</v>
      </c>
      <c r="G39" s="105">
        <f t="shared" si="15"/>
        <v>-67953.76999999999</v>
      </c>
      <c r="H39" s="39">
        <f t="shared" si="15"/>
        <v>-107338.20000000001</v>
      </c>
      <c r="I39" s="40">
        <f t="shared" si="15"/>
        <v>-58895.619999999995</v>
      </c>
      <c r="J39" s="60">
        <f t="shared" si="15"/>
        <v>20512.959999999992</v>
      </c>
      <c r="K39" s="117">
        <f t="shared" si="15"/>
        <v>22860.715295688511</v>
      </c>
      <c r="L39" s="40">
        <f t="shared" si="15"/>
        <v>79856.83185908501</v>
      </c>
      <c r="M39" s="60">
        <f t="shared" si="15"/>
        <v>-280404.03424093901</v>
      </c>
    </row>
    <row r="40" spans="1:18" x14ac:dyDescent="0.35">
      <c r="A40" s="45" t="s">
        <v>94</v>
      </c>
      <c r="C40" s="191">
        <f t="shared" ref="C40" si="16">C31-C17</f>
        <v>-1513.3860600000189</v>
      </c>
      <c r="D40" s="195">
        <f t="shared" ref="D40:M40" si="17">D31-D17</f>
        <v>0</v>
      </c>
      <c r="E40" s="40">
        <f t="shared" si="17"/>
        <v>21825.060000000005</v>
      </c>
      <c r="F40" s="40">
        <f t="shared" si="17"/>
        <v>17013.890000000007</v>
      </c>
      <c r="G40" s="105">
        <f t="shared" si="17"/>
        <v>18749.989999999998</v>
      </c>
      <c r="H40" s="39">
        <f t="shared" si="17"/>
        <v>-11003.060000000005</v>
      </c>
      <c r="I40" s="40">
        <f t="shared" si="17"/>
        <v>-16827.160000000003</v>
      </c>
      <c r="J40" s="60">
        <f t="shared" si="17"/>
        <v>-7913.8400000000111</v>
      </c>
      <c r="K40" s="117">
        <f t="shared" si="17"/>
        <v>-7143.0726499999873</v>
      </c>
      <c r="L40" s="40">
        <f t="shared" si="17"/>
        <v>3522.7545500000124</v>
      </c>
      <c r="M40" s="60">
        <f t="shared" si="17"/>
        <v>-94492.699599999993</v>
      </c>
    </row>
    <row r="41" spans="1:18" x14ac:dyDescent="0.35">
      <c r="A41" s="45" t="s">
        <v>95</v>
      </c>
      <c r="C41" s="191">
        <f t="shared" ref="C41" si="18">C32-C18</f>
        <v>196610.32384</v>
      </c>
      <c r="D41" s="195">
        <f t="shared" ref="D41:M41" si="19">D32-D18</f>
        <v>0</v>
      </c>
      <c r="E41" s="40">
        <f t="shared" si="19"/>
        <v>-17803.53</v>
      </c>
      <c r="F41" s="40">
        <f t="shared" si="19"/>
        <v>-29084.009999999995</v>
      </c>
      <c r="G41" s="105">
        <f t="shared" si="19"/>
        <v>-28630.239999999991</v>
      </c>
      <c r="H41" s="39">
        <f t="shared" si="19"/>
        <v>-51600.97</v>
      </c>
      <c r="I41" s="40">
        <f t="shared" si="19"/>
        <v>-18099.890000000014</v>
      </c>
      <c r="J41" s="60">
        <f t="shared" si="19"/>
        <v>-877.85000000002037</v>
      </c>
      <c r="K41" s="117">
        <f t="shared" si="19"/>
        <v>-423.35344000000623</v>
      </c>
      <c r="L41" s="40">
        <f t="shared" si="19"/>
        <v>28832.374069999991</v>
      </c>
      <c r="M41" s="60">
        <f t="shared" si="19"/>
        <v>-147195.50474999999</v>
      </c>
    </row>
    <row r="42" spans="1:18" x14ac:dyDescent="0.35">
      <c r="A42" s="45" t="s">
        <v>96</v>
      </c>
      <c r="C42" s="191">
        <f t="shared" ref="C42" si="20">C33-C19</f>
        <v>128243.73588000002</v>
      </c>
      <c r="D42" s="195">
        <f t="shared" ref="D42:M42" si="21">D33-D19</f>
        <v>0</v>
      </c>
      <c r="E42" s="40">
        <f t="shared" si="21"/>
        <v>-15410.470000000001</v>
      </c>
      <c r="F42" s="40">
        <f t="shared" si="21"/>
        <v>-25849.469999999987</v>
      </c>
      <c r="G42" s="105">
        <f t="shared" si="21"/>
        <v>-25199.010000000009</v>
      </c>
      <c r="H42" s="39">
        <f t="shared" si="21"/>
        <v>-38957.649999999994</v>
      </c>
      <c r="I42" s="40">
        <f t="shared" si="21"/>
        <v>2601.1500000000087</v>
      </c>
      <c r="J42" s="60">
        <f t="shared" si="21"/>
        <v>-5331.8399999999965</v>
      </c>
      <c r="K42" s="117">
        <f t="shared" si="21"/>
        <v>-5947.7349299999914</v>
      </c>
      <c r="L42" s="40">
        <f t="shared" si="21"/>
        <v>14978.538340000014</v>
      </c>
      <c r="M42" s="60">
        <f t="shared" si="21"/>
        <v>-100563.04677999999</v>
      </c>
    </row>
    <row r="43" spans="1:18" x14ac:dyDescent="0.35">
      <c r="A43" s="45" t="s">
        <v>97</v>
      </c>
      <c r="C43" s="191">
        <f t="shared" ref="C43" si="22">C34-C20</f>
        <v>7634.6852599999984</v>
      </c>
      <c r="D43" s="195">
        <f t="shared" ref="D43:M43" si="23">D34-D20</f>
        <v>0</v>
      </c>
      <c r="E43" s="40">
        <f t="shared" si="23"/>
        <v>-853.52999999999975</v>
      </c>
      <c r="F43" s="40">
        <f t="shared" si="23"/>
        <v>475.66999999999962</v>
      </c>
      <c r="G43" s="105">
        <f t="shared" si="23"/>
        <v>-984.35000000000082</v>
      </c>
      <c r="H43" s="39">
        <f t="shared" si="23"/>
        <v>-1773.42</v>
      </c>
      <c r="I43" s="40">
        <f t="shared" si="23"/>
        <v>8003.630000000001</v>
      </c>
      <c r="J43" s="60">
        <f t="shared" si="23"/>
        <v>578.77999999999975</v>
      </c>
      <c r="K43" s="117">
        <f t="shared" si="23"/>
        <v>529.4356400000006</v>
      </c>
      <c r="L43" s="40">
        <f t="shared" si="23"/>
        <v>2163.7038100000009</v>
      </c>
      <c r="M43" s="60">
        <f t="shared" si="23"/>
        <v>-5223.8128799999995</v>
      </c>
    </row>
    <row r="44" spans="1:18" x14ac:dyDescent="0.35">
      <c r="C44" s="97"/>
      <c r="D44" s="186"/>
      <c r="E44" s="30"/>
      <c r="F44" s="16"/>
      <c r="G44" s="16"/>
      <c r="H44" s="9"/>
      <c r="I44" s="16"/>
      <c r="J44" s="10"/>
      <c r="K44" s="16"/>
      <c r="L44" s="16"/>
      <c r="M44" s="10"/>
    </row>
    <row r="45" spans="1:18" ht="15" thickBot="1" x14ac:dyDescent="0.4">
      <c r="A45" s="45" t="s">
        <v>47</v>
      </c>
      <c r="C45" s="97"/>
      <c r="D45" s="186"/>
      <c r="E45" s="16"/>
      <c r="F45" s="16"/>
      <c r="G45" s="16"/>
      <c r="H45" s="9"/>
      <c r="I45" s="16"/>
      <c r="J45" s="10"/>
      <c r="K45" s="16"/>
      <c r="L45" s="16"/>
      <c r="M45" s="10"/>
    </row>
    <row r="46" spans="1:18" x14ac:dyDescent="0.35">
      <c r="A46" s="45" t="s">
        <v>22</v>
      </c>
      <c r="B46" s="285">
        <v>36490.481410000073</v>
      </c>
      <c r="C46" s="191">
        <f t="shared" ref="C46:C50" si="24">+B46+C39+B54</f>
        <v>313777.5400000001</v>
      </c>
      <c r="D46" s="195">
        <f>+C46+D39+C54</f>
        <v>310760.28000000009</v>
      </c>
      <c r="E46" s="40">
        <f t="shared" ref="E46:E50" si="25">+D46+E39+D54</f>
        <v>329790.70000000007</v>
      </c>
      <c r="F46" s="40">
        <f t="shared" ref="F46:F50" si="26">+E46+F39+E54</f>
        <v>313101.13000000006</v>
      </c>
      <c r="G46" s="105">
        <f t="shared" ref="G46:G50" si="27">+F46+G39+F54</f>
        <v>246658.27000000008</v>
      </c>
      <c r="H46" s="39">
        <f t="shared" ref="H46:H50" si="28">+G46+H39+G54</f>
        <v>140614.04000000007</v>
      </c>
      <c r="I46" s="40">
        <f t="shared" ref="I46:I50" si="29">+H46+I39+H54</f>
        <v>82615.570000000065</v>
      </c>
      <c r="J46" s="60">
        <f t="shared" ref="J46:J50" si="30">+I46+J39+I54</f>
        <v>103646.43000000005</v>
      </c>
      <c r="K46" s="117">
        <f t="shared" ref="K46:K50" si="31">+J46+K39+J54</f>
        <v>126938.67529568856</v>
      </c>
      <c r="L46" s="40">
        <f t="shared" ref="L46:L50" si="32">+K46+L39+K54</f>
        <v>207329.23715477358</v>
      </c>
      <c r="M46" s="60">
        <f t="shared" ref="M46:M50" si="33">+L46+M39+L54</f>
        <v>-72301.277086165428</v>
      </c>
    </row>
    <row r="47" spans="1:18" x14ac:dyDescent="0.35">
      <c r="A47" s="45" t="s">
        <v>94</v>
      </c>
      <c r="B47" s="287">
        <v>145920.07606000005</v>
      </c>
      <c r="C47" s="191">
        <f t="shared" si="24"/>
        <v>144406.69000000003</v>
      </c>
      <c r="D47" s="195">
        <f t="shared" ref="D47:D50" si="34">+C47+D40+C55</f>
        <v>142770.95000000004</v>
      </c>
      <c r="E47" s="40">
        <f t="shared" si="25"/>
        <v>164596.01000000004</v>
      </c>
      <c r="F47" s="40">
        <f t="shared" si="26"/>
        <v>182356.27000000005</v>
      </c>
      <c r="G47" s="105">
        <f t="shared" si="27"/>
        <v>201921.44000000003</v>
      </c>
      <c r="H47" s="39">
        <f t="shared" si="28"/>
        <v>191806.18000000002</v>
      </c>
      <c r="I47" s="40">
        <f t="shared" si="29"/>
        <v>175890.14</v>
      </c>
      <c r="J47" s="60">
        <f t="shared" si="30"/>
        <v>168828.05</v>
      </c>
      <c r="K47" s="117">
        <f t="shared" si="31"/>
        <v>162483.36735000001</v>
      </c>
      <c r="L47" s="40">
        <f t="shared" si="32"/>
        <v>166773.42190000002</v>
      </c>
      <c r="M47" s="60">
        <f t="shared" si="33"/>
        <v>73043.202300000019</v>
      </c>
    </row>
    <row r="48" spans="1:18" x14ac:dyDescent="0.35">
      <c r="A48" s="45" t="s">
        <v>95</v>
      </c>
      <c r="B48" s="287">
        <v>205971.7261599999</v>
      </c>
      <c r="C48" s="191">
        <f t="shared" si="24"/>
        <v>402582.04999999993</v>
      </c>
      <c r="D48" s="195">
        <f t="shared" si="34"/>
        <v>398881.17999999993</v>
      </c>
      <c r="E48" s="40">
        <f t="shared" si="25"/>
        <v>381077.64999999991</v>
      </c>
      <c r="F48" s="40">
        <f t="shared" si="26"/>
        <v>353887.58999999991</v>
      </c>
      <c r="G48" s="105">
        <f t="shared" si="27"/>
        <v>326984.91999999993</v>
      </c>
      <c r="H48" s="39">
        <f t="shared" si="28"/>
        <v>276957.62999999995</v>
      </c>
      <c r="I48" s="40">
        <f t="shared" si="29"/>
        <v>260255.79999999993</v>
      </c>
      <c r="J48" s="60">
        <f t="shared" si="30"/>
        <v>260622.52999999988</v>
      </c>
      <c r="K48" s="117">
        <f t="shared" si="31"/>
        <v>261405.47655999986</v>
      </c>
      <c r="L48" s="40">
        <f t="shared" si="32"/>
        <v>291446.71062999987</v>
      </c>
      <c r="M48" s="60">
        <f t="shared" si="33"/>
        <v>145531.29587999987</v>
      </c>
    </row>
    <row r="49" spans="1:18" x14ac:dyDescent="0.35">
      <c r="A49" s="45" t="s">
        <v>96</v>
      </c>
      <c r="B49" s="287">
        <v>49502.244120000018</v>
      </c>
      <c r="C49" s="191">
        <f t="shared" si="24"/>
        <v>177745.98000000004</v>
      </c>
      <c r="D49" s="195">
        <f t="shared" si="34"/>
        <v>176161.02000000005</v>
      </c>
      <c r="E49" s="40">
        <f t="shared" si="25"/>
        <v>160750.55000000005</v>
      </c>
      <c r="F49" s="40">
        <f t="shared" si="26"/>
        <v>135719.19000000006</v>
      </c>
      <c r="G49" s="105">
        <f t="shared" si="27"/>
        <v>111217.17000000006</v>
      </c>
      <c r="H49" s="39">
        <f t="shared" si="28"/>
        <v>72830.420000000056</v>
      </c>
      <c r="I49" s="40">
        <f t="shared" si="29"/>
        <v>75857.83000000006</v>
      </c>
      <c r="J49" s="60">
        <f t="shared" si="30"/>
        <v>70870.550000000061</v>
      </c>
      <c r="K49" s="117">
        <f t="shared" si="31"/>
        <v>65262.605070000071</v>
      </c>
      <c r="L49" s="40">
        <f t="shared" si="32"/>
        <v>80556.44341000008</v>
      </c>
      <c r="M49" s="60">
        <f t="shared" si="33"/>
        <v>-19668.983369999911</v>
      </c>
    </row>
    <row r="50" spans="1:18" ht="15" thickBot="1" x14ac:dyDescent="0.4">
      <c r="A50" s="45" t="s">
        <v>97</v>
      </c>
      <c r="B50" s="286">
        <v>-10118.055259999985</v>
      </c>
      <c r="C50" s="191">
        <f t="shared" si="24"/>
        <v>-2483.3699999999862</v>
      </c>
      <c r="D50" s="195">
        <f t="shared" si="34"/>
        <v>-2449.0199999999863</v>
      </c>
      <c r="E50" s="40">
        <f t="shared" si="25"/>
        <v>-3302.5499999999861</v>
      </c>
      <c r="F50" s="40">
        <f t="shared" si="26"/>
        <v>-2840.8499999999863</v>
      </c>
      <c r="G50" s="105">
        <f t="shared" si="27"/>
        <v>-3839.6399999999871</v>
      </c>
      <c r="H50" s="39">
        <f t="shared" si="28"/>
        <v>-5628.489999999987</v>
      </c>
      <c r="I50" s="40">
        <f t="shared" si="29"/>
        <v>2353.2400000000139</v>
      </c>
      <c r="J50" s="60">
        <f t="shared" si="30"/>
        <v>2924.4000000000137</v>
      </c>
      <c r="K50" s="117">
        <f t="shared" si="31"/>
        <v>3466.0156400000142</v>
      </c>
      <c r="L50" s="40">
        <f t="shared" si="32"/>
        <v>5644.509450000015</v>
      </c>
      <c r="M50" s="60">
        <f t="shared" si="33"/>
        <v>441.77657000001551</v>
      </c>
    </row>
    <row r="51" spans="1:18" x14ac:dyDescent="0.35">
      <c r="C51" s="97"/>
      <c r="D51" s="186"/>
      <c r="E51" s="16"/>
      <c r="F51" s="16"/>
      <c r="G51" s="16"/>
      <c r="H51" s="9"/>
      <c r="I51" s="16"/>
      <c r="J51" s="10"/>
      <c r="K51" s="16"/>
      <c r="L51" s="16"/>
      <c r="M51" s="10"/>
    </row>
    <row r="52" spans="1:18" x14ac:dyDescent="0.35">
      <c r="A52" s="38" t="s">
        <v>109</v>
      </c>
      <c r="B52" s="38"/>
      <c r="C52" s="101"/>
      <c r="D52" s="196"/>
      <c r="E52" s="81">
        <f>'PCR Cycle 3'!E$51</f>
        <v>4.8565300000000004E-3</v>
      </c>
      <c r="F52" s="81">
        <f>'PCR Cycle 3'!F$51</f>
        <v>4.6890200000000003E-3</v>
      </c>
      <c r="G52" s="81">
        <f>'PCR Cycle 3'!G$51</f>
        <v>4.6108499999999997E-3</v>
      </c>
      <c r="H52" s="82">
        <f>'PCR Cycle 3'!H$51</f>
        <v>4.6177400000000004E-3</v>
      </c>
      <c r="I52" s="81">
        <f>'PCR Cycle 3'!I$51</f>
        <v>4.62145E-3</v>
      </c>
      <c r="J52" s="90">
        <f>'PCR Cycle 3'!J$51</f>
        <v>4.6207399999999999E-3</v>
      </c>
      <c r="K52" s="81">
        <f>'PCR Cycle 3'!K$51</f>
        <v>4.6207399999999999E-3</v>
      </c>
      <c r="L52" s="81">
        <f>'PCR Cycle 3'!L$51</f>
        <v>4.6207399999999999E-3</v>
      </c>
      <c r="M52" s="83"/>
    </row>
    <row r="53" spans="1:18" x14ac:dyDescent="0.35">
      <c r="A53" s="38" t="s">
        <v>31</v>
      </c>
      <c r="B53" s="38"/>
      <c r="C53" s="103"/>
      <c r="D53" s="197"/>
      <c r="E53" s="81"/>
      <c r="F53" s="81"/>
      <c r="G53" s="81"/>
      <c r="H53" s="82"/>
      <c r="I53" s="81"/>
      <c r="J53" s="83"/>
      <c r="K53" s="81"/>
      <c r="L53" s="81"/>
      <c r="M53" s="83"/>
    </row>
    <row r="54" spans="1:18" x14ac:dyDescent="0.35">
      <c r="A54" s="45" t="s">
        <v>22</v>
      </c>
      <c r="C54" s="319">
        <v>-3017.26</v>
      </c>
      <c r="D54" s="195"/>
      <c r="E54" s="233">
        <f t="shared" ref="E54:M58" si="35">ROUND((D46+D54+E39/2)*E$52,2)</f>
        <v>1555.43</v>
      </c>
      <c r="F54" s="40">
        <f t="shared" ref="F54:F58" si="36">ROUND((E46+E54+F39/2)*F$52,2)</f>
        <v>1510.91</v>
      </c>
      <c r="G54" s="105">
        <f t="shared" ref="G54:G58" si="37">ROUND((F46+F54+G39/2)*G$52,2)</f>
        <v>1293.97</v>
      </c>
      <c r="H54" s="39">
        <f t="shared" ref="H54:H58" si="38">ROUND((G46+G54+H39/2)*H$52,2)</f>
        <v>897.15</v>
      </c>
      <c r="I54" s="117">
        <f t="shared" ref="I54:I58" si="39">ROUND((H46+H54+I39/2)*I$52,2)</f>
        <v>517.9</v>
      </c>
      <c r="J54" s="60">
        <f t="shared" ref="J54:J58" si="40">ROUND((I46+I54+J39/2)*J$52,2)</f>
        <v>431.53</v>
      </c>
      <c r="K54" s="156">
        <f t="shared" ref="K54:K58" si="41">ROUND((J46+J54+K39/2)*K$52,2)</f>
        <v>533.73</v>
      </c>
      <c r="L54" s="105">
        <f t="shared" ref="L54:L58" si="42">ROUND((K46+K54+L39/2)*L$52,2)</f>
        <v>773.52</v>
      </c>
      <c r="M54" s="60">
        <f t="shared" si="35"/>
        <v>0</v>
      </c>
      <c r="P54" s="181">
        <f t="shared" ref="P54:P58" si="43">-SUM(K54:M54)</f>
        <v>-1307.25</v>
      </c>
      <c r="R54" s="46"/>
    </row>
    <row r="55" spans="1:18" x14ac:dyDescent="0.35">
      <c r="A55" s="45" t="s">
        <v>94</v>
      </c>
      <c r="C55" s="319">
        <v>-1635.74</v>
      </c>
      <c r="D55" s="195"/>
      <c r="E55" s="233">
        <f t="shared" si="35"/>
        <v>746.37</v>
      </c>
      <c r="F55" s="40">
        <f t="shared" si="36"/>
        <v>815.18</v>
      </c>
      <c r="G55" s="105">
        <f t="shared" si="37"/>
        <v>887.8</v>
      </c>
      <c r="H55" s="39">
        <f t="shared" si="38"/>
        <v>911.12</v>
      </c>
      <c r="I55" s="117">
        <f t="shared" si="39"/>
        <v>851.75</v>
      </c>
      <c r="J55" s="60">
        <f t="shared" si="40"/>
        <v>798.39</v>
      </c>
      <c r="K55" s="156">
        <f t="shared" si="41"/>
        <v>767.3</v>
      </c>
      <c r="L55" s="105">
        <f t="shared" si="42"/>
        <v>762.48</v>
      </c>
      <c r="M55" s="60"/>
      <c r="P55" s="181">
        <f t="shared" si="43"/>
        <v>-1529.78</v>
      </c>
      <c r="R55" s="46"/>
    </row>
    <row r="56" spans="1:18" x14ac:dyDescent="0.35">
      <c r="A56" s="45" t="s">
        <v>95</v>
      </c>
      <c r="C56" s="319">
        <v>-3700.87</v>
      </c>
      <c r="D56" s="195"/>
      <c r="E56" s="233">
        <f t="shared" si="35"/>
        <v>1893.95</v>
      </c>
      <c r="F56" s="40">
        <f t="shared" si="36"/>
        <v>1727.57</v>
      </c>
      <c r="G56" s="105">
        <f t="shared" si="37"/>
        <v>1573.68</v>
      </c>
      <c r="H56" s="39">
        <f t="shared" si="38"/>
        <v>1398.06</v>
      </c>
      <c r="I56" s="117">
        <f t="shared" si="39"/>
        <v>1244.58</v>
      </c>
      <c r="J56" s="60">
        <f t="shared" si="40"/>
        <v>1206.3</v>
      </c>
      <c r="K56" s="156">
        <f t="shared" si="41"/>
        <v>1208.8599999999999</v>
      </c>
      <c r="L56" s="105">
        <f t="shared" si="42"/>
        <v>1280.0899999999999</v>
      </c>
      <c r="M56" s="60"/>
      <c r="P56" s="181">
        <f t="shared" si="43"/>
        <v>-2488.9499999999998</v>
      </c>
      <c r="R56" s="46"/>
    </row>
    <row r="57" spans="1:18" x14ac:dyDescent="0.35">
      <c r="A57" s="45" t="s">
        <v>96</v>
      </c>
      <c r="C57" s="319">
        <v>-1584.96</v>
      </c>
      <c r="D57" s="195"/>
      <c r="E57" s="233">
        <f t="shared" si="35"/>
        <v>818.11</v>
      </c>
      <c r="F57" s="40">
        <f t="shared" si="36"/>
        <v>696.99</v>
      </c>
      <c r="G57" s="105">
        <f t="shared" si="37"/>
        <v>570.9</v>
      </c>
      <c r="H57" s="39">
        <f t="shared" si="38"/>
        <v>426.26</v>
      </c>
      <c r="I57" s="117">
        <f t="shared" si="39"/>
        <v>344.56</v>
      </c>
      <c r="J57" s="60">
        <f t="shared" si="40"/>
        <v>339.79</v>
      </c>
      <c r="K57" s="156">
        <f t="shared" si="41"/>
        <v>315.3</v>
      </c>
      <c r="L57" s="105">
        <f t="shared" si="42"/>
        <v>337.62</v>
      </c>
      <c r="M57" s="60"/>
      <c r="P57" s="181">
        <f t="shared" si="43"/>
        <v>-652.92000000000007</v>
      </c>
      <c r="R57" s="46"/>
    </row>
    <row r="58" spans="1:18" ht="15" thickBot="1" x14ac:dyDescent="0.4">
      <c r="A58" s="45" t="s">
        <v>97</v>
      </c>
      <c r="C58" s="319">
        <v>34.35</v>
      </c>
      <c r="D58" s="195"/>
      <c r="E58" s="233">
        <f t="shared" si="35"/>
        <v>-13.97</v>
      </c>
      <c r="F58" s="40">
        <f t="shared" si="36"/>
        <v>-14.44</v>
      </c>
      <c r="G58" s="105">
        <f t="shared" si="37"/>
        <v>-15.43</v>
      </c>
      <c r="H58" s="39">
        <f t="shared" si="38"/>
        <v>-21.9</v>
      </c>
      <c r="I58" s="117">
        <f t="shared" si="39"/>
        <v>-7.62</v>
      </c>
      <c r="J58" s="60">
        <f t="shared" si="40"/>
        <v>12.18</v>
      </c>
      <c r="K58" s="156">
        <f t="shared" si="41"/>
        <v>14.79</v>
      </c>
      <c r="L58" s="105">
        <f t="shared" si="42"/>
        <v>21.08</v>
      </c>
      <c r="M58" s="60">
        <f t="shared" ref="M58" si="44">ROUND((L50+L58+M43/2)*M$52,2)</f>
        <v>0</v>
      </c>
      <c r="P58" s="181">
        <f t="shared" si="43"/>
        <v>-35.869999999999997</v>
      </c>
      <c r="R58" s="46"/>
    </row>
    <row r="59" spans="1:18" ht="15.5" thickTop="1" thickBot="1" x14ac:dyDescent="0.4">
      <c r="A59" s="53" t="s">
        <v>20</v>
      </c>
      <c r="B59" s="53"/>
      <c r="C59" s="192">
        <v>0</v>
      </c>
      <c r="D59" s="198"/>
      <c r="E59" s="41">
        <f>SUM(E54:E58)+SUM(E46:E50)-E62</f>
        <v>0</v>
      </c>
      <c r="F59" s="41">
        <f t="shared" ref="F59:M59" si="45">SUM(F54:F58)+SUM(F46:F50)-F62</f>
        <v>0</v>
      </c>
      <c r="G59" s="49">
        <f t="shared" si="45"/>
        <v>0</v>
      </c>
      <c r="H59" s="50">
        <f t="shared" si="45"/>
        <v>0</v>
      </c>
      <c r="I59" s="41">
        <f t="shared" si="45"/>
        <v>0</v>
      </c>
      <c r="J59" s="61">
        <f t="shared" si="45"/>
        <v>0</v>
      </c>
      <c r="K59" s="157">
        <f t="shared" si="45"/>
        <v>0</v>
      </c>
      <c r="L59" s="49">
        <f t="shared" si="45"/>
        <v>0</v>
      </c>
      <c r="M59" s="61">
        <f t="shared" si="45"/>
        <v>0</v>
      </c>
    </row>
    <row r="60" spans="1:18" ht="15.5" thickTop="1" thickBot="1" x14ac:dyDescent="0.4">
      <c r="A60" s="53" t="s">
        <v>21</v>
      </c>
      <c r="B60" s="53"/>
      <c r="C60" s="192">
        <v>0</v>
      </c>
      <c r="D60" s="198"/>
      <c r="E60" s="41">
        <f>SUM(E54:E58)-E36</f>
        <v>0</v>
      </c>
      <c r="F60" s="41">
        <f t="shared" ref="F60:J60" si="46">SUM(F54:F58)-F36</f>
        <v>0</v>
      </c>
      <c r="G60" s="49">
        <f t="shared" ref="G60:I60" si="47">SUM(G54:G58)-G36</f>
        <v>0</v>
      </c>
      <c r="H60" s="50">
        <f t="shared" si="47"/>
        <v>0</v>
      </c>
      <c r="I60" s="41">
        <f t="shared" si="47"/>
        <v>0</v>
      </c>
      <c r="J60" s="61">
        <f t="shared" si="46"/>
        <v>0</v>
      </c>
      <c r="K60" s="158">
        <f t="shared" ref="K60:M60" si="48">SUM(K54:K58)-K36</f>
        <v>0</v>
      </c>
      <c r="L60" s="41">
        <f t="shared" si="48"/>
        <v>0</v>
      </c>
      <c r="M60" s="41">
        <f t="shared" si="48"/>
        <v>0</v>
      </c>
    </row>
    <row r="61" spans="1:18" ht="15.5" thickTop="1" thickBot="1" x14ac:dyDescent="0.4">
      <c r="C61" s="97"/>
      <c r="D61" s="186"/>
      <c r="E61" s="16"/>
      <c r="F61" s="16"/>
      <c r="G61" s="16"/>
      <c r="H61" s="9"/>
      <c r="I61" s="16"/>
      <c r="J61" s="10"/>
      <c r="K61" s="16"/>
      <c r="L61" s="16"/>
      <c r="M61" s="10"/>
    </row>
    <row r="62" spans="1:18" ht="15" thickBot="1" x14ac:dyDescent="0.4">
      <c r="A62" s="45" t="s">
        <v>30</v>
      </c>
      <c r="B62" s="113">
        <f>SUM(B46:B50)</f>
        <v>427766.47249000001</v>
      </c>
      <c r="C62" s="191">
        <f>(C13-SUM(C16:C20))+SUM(C54:C58)+B62</f>
        <v>1026124.4099999999</v>
      </c>
      <c r="D62" s="195">
        <f>(D13-SUM(D16:D20))+SUM(D54:D58)+C62</f>
        <v>1026124.4099999999</v>
      </c>
      <c r="E62" s="40">
        <f>(E13-SUM(E16:E20))+SUM(E54:E58)+D62</f>
        <v>1037912.2499999998</v>
      </c>
      <c r="F62" s="40">
        <f t="shared" ref="F62:M62" si="49">(F13-SUM(F16:F20))+SUM(F54:F58)+E62</f>
        <v>986959.5399999998</v>
      </c>
      <c r="G62" s="105">
        <f t="shared" si="49"/>
        <v>887253.07999999984</v>
      </c>
      <c r="H62" s="39">
        <f t="shared" si="49"/>
        <v>680190.46999999974</v>
      </c>
      <c r="I62" s="40">
        <f t="shared" si="49"/>
        <v>599923.74999999977</v>
      </c>
      <c r="J62" s="60">
        <f t="shared" si="49"/>
        <v>609680.14999999967</v>
      </c>
      <c r="K62" s="156">
        <f t="shared" si="49"/>
        <v>622396.11991568829</v>
      </c>
      <c r="L62" s="105">
        <f t="shared" si="49"/>
        <v>754925.1125447735</v>
      </c>
      <c r="M62" s="60">
        <f t="shared" si="49"/>
        <v>127046.01429383457</v>
      </c>
    </row>
    <row r="63" spans="1:18" x14ac:dyDescent="0.35">
      <c r="A63" s="45" t="s">
        <v>10</v>
      </c>
      <c r="C63" s="114"/>
      <c r="D63" s="199"/>
      <c r="E63" s="16"/>
      <c r="F63" s="16"/>
      <c r="G63" s="16"/>
      <c r="H63" s="9"/>
      <c r="I63" s="16"/>
      <c r="J63" s="10"/>
      <c r="K63" s="16"/>
      <c r="L63" s="16"/>
      <c r="M63" s="10"/>
    </row>
    <row r="64" spans="1:18" ht="15" thickBot="1" x14ac:dyDescent="0.4">
      <c r="A64" s="36"/>
      <c r="B64" s="36"/>
      <c r="C64" s="141"/>
      <c r="D64" s="200"/>
      <c r="E64" s="43"/>
      <c r="F64" s="43"/>
      <c r="G64" s="43"/>
      <c r="H64" s="42"/>
      <c r="I64" s="43"/>
      <c r="J64" s="44"/>
      <c r="K64" s="43"/>
      <c r="L64" s="43"/>
      <c r="M64" s="44"/>
    </row>
    <row r="66" spans="1:13" x14ac:dyDescent="0.35">
      <c r="A66" s="68" t="s">
        <v>9</v>
      </c>
      <c r="B66" s="68"/>
      <c r="C66" s="68"/>
      <c r="D66" s="68"/>
    </row>
    <row r="67" spans="1:13" ht="34.5" customHeight="1" x14ac:dyDescent="0.35">
      <c r="A67" s="355" t="s">
        <v>259</v>
      </c>
      <c r="B67" s="355"/>
      <c r="C67" s="355"/>
      <c r="D67" s="355"/>
      <c r="E67" s="355"/>
      <c r="F67" s="355"/>
      <c r="G67" s="355"/>
      <c r="H67" s="355"/>
      <c r="I67" s="355"/>
      <c r="J67" s="355"/>
      <c r="K67" s="343"/>
      <c r="L67" s="221"/>
      <c r="M67" s="221"/>
    </row>
    <row r="68" spans="1:13" ht="55.5" customHeight="1" x14ac:dyDescent="0.35">
      <c r="A68" s="355" t="s">
        <v>247</v>
      </c>
      <c r="B68" s="355"/>
      <c r="C68" s="355"/>
      <c r="D68" s="355"/>
      <c r="E68" s="355"/>
      <c r="F68" s="355"/>
      <c r="G68" s="355"/>
      <c r="H68" s="355"/>
      <c r="I68" s="355"/>
      <c r="J68" s="355"/>
      <c r="K68" s="355"/>
      <c r="L68" s="221"/>
      <c r="M68" s="221"/>
    </row>
    <row r="69" spans="1:13" ht="27.65" customHeight="1" x14ac:dyDescent="0.35">
      <c r="A69" s="355" t="s">
        <v>260</v>
      </c>
      <c r="B69" s="355"/>
      <c r="C69" s="355"/>
      <c r="D69" s="355"/>
      <c r="E69" s="355"/>
      <c r="F69" s="355"/>
      <c r="G69" s="355"/>
      <c r="H69" s="355"/>
      <c r="I69" s="355"/>
      <c r="J69" s="355"/>
      <c r="K69" s="343"/>
      <c r="L69" s="221"/>
      <c r="M69" s="221"/>
    </row>
    <row r="70" spans="1:13" x14ac:dyDescent="0.35">
      <c r="A70" s="355" t="s">
        <v>225</v>
      </c>
      <c r="B70" s="355"/>
      <c r="C70" s="355"/>
      <c r="D70" s="355"/>
      <c r="E70" s="355"/>
      <c r="F70" s="355"/>
      <c r="G70" s="355"/>
      <c r="H70" s="355"/>
      <c r="I70" s="355"/>
      <c r="J70" s="355"/>
      <c r="K70" s="38"/>
    </row>
    <row r="71" spans="1:13" x14ac:dyDescent="0.35">
      <c r="A71" s="62" t="s">
        <v>251</v>
      </c>
      <c r="B71" s="62"/>
      <c r="C71" s="62"/>
      <c r="D71" s="62"/>
      <c r="E71" s="38"/>
      <c r="F71" s="38"/>
      <c r="G71" s="38"/>
      <c r="H71" s="38"/>
      <c r="I71" s="38"/>
      <c r="J71" s="306"/>
      <c r="K71" s="38"/>
    </row>
    <row r="72" spans="1:13" x14ac:dyDescent="0.35">
      <c r="A72" s="62" t="s">
        <v>61</v>
      </c>
      <c r="B72" s="62"/>
      <c r="C72" s="62"/>
      <c r="D72" s="62"/>
      <c r="E72" s="38"/>
      <c r="F72" s="38"/>
      <c r="G72" s="38"/>
      <c r="H72" s="38"/>
      <c r="I72" s="38"/>
      <c r="J72" s="38"/>
      <c r="K72" s="38"/>
    </row>
    <row r="73" spans="1:13" x14ac:dyDescent="0.35">
      <c r="A73" s="366"/>
      <c r="B73" s="367"/>
      <c r="C73" s="367"/>
      <c r="D73" s="367"/>
      <c r="E73" s="367"/>
      <c r="F73" s="367"/>
      <c r="G73" s="367"/>
      <c r="H73" s="368"/>
      <c r="I73" s="368"/>
      <c r="J73" s="368"/>
      <c r="K73" s="368"/>
    </row>
    <row r="74" spans="1:13" ht="33" customHeight="1" x14ac:dyDescent="0.35">
      <c r="A74" s="367"/>
      <c r="B74" s="367"/>
      <c r="C74" s="367"/>
      <c r="D74" s="367"/>
      <c r="E74" s="367"/>
      <c r="F74" s="367"/>
      <c r="G74" s="367"/>
      <c r="H74" s="368"/>
      <c r="I74" s="368"/>
      <c r="J74" s="368"/>
      <c r="K74" s="368"/>
    </row>
  </sheetData>
  <mergeCells count="8">
    <mergeCell ref="A70:J70"/>
    <mergeCell ref="A73:K74"/>
    <mergeCell ref="A69:J69"/>
    <mergeCell ref="E11:G11"/>
    <mergeCell ref="H11:J11"/>
    <mergeCell ref="K11:M11"/>
    <mergeCell ref="A67:J67"/>
    <mergeCell ref="A68:K68"/>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C9F0-405C-4F98-B774-31022864788D}">
  <sheetPr>
    <pageSetUpPr fitToPage="1"/>
  </sheetPr>
  <dimension ref="A1:AI74"/>
  <sheetViews>
    <sheetView zoomScale="85" zoomScaleNormal="85" workbookViewId="0"/>
  </sheetViews>
  <sheetFormatPr defaultColWidth="9.1796875" defaultRowHeight="14.5" outlineLevelCol="1" x14ac:dyDescent="0.35"/>
  <cols>
    <col min="1" max="1" width="37" style="45" customWidth="1"/>
    <col min="2" max="2" width="12.1796875" style="45" customWidth="1"/>
    <col min="3" max="3" width="12.453125" style="45" customWidth="1"/>
    <col min="4" max="4" width="12.453125" style="45" customWidth="1" outlineLevel="1"/>
    <col min="5" max="5" width="15.453125" style="45" customWidth="1"/>
    <col min="6" max="6" width="15.81640625" style="45" customWidth="1"/>
    <col min="7" max="7" width="12.26953125" style="45" customWidth="1"/>
    <col min="8" max="9" width="13.26953125" style="45" customWidth="1"/>
    <col min="10" max="10" width="12.26953125" style="45" bestFit="1" customWidth="1"/>
    <col min="11" max="11" width="11.54296875" style="45" bestFit="1" customWidth="1"/>
    <col min="12" max="12" width="12.81640625" style="45" customWidth="1"/>
    <col min="13" max="13" width="12.26953125" style="45" bestFit="1" customWidth="1"/>
    <col min="14" max="14" width="15" style="45" bestFit="1" customWidth="1"/>
    <col min="15" max="15" width="16" style="45" bestFit="1" customWidth="1"/>
    <col min="16" max="16" width="15.26953125" style="45" hidden="1" customWidth="1" outlineLevel="1"/>
    <col min="17" max="17" width="17.453125" style="45" bestFit="1" customWidth="1" collapsed="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62" t="str">
        <f>'PTD Cycle 3'!A1</f>
        <v>Evergy Metro, Inc. - DSIM Rider Update Filed 06/02/2025</v>
      </c>
      <c r="B1" s="3"/>
      <c r="C1" s="3"/>
      <c r="D1" s="3"/>
    </row>
    <row r="2" spans="1:35" x14ac:dyDescent="0.35">
      <c r="E2" s="62" t="s">
        <v>291</v>
      </c>
    </row>
    <row r="3" spans="1:35" ht="29" x14ac:dyDescent="0.35">
      <c r="E3" s="47" t="s">
        <v>40</v>
      </c>
      <c r="F3" s="69" t="s">
        <v>62</v>
      </c>
      <c r="G3" s="69" t="s">
        <v>48</v>
      </c>
      <c r="H3" s="47" t="s">
        <v>1</v>
      </c>
      <c r="I3" s="69" t="s">
        <v>49</v>
      </c>
      <c r="J3" s="47" t="s">
        <v>8</v>
      </c>
      <c r="K3" s="47" t="s">
        <v>7</v>
      </c>
      <c r="S3" s="47"/>
    </row>
    <row r="4" spans="1:35" x14ac:dyDescent="0.35">
      <c r="A4" s="19" t="s">
        <v>22</v>
      </c>
      <c r="B4" s="19"/>
      <c r="C4" s="19"/>
      <c r="D4" s="19"/>
      <c r="E4" s="21">
        <f>SUM(C16:M16)</f>
        <v>126098.6630962131</v>
      </c>
      <c r="F4" s="131">
        <f>N23</f>
        <v>50208.506800000003</v>
      </c>
      <c r="G4" s="21">
        <f>SUM(C30:L30)</f>
        <v>6184.6399999999994</v>
      </c>
      <c r="H4" s="21">
        <f>G4-E4</f>
        <v>-119914.0230962131</v>
      </c>
      <c r="I4" s="21">
        <f>+B46</f>
        <v>0</v>
      </c>
      <c r="J4" s="21">
        <f>SUM(C54:L54)</f>
        <v>-991.43000000000006</v>
      </c>
      <c r="K4" s="24">
        <f>SUM(H4:J4)</f>
        <v>-120905.4530962131</v>
      </c>
      <c r="L4" s="46">
        <f>+K4-M46</f>
        <v>0</v>
      </c>
    </row>
    <row r="5" spans="1:35" x14ac:dyDescent="0.35">
      <c r="A5" s="19" t="s">
        <v>94</v>
      </c>
      <c r="B5" s="19"/>
      <c r="C5" s="19"/>
      <c r="D5" s="19"/>
      <c r="E5" s="21">
        <f t="shared" ref="E5:E7" si="0">SUM(C17:M17)</f>
        <v>5789.6106800000016</v>
      </c>
      <c r="F5" s="131">
        <f t="shared" ref="F5:F7" si="1">N24</f>
        <v>18308.18</v>
      </c>
      <c r="G5" s="21">
        <f t="shared" ref="G5:G7" si="2">SUM(C31:L31)</f>
        <v>1328.6399999999999</v>
      </c>
      <c r="H5" s="21">
        <f t="shared" ref="H5:H7" si="3">G5-E5</f>
        <v>-4460.9706800000022</v>
      </c>
      <c r="I5" s="21">
        <f t="shared" ref="I5:I7" si="4">+B47</f>
        <v>0</v>
      </c>
      <c r="J5" s="21">
        <f t="shared" ref="J5:J7" si="5">SUM(C55:L55)</f>
        <v>-43.58</v>
      </c>
      <c r="K5" s="24">
        <f t="shared" ref="K5:K7" si="6">SUM(H5:J5)</f>
        <v>-4504.5506800000021</v>
      </c>
      <c r="L5" s="46">
        <f>+K5-M47</f>
        <v>0</v>
      </c>
    </row>
    <row r="6" spans="1:35" x14ac:dyDescent="0.35">
      <c r="A6" s="19" t="s">
        <v>95</v>
      </c>
      <c r="B6" s="19"/>
      <c r="C6" s="19"/>
      <c r="D6" s="19"/>
      <c r="E6" s="21">
        <f t="shared" si="0"/>
        <v>9650.4986400000016</v>
      </c>
      <c r="F6" s="131">
        <f t="shared" si="1"/>
        <v>56813.709599999995</v>
      </c>
      <c r="G6" s="21">
        <f t="shared" si="2"/>
        <v>2778.66</v>
      </c>
      <c r="H6" s="21">
        <f t="shared" si="3"/>
        <v>-6871.8386400000018</v>
      </c>
      <c r="I6" s="21">
        <f t="shared" si="4"/>
        <v>0</v>
      </c>
      <c r="J6" s="21">
        <f t="shared" si="5"/>
        <v>-67.53</v>
      </c>
      <c r="K6" s="24">
        <f t="shared" si="6"/>
        <v>-6939.3686400000015</v>
      </c>
      <c r="L6" s="46">
        <f>+K6-M48</f>
        <v>0</v>
      </c>
    </row>
    <row r="7" spans="1:35" x14ac:dyDescent="0.35">
      <c r="A7" s="19" t="s">
        <v>96</v>
      </c>
      <c r="B7" s="19"/>
      <c r="C7" s="19"/>
      <c r="D7" s="19"/>
      <c r="E7" s="21">
        <f t="shared" si="0"/>
        <v>15902.11486</v>
      </c>
      <c r="F7" s="131">
        <f t="shared" si="1"/>
        <v>30521.214500000002</v>
      </c>
      <c r="G7" s="21">
        <f t="shared" si="2"/>
        <v>1062.31</v>
      </c>
      <c r="H7" s="21">
        <f t="shared" si="3"/>
        <v>-14839.80486</v>
      </c>
      <c r="I7" s="21">
        <f t="shared" si="4"/>
        <v>0</v>
      </c>
      <c r="J7" s="21">
        <f t="shared" si="5"/>
        <v>-126.11999999999999</v>
      </c>
      <c r="K7" s="24">
        <f t="shared" si="6"/>
        <v>-14965.924860000001</v>
      </c>
      <c r="L7" s="46">
        <f>+K7-M49</f>
        <v>0</v>
      </c>
    </row>
    <row r="8" spans="1:35" ht="15" thickBot="1" x14ac:dyDescent="0.4">
      <c r="A8" s="19" t="s">
        <v>97</v>
      </c>
      <c r="B8" s="19"/>
      <c r="C8" s="19"/>
      <c r="D8" s="19"/>
      <c r="E8" s="21">
        <f>SUM(C20:M20)</f>
        <v>3680.6382199999998</v>
      </c>
      <c r="F8" s="131">
        <f>N27</f>
        <v>8575.3716999999997</v>
      </c>
      <c r="G8" s="21">
        <f>SUM(C34:L34)</f>
        <v>87.570000000000007</v>
      </c>
      <c r="H8" s="21">
        <f>G8-E8</f>
        <v>-3593.0682199999997</v>
      </c>
      <c r="I8" s="21">
        <f>+B50</f>
        <v>0</v>
      </c>
      <c r="J8" s="21">
        <f>SUM(C58:L58)</f>
        <v>-29.200000000000003</v>
      </c>
      <c r="K8" s="24">
        <f>SUM(H8:J8)</f>
        <v>-3622.2682199999995</v>
      </c>
      <c r="L8" s="46">
        <f>+K8-M50</f>
        <v>0</v>
      </c>
    </row>
    <row r="9" spans="1:35" ht="15.5" thickTop="1" thickBot="1" x14ac:dyDescent="0.4">
      <c r="E9" s="26">
        <f t="shared" ref="E9:I9" si="7">SUM(E4:E8)</f>
        <v>161121.52549621311</v>
      </c>
      <c r="F9" s="132">
        <f t="shared" si="7"/>
        <v>164426.98259999999</v>
      </c>
      <c r="G9" s="26">
        <f t="shared" si="7"/>
        <v>11441.819999999998</v>
      </c>
      <c r="H9" s="26">
        <f t="shared" si="7"/>
        <v>-149679.70549621311</v>
      </c>
      <c r="I9" s="26">
        <f t="shared" si="7"/>
        <v>0</v>
      </c>
      <c r="J9" s="26">
        <f>SUM(J4:J8)</f>
        <v>-1257.8599999999999</v>
      </c>
      <c r="K9" s="26">
        <f>SUM(K4:K8)</f>
        <v>-150937.56549621309</v>
      </c>
      <c r="T9" s="5"/>
    </row>
    <row r="10" spans="1:35" ht="15.5" thickTop="1" thickBot="1" x14ac:dyDescent="0.4">
      <c r="K10" s="217"/>
      <c r="L10" s="216"/>
    </row>
    <row r="11" spans="1:35" ht="116.5" thickBot="1" x14ac:dyDescent="0.4">
      <c r="B11" s="112" t="str">
        <f>'PCR Cycle 4'!B$11</f>
        <v>Cumulative Over/Under Carryover From 12/01/2024 Filing</v>
      </c>
      <c r="C11" s="146" t="str">
        <f>'PCR Cycle 4'!C$11</f>
        <v>Reverse November 2024 - January 2025 Forecast From 12/01/2024 Filing</v>
      </c>
      <c r="D11" s="316"/>
      <c r="E11" s="357" t="s">
        <v>28</v>
      </c>
      <c r="F11" s="357"/>
      <c r="G11" s="358"/>
      <c r="H11" s="363" t="s">
        <v>28</v>
      </c>
      <c r="I11" s="364"/>
      <c r="J11" s="365"/>
      <c r="K11" s="352" t="s">
        <v>6</v>
      </c>
      <c r="L11" s="353"/>
      <c r="M11" s="354"/>
      <c r="P11" s="335" t="s">
        <v>210</v>
      </c>
    </row>
    <row r="12" spans="1:35" x14ac:dyDescent="0.35">
      <c r="A12" s="45" t="s">
        <v>56</v>
      </c>
      <c r="C12" s="102"/>
      <c r="D12" s="201"/>
      <c r="E12" s="18">
        <f>+'PCR Cycle 4'!E$12</f>
        <v>45626</v>
      </c>
      <c r="F12" s="18">
        <f>+'PCR Cycle 4'!F$12</f>
        <v>45657</v>
      </c>
      <c r="G12" s="18">
        <f>+'PCR Cycle 4'!G$12</f>
        <v>45688</v>
      </c>
      <c r="H12" s="13">
        <f>+'PCR Cycle 4'!H$12</f>
        <v>45716</v>
      </c>
      <c r="I12" s="18">
        <f>+'PCR Cycle 4'!I$12</f>
        <v>45747</v>
      </c>
      <c r="J12" s="14">
        <f>+'PCR Cycle 4'!J$12</f>
        <v>45777</v>
      </c>
      <c r="K12" s="18">
        <f>+'PCR Cycle 4'!K$12</f>
        <v>45808</v>
      </c>
      <c r="L12" s="18">
        <f>+'PCR Cycle 4'!L$12</f>
        <v>45838</v>
      </c>
      <c r="M12" s="93">
        <f>+'PCR Cycle 4'!M$12</f>
        <v>45869</v>
      </c>
      <c r="P12" s="181"/>
      <c r="Z12" s="1"/>
      <c r="AA12" s="1"/>
      <c r="AB12" s="1"/>
      <c r="AC12" s="1"/>
      <c r="AD12" s="1"/>
      <c r="AE12" s="1"/>
      <c r="AF12" s="1"/>
      <c r="AG12" s="1"/>
      <c r="AH12" s="1"/>
      <c r="AI12" s="1"/>
    </row>
    <row r="13" spans="1:35" x14ac:dyDescent="0.35">
      <c r="A13" s="45" t="s">
        <v>3</v>
      </c>
      <c r="C13" s="183">
        <v>0</v>
      </c>
      <c r="D13" s="185"/>
      <c r="E13" s="106">
        <f t="shared" ref="E13:L13" si="8">SUM(E30:E34)</f>
        <v>0</v>
      </c>
      <c r="F13" s="106">
        <f t="shared" si="8"/>
        <v>0</v>
      </c>
      <c r="G13" s="107">
        <f t="shared" si="8"/>
        <v>0</v>
      </c>
      <c r="H13" s="15">
        <f t="shared" si="8"/>
        <v>0</v>
      </c>
      <c r="I13" s="54">
        <f t="shared" si="8"/>
        <v>0</v>
      </c>
      <c r="J13" s="159">
        <f t="shared" si="8"/>
        <v>175.22</v>
      </c>
      <c r="K13" s="152">
        <f t="shared" si="8"/>
        <v>1057.31</v>
      </c>
      <c r="L13" s="76">
        <f t="shared" si="8"/>
        <v>10209.290000000001</v>
      </c>
      <c r="M13" s="77"/>
      <c r="P13" s="181">
        <f>-SUM(K13:M13)</f>
        <v>-11266.6</v>
      </c>
    </row>
    <row r="14" spans="1:35" x14ac:dyDescent="0.35">
      <c r="C14" s="97"/>
      <c r="D14" s="186"/>
      <c r="E14" s="16"/>
      <c r="F14" s="16"/>
      <c r="G14" s="16"/>
      <c r="H14" s="9"/>
      <c r="I14" s="16"/>
      <c r="J14" s="10"/>
      <c r="K14" s="30"/>
      <c r="L14" s="30"/>
      <c r="M14" s="28"/>
      <c r="P14" s="181"/>
    </row>
    <row r="15" spans="1:35" x14ac:dyDescent="0.35">
      <c r="A15" s="45" t="s">
        <v>55</v>
      </c>
      <c r="C15" s="97"/>
      <c r="D15" s="186"/>
      <c r="E15" s="17"/>
      <c r="F15" s="17"/>
      <c r="G15" s="17"/>
      <c r="H15" s="89"/>
      <c r="I15" s="17"/>
      <c r="J15" s="160"/>
      <c r="K15" s="30"/>
      <c r="L15" s="30"/>
      <c r="M15" s="28"/>
      <c r="N15" s="62" t="s">
        <v>59</v>
      </c>
      <c r="O15" s="38"/>
      <c r="P15" s="181"/>
    </row>
    <row r="16" spans="1:35" x14ac:dyDescent="0.35">
      <c r="A16" s="45" t="s">
        <v>22</v>
      </c>
      <c r="C16" s="183"/>
      <c r="D16" s="185"/>
      <c r="E16" s="129">
        <f>'[10]November 2024'!$G152</f>
        <v>0</v>
      </c>
      <c r="F16" s="129">
        <f>'[10]December 2024'!$G152</f>
        <v>0</v>
      </c>
      <c r="G16" s="129">
        <f>'[10]January 2025'!$G152</f>
        <v>0</v>
      </c>
      <c r="H16" s="15">
        <f>'[10]February 2025'!$G152</f>
        <v>10842.97</v>
      </c>
      <c r="I16" s="115">
        <f>'[10]March 2025'!$G152</f>
        <v>25451.39</v>
      </c>
      <c r="J16" s="159">
        <f>'[10]April 2025'!$G152</f>
        <v>16651.46</v>
      </c>
      <c r="K16" s="117">
        <f>'PCR Cycle 4'!K22*'TDR Cycle 4'!$N16</f>
        <v>17337.042599434688</v>
      </c>
      <c r="L16" s="40">
        <f>'PCR Cycle 4'!L22*'TDR Cycle 4'!$N16</f>
        <v>22649.731930645859</v>
      </c>
      <c r="M16" s="60">
        <f>'PCR Cycle 4'!M22*'TDR Cycle 4'!$N16</f>
        <v>33166.06856613257</v>
      </c>
      <c r="N16" s="71">
        <v>1.1E-4</v>
      </c>
      <c r="O16" s="4"/>
      <c r="P16" s="181">
        <f t="shared" ref="P16:P20" si="9">-SUM(K16:M16)</f>
        <v>-73152.843096213124</v>
      </c>
    </row>
    <row r="17" spans="1:16" x14ac:dyDescent="0.35">
      <c r="A17" s="45" t="s">
        <v>94</v>
      </c>
      <c r="C17" s="183"/>
      <c r="D17" s="185"/>
      <c r="E17" s="129">
        <f>'[10]November 2024'!$G153</f>
        <v>0</v>
      </c>
      <c r="F17" s="129">
        <f>'[10]December 2024'!$G153</f>
        <v>0</v>
      </c>
      <c r="G17" s="129">
        <f>'[10]January 2025'!$G153</f>
        <v>0</v>
      </c>
      <c r="H17" s="15">
        <f>'[10]February 2025'!$G153</f>
        <v>453.63</v>
      </c>
      <c r="I17" s="115">
        <f>'[10]March 2025'!$G153</f>
        <v>1135.9000000000001</v>
      </c>
      <c r="J17" s="159">
        <f>'[10]April 2025'!$G153</f>
        <v>911.45</v>
      </c>
      <c r="K17" s="117">
        <f>'PCR Cycle 4'!K23*'TDR Cycle 4'!$N17</f>
        <v>982.47926000000007</v>
      </c>
      <c r="L17" s="40">
        <f>'PCR Cycle 4'!L23*'TDR Cycle 4'!$N17</f>
        <v>1086.8907800000002</v>
      </c>
      <c r="M17" s="60">
        <f>'PCR Cycle 4'!M23*'TDR Cycle 4'!$N17</f>
        <v>1219.2606400000002</v>
      </c>
      <c r="N17" s="71">
        <v>2.0000000000000002E-5</v>
      </c>
      <c r="O17" s="4"/>
      <c r="P17" s="181">
        <f t="shared" si="9"/>
        <v>-3288.6306800000002</v>
      </c>
    </row>
    <row r="18" spans="1:16" x14ac:dyDescent="0.35">
      <c r="A18" s="45" t="s">
        <v>95</v>
      </c>
      <c r="C18" s="183"/>
      <c r="D18" s="185"/>
      <c r="E18" s="129">
        <f>'[10]November 2024'!$G154</f>
        <v>0</v>
      </c>
      <c r="F18" s="129">
        <f>'[10]December 2024'!$G154</f>
        <v>0</v>
      </c>
      <c r="G18" s="129">
        <f>'[10]January 2025'!$G154</f>
        <v>0</v>
      </c>
      <c r="H18" s="15">
        <f>'[10]February 2025'!$G154</f>
        <v>652.97</v>
      </c>
      <c r="I18" s="115">
        <f>'[10]March 2025'!$G154</f>
        <v>1854.71</v>
      </c>
      <c r="J18" s="159">
        <f>'[10]April 2025'!$G154</f>
        <v>1511.32</v>
      </c>
      <c r="K18" s="117">
        <f>'PCR Cycle 4'!K24*'TDR Cycle 4'!$N18</f>
        <v>1682.4116800000002</v>
      </c>
      <c r="L18" s="40">
        <f>'PCR Cycle 4'!L24*'TDR Cycle 4'!$N18</f>
        <v>1861.2074600000001</v>
      </c>
      <c r="M18" s="60">
        <f>'PCR Cycle 4'!M24*'TDR Cycle 4'!$N18</f>
        <v>2087.8795</v>
      </c>
      <c r="N18" s="71">
        <v>2.0000000000000002E-5</v>
      </c>
      <c r="O18" s="4"/>
      <c r="P18" s="181">
        <f t="shared" si="9"/>
        <v>-5631.4986399999998</v>
      </c>
    </row>
    <row r="19" spans="1:16" x14ac:dyDescent="0.35">
      <c r="A19" s="45" t="s">
        <v>96</v>
      </c>
      <c r="C19" s="183"/>
      <c r="D19" s="185"/>
      <c r="E19" s="129">
        <f>'[10]November 2024'!$G155</f>
        <v>0</v>
      </c>
      <c r="F19" s="129">
        <f>'[10]December 2024'!$G155</f>
        <v>0</v>
      </c>
      <c r="G19" s="129">
        <f>'[10]January 2025'!$G155</f>
        <v>0</v>
      </c>
      <c r="H19" s="15">
        <f>'[10]February 2025'!$G155</f>
        <v>1205.1600000000001</v>
      </c>
      <c r="I19" s="115">
        <f>'[10]March 2025'!$G155</f>
        <v>2956.82</v>
      </c>
      <c r="J19" s="159">
        <f>'[10]April 2025'!$G155</f>
        <v>2545.4899999999998</v>
      </c>
      <c r="K19" s="117">
        <f>'PCR Cycle 4'!K25*'TDR Cycle 4'!$N19</f>
        <v>2746.90254</v>
      </c>
      <c r="L19" s="40">
        <f>'PCR Cycle 4'!L25*'TDR Cycle 4'!$N19</f>
        <v>3038.8254800000004</v>
      </c>
      <c r="M19" s="60">
        <f>'PCR Cycle 4'!M25*'TDR Cycle 4'!$N19</f>
        <v>3408.9168400000003</v>
      </c>
      <c r="N19" s="71">
        <v>2.0000000000000002E-5</v>
      </c>
      <c r="O19" s="4"/>
      <c r="P19" s="181">
        <f t="shared" si="9"/>
        <v>-9194.6448600000003</v>
      </c>
    </row>
    <row r="20" spans="1:16" x14ac:dyDescent="0.35">
      <c r="A20" s="45" t="s">
        <v>97</v>
      </c>
      <c r="C20" s="183"/>
      <c r="D20" s="185"/>
      <c r="E20" s="129">
        <f>'[10]November 2024'!$G156</f>
        <v>0</v>
      </c>
      <c r="F20" s="129">
        <f>'[10]December 2024'!$G156</f>
        <v>0</v>
      </c>
      <c r="G20" s="129">
        <f>'[10]January 2025'!$G156</f>
        <v>0</v>
      </c>
      <c r="H20" s="15">
        <f>'[10]February 2025'!$G156</f>
        <v>322.60000000000002</v>
      </c>
      <c r="I20" s="115">
        <f>'[10]March 2025'!$G156</f>
        <v>584.21</v>
      </c>
      <c r="J20" s="159">
        <f>'[10]April 2025'!$G156</f>
        <v>606.16</v>
      </c>
      <c r="K20" s="117">
        <f>'PCR Cycle 4'!K26*'TDR Cycle 4'!$N20</f>
        <v>647.59144000000003</v>
      </c>
      <c r="L20" s="40">
        <f>'PCR Cycle 4'!L26*'TDR Cycle 4'!$N20</f>
        <v>716.41326000000004</v>
      </c>
      <c r="M20" s="60">
        <f>'PCR Cycle 4'!M26*'TDR Cycle 4'!$N20</f>
        <v>803.66352000000006</v>
      </c>
      <c r="N20" s="71">
        <v>2.0000000000000002E-5</v>
      </c>
      <c r="O20" s="4"/>
      <c r="P20" s="181">
        <f t="shared" si="9"/>
        <v>-2167.66822</v>
      </c>
    </row>
    <row r="21" spans="1:16" x14ac:dyDescent="0.35">
      <c r="C21" s="66"/>
      <c r="D21" s="187"/>
      <c r="E21" s="67"/>
      <c r="F21" s="67"/>
      <c r="G21" s="67"/>
      <c r="H21" s="66"/>
      <c r="I21" s="67"/>
      <c r="J21" s="162"/>
      <c r="K21" s="55"/>
      <c r="L21" s="55"/>
      <c r="M21" s="12"/>
      <c r="O21" s="4"/>
    </row>
    <row r="22" spans="1:16" x14ac:dyDescent="0.35">
      <c r="A22" s="38" t="s">
        <v>58</v>
      </c>
      <c r="B22" s="38"/>
      <c r="C22" s="66"/>
      <c r="D22" s="187"/>
      <c r="E22" s="55"/>
      <c r="F22" s="55"/>
      <c r="G22" s="55"/>
      <c r="H22" s="11"/>
      <c r="I22" s="55"/>
      <c r="J22" s="163"/>
      <c r="K22" s="55"/>
      <c r="L22" s="55"/>
      <c r="M22" s="12"/>
      <c r="N22" s="6"/>
    </row>
    <row r="23" spans="1:16" x14ac:dyDescent="0.35">
      <c r="A23" s="45" t="s">
        <v>22</v>
      </c>
      <c r="C23" s="184">
        <v>0</v>
      </c>
      <c r="D23" s="188"/>
      <c r="E23" s="108"/>
      <c r="F23" s="108"/>
      <c r="G23" s="119">
        <f>ROUND('[17]Summary Monthly TD Calc'!B18,4)</f>
        <v>0</v>
      </c>
      <c r="H23" s="72">
        <f>ROUND('[17]Summary Monthly TD Calc'!C18,4)</f>
        <v>0</v>
      </c>
      <c r="I23" s="73">
        <f>ROUND('[17]Summary Monthly TD Calc'!D18,4)</f>
        <v>0</v>
      </c>
      <c r="J23" s="164">
        <f>ROUND('[17]Summary Monthly TD Calc'!E18,4)</f>
        <v>0</v>
      </c>
      <c r="K23" s="153">
        <f>ROUND('[17]Summary Monthly TD Calc'!F18,4)</f>
        <v>3347.7910999999999</v>
      </c>
      <c r="L23" s="137">
        <f>ROUND('[17]Summary Monthly TD Calc'!G18,4)</f>
        <v>46860.715700000001</v>
      </c>
      <c r="M23" s="78"/>
      <c r="N23" s="58">
        <f>SUM(C23:L23)</f>
        <v>50208.506800000003</v>
      </c>
      <c r="P23" s="181">
        <f t="shared" ref="P23:P27" si="10">-SUM(K23:M23)</f>
        <v>-50208.506800000003</v>
      </c>
    </row>
    <row r="24" spans="1:16" x14ac:dyDescent="0.35">
      <c r="A24" s="45" t="s">
        <v>94</v>
      </c>
      <c r="C24" s="184">
        <v>0</v>
      </c>
      <c r="D24" s="188"/>
      <c r="E24" s="108"/>
      <c r="F24" s="108"/>
      <c r="G24" s="119">
        <f>ROUND('[17]Summary Monthly TD Calc'!B19,4)</f>
        <v>0</v>
      </c>
      <c r="H24" s="72">
        <f>ROUND('[17]Summary Monthly TD Calc'!C19,4)</f>
        <v>0</v>
      </c>
      <c r="I24" s="73">
        <f>ROUND('[17]Summary Monthly TD Calc'!D19,4)</f>
        <v>0</v>
      </c>
      <c r="J24" s="164">
        <f>ROUND('[17]Summary Monthly TD Calc'!E19,4)</f>
        <v>801.59799999999996</v>
      </c>
      <c r="K24" s="153">
        <f>ROUND('[17]Summary Monthly TD Calc'!F19,4)</f>
        <v>3291.6069000000002</v>
      </c>
      <c r="L24" s="137">
        <f>ROUND('[17]Summary Monthly TD Calc'!G19,4)</f>
        <v>14214.9751</v>
      </c>
      <c r="M24" s="78"/>
      <c r="N24" s="58">
        <f t="shared" ref="N24:N27" si="11">SUM(C24:L24)</f>
        <v>18308.18</v>
      </c>
      <c r="P24" s="181">
        <f t="shared" si="10"/>
        <v>-17506.581999999999</v>
      </c>
    </row>
    <row r="25" spans="1:16" x14ac:dyDescent="0.35">
      <c r="A25" s="45" t="s">
        <v>95</v>
      </c>
      <c r="C25" s="184">
        <v>0</v>
      </c>
      <c r="D25" s="188"/>
      <c r="E25" s="108"/>
      <c r="F25" s="108"/>
      <c r="G25" s="119">
        <f>ROUND('[17]Summary Monthly TD Calc'!B20,4)</f>
        <v>0</v>
      </c>
      <c r="H25" s="72">
        <f>ROUND('[17]Summary Monthly TD Calc'!C20,4)</f>
        <v>0</v>
      </c>
      <c r="I25" s="73">
        <f>ROUND('[17]Summary Monthly TD Calc'!D20,4)</f>
        <v>0</v>
      </c>
      <c r="J25" s="164">
        <f>ROUND('[17]Summary Monthly TD Calc'!E20,4)</f>
        <v>3960.1756</v>
      </c>
      <c r="K25" s="153">
        <f>ROUND('[17]Summary Monthly TD Calc'!F20,4)</f>
        <v>12604.309499999999</v>
      </c>
      <c r="L25" s="137">
        <f>ROUND('[17]Summary Monthly TD Calc'!G20,4)</f>
        <v>40249.224499999997</v>
      </c>
      <c r="M25" s="78"/>
      <c r="N25" s="58">
        <f t="shared" si="11"/>
        <v>56813.709599999995</v>
      </c>
      <c r="P25" s="181">
        <f t="shared" si="10"/>
        <v>-52853.534</v>
      </c>
    </row>
    <row r="26" spans="1:16" x14ac:dyDescent="0.35">
      <c r="A26" s="45" t="s">
        <v>96</v>
      </c>
      <c r="C26" s="184">
        <v>0</v>
      </c>
      <c r="D26" s="188"/>
      <c r="E26" s="108"/>
      <c r="F26" s="108"/>
      <c r="G26" s="119">
        <f>ROUND('[17]Summary Monthly TD Calc'!B21,4)</f>
        <v>0</v>
      </c>
      <c r="H26" s="72">
        <f>ROUND('[17]Summary Monthly TD Calc'!C21,4)</f>
        <v>0</v>
      </c>
      <c r="I26" s="73">
        <f>ROUND('[17]Summary Monthly TD Calc'!D21,4)</f>
        <v>0</v>
      </c>
      <c r="J26" s="164">
        <f>ROUND('[17]Summary Monthly TD Calc'!E21,4)</f>
        <v>0</v>
      </c>
      <c r="K26" s="153">
        <f>ROUND('[17]Summary Monthly TD Calc'!F21,4)</f>
        <v>3318.7865000000002</v>
      </c>
      <c r="L26" s="137">
        <f>ROUND('[17]Summary Monthly TD Calc'!G21,4)</f>
        <v>27202.428</v>
      </c>
      <c r="M26" s="78"/>
      <c r="N26" s="58">
        <f t="shared" si="11"/>
        <v>30521.214500000002</v>
      </c>
      <c r="P26" s="181">
        <f t="shared" si="10"/>
        <v>-30521.214500000002</v>
      </c>
    </row>
    <row r="27" spans="1:16" x14ac:dyDescent="0.35">
      <c r="A27" s="45" t="s">
        <v>97</v>
      </c>
      <c r="C27" s="184">
        <v>0</v>
      </c>
      <c r="D27" s="188"/>
      <c r="E27" s="108"/>
      <c r="F27" s="108"/>
      <c r="G27" s="119">
        <f>ROUND('[17]Summary Monthly TD Calc'!B22,4)</f>
        <v>0</v>
      </c>
      <c r="H27" s="72">
        <f>ROUND('[17]Summary Monthly TD Calc'!C22,4)</f>
        <v>0</v>
      </c>
      <c r="I27" s="73">
        <f>ROUND('[17]Summary Monthly TD Calc'!D22,4)</f>
        <v>0</v>
      </c>
      <c r="J27" s="164">
        <f>ROUND('[17]Summary Monthly TD Calc'!E22,4)</f>
        <v>0</v>
      </c>
      <c r="K27" s="153">
        <f>ROUND('[17]Summary Monthly TD Calc'!F22,4)</f>
        <v>932.46050000000002</v>
      </c>
      <c r="L27" s="137">
        <f>ROUND('[17]Summary Monthly TD Calc'!G22,4)</f>
        <v>7642.9111999999996</v>
      </c>
      <c r="M27" s="78"/>
      <c r="N27" s="58">
        <f t="shared" si="11"/>
        <v>8575.3716999999997</v>
      </c>
      <c r="P27" s="181">
        <f t="shared" si="10"/>
        <v>-8575.3716999999997</v>
      </c>
    </row>
    <row r="28" spans="1:16" x14ac:dyDescent="0.35">
      <c r="C28" s="66"/>
      <c r="D28" s="187"/>
      <c r="E28" s="55"/>
      <c r="F28" s="55"/>
      <c r="G28" s="55"/>
      <c r="H28" s="11"/>
      <c r="I28" s="55"/>
      <c r="J28" s="163"/>
      <c r="K28" s="55"/>
      <c r="L28" s="55"/>
      <c r="M28" s="12"/>
    </row>
    <row r="29" spans="1:16" x14ac:dyDescent="0.35">
      <c r="A29" s="45" t="s">
        <v>60</v>
      </c>
      <c r="C29" s="35"/>
      <c r="D29" s="189"/>
      <c r="E29" s="36"/>
      <c r="F29" s="36"/>
      <c r="G29" s="36"/>
      <c r="H29" s="35"/>
      <c r="I29" s="36"/>
      <c r="J29" s="165"/>
      <c r="K29" s="51"/>
      <c r="L29" s="51"/>
      <c r="M29" s="37"/>
    </row>
    <row r="30" spans="1:16" x14ac:dyDescent="0.35">
      <c r="A30" s="45" t="s">
        <v>22</v>
      </c>
      <c r="C30" s="183">
        <v>0</v>
      </c>
      <c r="D30" s="185"/>
      <c r="E30" s="106"/>
      <c r="F30" s="106"/>
      <c r="G30" s="107">
        <f>ROUND('[17]Summary Monthly TD Calc'!B3,4)</f>
        <v>0</v>
      </c>
      <c r="H30" s="15">
        <f>ROUND('[17]Summary Monthly TD Calc'!C3,4)</f>
        <v>0</v>
      </c>
      <c r="I30" s="54">
        <f>ROUND('[17]Summary Monthly TD Calc'!D3,4)</f>
        <v>0</v>
      </c>
      <c r="J30" s="159">
        <f>ROUND('[17]Summary Monthly TD Calc'!E3,4)</f>
        <v>0</v>
      </c>
      <c r="K30" s="154">
        <f>ROUND('[17]Summary Monthly TD Calc'!F3,4)</f>
        <v>308.89999999999998</v>
      </c>
      <c r="L30" s="136">
        <f>ROUND('[17]Summary Monthly TD Calc'!G3,4)</f>
        <v>5875.74</v>
      </c>
      <c r="M30" s="77"/>
      <c r="P30" s="181">
        <f t="shared" ref="P30:P36" si="12">-SUM(K30:M30)</f>
        <v>-6184.6399999999994</v>
      </c>
    </row>
    <row r="31" spans="1:16" x14ac:dyDescent="0.35">
      <c r="A31" s="45" t="s">
        <v>94</v>
      </c>
      <c r="C31" s="183">
        <v>0</v>
      </c>
      <c r="D31" s="185"/>
      <c r="E31" s="106"/>
      <c r="F31" s="106"/>
      <c r="G31" s="107">
        <f>ROUND('[17]Summary Monthly TD Calc'!B4,4)</f>
        <v>0</v>
      </c>
      <c r="H31" s="15">
        <f>ROUND('[17]Summary Monthly TD Calc'!C4,4)</f>
        <v>0</v>
      </c>
      <c r="I31" s="54">
        <f>ROUND('[17]Summary Monthly TD Calc'!D4,4)</f>
        <v>0</v>
      </c>
      <c r="J31" s="159">
        <f>ROUND('[17]Summary Monthly TD Calc'!E4,4)</f>
        <v>40.85</v>
      </c>
      <c r="K31" s="154">
        <f>ROUND('[17]Summary Monthly TD Calc'!F4,4)</f>
        <v>186.21</v>
      </c>
      <c r="L31" s="136">
        <f>ROUND('[17]Summary Monthly TD Calc'!G4,4)</f>
        <v>1101.58</v>
      </c>
      <c r="M31" s="77"/>
      <c r="P31" s="181">
        <f t="shared" si="12"/>
        <v>-1287.79</v>
      </c>
    </row>
    <row r="32" spans="1:16" x14ac:dyDescent="0.35">
      <c r="A32" s="45" t="s">
        <v>95</v>
      </c>
      <c r="C32" s="183">
        <v>0</v>
      </c>
      <c r="D32" s="185"/>
      <c r="E32" s="106"/>
      <c r="F32" s="106"/>
      <c r="G32" s="107">
        <f>ROUND('[17]Summary Monthly TD Calc'!B5,4)</f>
        <v>0</v>
      </c>
      <c r="H32" s="15">
        <f>ROUND('[17]Summary Monthly TD Calc'!C5,4)</f>
        <v>0</v>
      </c>
      <c r="I32" s="54">
        <f>ROUND('[17]Summary Monthly TD Calc'!D5,4)</f>
        <v>0</v>
      </c>
      <c r="J32" s="159">
        <f>ROUND('[17]Summary Monthly TD Calc'!E5,4)</f>
        <v>134.37</v>
      </c>
      <c r="K32" s="154">
        <f>ROUND('[17]Summary Monthly TD Calc'!F5,4)</f>
        <v>469.55</v>
      </c>
      <c r="L32" s="136">
        <f>ROUND('[17]Summary Monthly TD Calc'!G5,4)</f>
        <v>2174.7399999999998</v>
      </c>
      <c r="M32" s="77"/>
      <c r="P32" s="181">
        <f t="shared" si="12"/>
        <v>-2644.29</v>
      </c>
    </row>
    <row r="33" spans="1:18" x14ac:dyDescent="0.35">
      <c r="A33" s="45" t="s">
        <v>96</v>
      </c>
      <c r="C33" s="183">
        <v>0</v>
      </c>
      <c r="D33" s="185"/>
      <c r="E33" s="106"/>
      <c r="F33" s="106"/>
      <c r="G33" s="107">
        <f>ROUND('[17]Summary Monthly TD Calc'!B6,4)</f>
        <v>0</v>
      </c>
      <c r="H33" s="15">
        <f>ROUND('[17]Summary Monthly TD Calc'!C6,4)</f>
        <v>0</v>
      </c>
      <c r="I33" s="54">
        <f>ROUND('[17]Summary Monthly TD Calc'!D6,4)</f>
        <v>0</v>
      </c>
      <c r="J33" s="159">
        <f>ROUND('[17]Summary Monthly TD Calc'!E6,4)</f>
        <v>0</v>
      </c>
      <c r="K33" s="154">
        <f>ROUND('[17]Summary Monthly TD Calc'!F6,4)</f>
        <v>84.78</v>
      </c>
      <c r="L33" s="136">
        <f>ROUND('[17]Summary Monthly TD Calc'!G6,4)</f>
        <v>977.53</v>
      </c>
      <c r="M33" s="77"/>
      <c r="P33" s="181">
        <f t="shared" si="12"/>
        <v>-1062.31</v>
      </c>
    </row>
    <row r="34" spans="1:18" x14ac:dyDescent="0.35">
      <c r="A34" s="45" t="s">
        <v>97</v>
      </c>
      <c r="C34" s="183">
        <v>0</v>
      </c>
      <c r="D34" s="185"/>
      <c r="E34" s="106"/>
      <c r="F34" s="106"/>
      <c r="G34" s="107">
        <f>ROUND('[17]Summary Monthly TD Calc'!B7,4)</f>
        <v>0</v>
      </c>
      <c r="H34" s="15">
        <f>ROUND('[17]Summary Monthly TD Calc'!C7,4)</f>
        <v>0</v>
      </c>
      <c r="I34" s="54">
        <f>ROUND('[17]Summary Monthly TD Calc'!D7,4)</f>
        <v>0</v>
      </c>
      <c r="J34" s="159">
        <f>ROUND('[17]Summary Monthly TD Calc'!E7,4)</f>
        <v>0</v>
      </c>
      <c r="K34" s="154">
        <f>ROUND('[17]Summary Monthly TD Calc'!F7,4)</f>
        <v>7.87</v>
      </c>
      <c r="L34" s="136">
        <f>ROUND('[17]Summary Monthly TD Calc'!G7,4)</f>
        <v>79.7</v>
      </c>
      <c r="M34" s="77"/>
      <c r="O34" s="46"/>
      <c r="P34" s="181">
        <f t="shared" si="12"/>
        <v>-87.570000000000007</v>
      </c>
    </row>
    <row r="35" spans="1:18" x14ac:dyDescent="0.35">
      <c r="C35" s="66"/>
      <c r="D35" s="187"/>
      <c r="E35" s="55"/>
      <c r="F35" s="55"/>
      <c r="G35" s="55"/>
      <c r="H35" s="11"/>
      <c r="I35" s="55"/>
      <c r="J35" s="165"/>
      <c r="K35" s="55"/>
      <c r="L35" s="55"/>
      <c r="M35" s="12"/>
    </row>
    <row r="36" spans="1:18" ht="15" thickBot="1" x14ac:dyDescent="0.4">
      <c r="A36" s="3" t="s">
        <v>13</v>
      </c>
      <c r="B36" s="3"/>
      <c r="C36" s="318">
        <v>0</v>
      </c>
      <c r="D36" s="190"/>
      <c r="E36" s="129">
        <v>0</v>
      </c>
      <c r="F36" s="129">
        <v>0</v>
      </c>
      <c r="G36" s="130">
        <v>0</v>
      </c>
      <c r="H36" s="25">
        <v>-31.12</v>
      </c>
      <c r="I36" s="116">
        <v>-136.33000000000001</v>
      </c>
      <c r="J36" s="166">
        <v>-261.78000000000003</v>
      </c>
      <c r="K36" s="155">
        <f>ROUND((SUM(J46:J50)+SUM(J54:J58)+SUM(K39:K43)/2)*K$52,2)</f>
        <v>-365.55</v>
      </c>
      <c r="L36" s="138">
        <f>ROUND((SUM(K46:K50)+SUM(K54:K58)+SUM(L39:L43)/2)*L$52,2)</f>
        <v>-463.08</v>
      </c>
      <c r="M36" s="80"/>
      <c r="P36" s="181">
        <f t="shared" si="12"/>
        <v>828.63</v>
      </c>
      <c r="R36" s="315"/>
    </row>
    <row r="37" spans="1:18" x14ac:dyDescent="0.35">
      <c r="C37" s="63"/>
      <c r="D37" s="193"/>
      <c r="E37" s="65"/>
      <c r="F37" s="65"/>
      <c r="G37" s="32"/>
      <c r="H37" s="63"/>
      <c r="I37" s="32"/>
      <c r="J37" s="167"/>
      <c r="K37" s="33"/>
      <c r="L37" s="33"/>
      <c r="M37" s="59"/>
    </row>
    <row r="38" spans="1:18" x14ac:dyDescent="0.35">
      <c r="A38" s="45" t="s">
        <v>46</v>
      </c>
      <c r="C38" s="64"/>
      <c r="D38" s="194"/>
      <c r="E38" s="34"/>
      <c r="F38" s="34"/>
      <c r="G38" s="34"/>
      <c r="H38" s="64"/>
      <c r="I38" s="34"/>
      <c r="J38" s="168"/>
      <c r="K38" s="33"/>
      <c r="L38" s="33"/>
      <c r="M38" s="59"/>
    </row>
    <row r="39" spans="1:18" x14ac:dyDescent="0.35">
      <c r="A39" s="45" t="s">
        <v>22</v>
      </c>
      <c r="C39" s="191">
        <f t="shared" ref="C39:M43" si="13">C30-C16</f>
        <v>0</v>
      </c>
      <c r="D39" s="195">
        <f t="shared" si="13"/>
        <v>0</v>
      </c>
      <c r="E39" s="40">
        <f t="shared" si="13"/>
        <v>0</v>
      </c>
      <c r="F39" s="40">
        <f t="shared" si="13"/>
        <v>0</v>
      </c>
      <c r="G39" s="105">
        <f t="shared" si="13"/>
        <v>0</v>
      </c>
      <c r="H39" s="39">
        <f t="shared" si="13"/>
        <v>-10842.97</v>
      </c>
      <c r="I39" s="40">
        <f t="shared" si="13"/>
        <v>-25451.39</v>
      </c>
      <c r="J39" s="60">
        <f t="shared" si="13"/>
        <v>-16651.46</v>
      </c>
      <c r="K39" s="117">
        <f t="shared" si="13"/>
        <v>-17028.142599434686</v>
      </c>
      <c r="L39" s="40">
        <f t="shared" si="13"/>
        <v>-16773.991930645861</v>
      </c>
      <c r="M39" s="60">
        <f t="shared" si="13"/>
        <v>-33166.06856613257</v>
      </c>
    </row>
    <row r="40" spans="1:18" x14ac:dyDescent="0.35">
      <c r="A40" s="45" t="s">
        <v>94</v>
      </c>
      <c r="C40" s="191">
        <f t="shared" si="13"/>
        <v>0</v>
      </c>
      <c r="D40" s="195">
        <f t="shared" si="13"/>
        <v>0</v>
      </c>
      <c r="E40" s="40">
        <f t="shared" si="13"/>
        <v>0</v>
      </c>
      <c r="F40" s="40">
        <f t="shared" si="13"/>
        <v>0</v>
      </c>
      <c r="G40" s="105">
        <f t="shared" si="13"/>
        <v>0</v>
      </c>
      <c r="H40" s="39">
        <f t="shared" si="13"/>
        <v>-453.63</v>
      </c>
      <c r="I40" s="40">
        <f t="shared" si="13"/>
        <v>-1135.9000000000001</v>
      </c>
      <c r="J40" s="60">
        <f t="shared" si="13"/>
        <v>-870.6</v>
      </c>
      <c r="K40" s="117">
        <f t="shared" si="13"/>
        <v>-796.26926000000003</v>
      </c>
      <c r="L40" s="40">
        <f t="shared" si="13"/>
        <v>14.68921999999975</v>
      </c>
      <c r="M40" s="60">
        <f t="shared" si="13"/>
        <v>-1219.2606400000002</v>
      </c>
    </row>
    <row r="41" spans="1:18" x14ac:dyDescent="0.35">
      <c r="A41" s="45" t="s">
        <v>95</v>
      </c>
      <c r="C41" s="191">
        <f t="shared" si="13"/>
        <v>0</v>
      </c>
      <c r="D41" s="195">
        <f t="shared" si="13"/>
        <v>0</v>
      </c>
      <c r="E41" s="40">
        <f t="shared" si="13"/>
        <v>0</v>
      </c>
      <c r="F41" s="40">
        <f t="shared" si="13"/>
        <v>0</v>
      </c>
      <c r="G41" s="105">
        <f t="shared" si="13"/>
        <v>0</v>
      </c>
      <c r="H41" s="39">
        <f t="shared" si="13"/>
        <v>-652.97</v>
      </c>
      <c r="I41" s="40">
        <f t="shared" si="13"/>
        <v>-1854.71</v>
      </c>
      <c r="J41" s="60">
        <f t="shared" si="13"/>
        <v>-1376.9499999999998</v>
      </c>
      <c r="K41" s="117">
        <f t="shared" si="13"/>
        <v>-1212.8616800000002</v>
      </c>
      <c r="L41" s="40">
        <f t="shared" si="13"/>
        <v>313.5325399999997</v>
      </c>
      <c r="M41" s="60">
        <f t="shared" si="13"/>
        <v>-2087.8795</v>
      </c>
    </row>
    <row r="42" spans="1:18" x14ac:dyDescent="0.35">
      <c r="A42" s="45" t="s">
        <v>96</v>
      </c>
      <c r="C42" s="191">
        <f t="shared" si="13"/>
        <v>0</v>
      </c>
      <c r="D42" s="195">
        <f t="shared" si="13"/>
        <v>0</v>
      </c>
      <c r="E42" s="40">
        <f t="shared" si="13"/>
        <v>0</v>
      </c>
      <c r="F42" s="40">
        <f t="shared" si="13"/>
        <v>0</v>
      </c>
      <c r="G42" s="105">
        <f t="shared" si="13"/>
        <v>0</v>
      </c>
      <c r="H42" s="39">
        <f t="shared" si="13"/>
        <v>-1205.1600000000001</v>
      </c>
      <c r="I42" s="40">
        <f t="shared" si="13"/>
        <v>-2956.82</v>
      </c>
      <c r="J42" s="60">
        <f t="shared" si="13"/>
        <v>-2545.4899999999998</v>
      </c>
      <c r="K42" s="117">
        <f t="shared" si="13"/>
        <v>-2662.1225399999998</v>
      </c>
      <c r="L42" s="40">
        <f t="shared" si="13"/>
        <v>-2061.2954800000007</v>
      </c>
      <c r="M42" s="60">
        <f t="shared" si="13"/>
        <v>-3408.9168400000003</v>
      </c>
    </row>
    <row r="43" spans="1:18" x14ac:dyDescent="0.35">
      <c r="A43" s="45" t="s">
        <v>97</v>
      </c>
      <c r="C43" s="191">
        <f t="shared" si="13"/>
        <v>0</v>
      </c>
      <c r="D43" s="195">
        <f t="shared" si="13"/>
        <v>0</v>
      </c>
      <c r="E43" s="40">
        <f t="shared" si="13"/>
        <v>0</v>
      </c>
      <c r="F43" s="40">
        <f t="shared" si="13"/>
        <v>0</v>
      </c>
      <c r="G43" s="105">
        <f t="shared" si="13"/>
        <v>0</v>
      </c>
      <c r="H43" s="39">
        <f t="shared" si="13"/>
        <v>-322.60000000000002</v>
      </c>
      <c r="I43" s="40">
        <f t="shared" si="13"/>
        <v>-584.21</v>
      </c>
      <c r="J43" s="60">
        <f t="shared" si="13"/>
        <v>-606.16</v>
      </c>
      <c r="K43" s="117">
        <f t="shared" si="13"/>
        <v>-639.72144000000003</v>
      </c>
      <c r="L43" s="40">
        <f t="shared" si="13"/>
        <v>-636.71325999999999</v>
      </c>
      <c r="M43" s="60">
        <f t="shared" si="13"/>
        <v>-803.66352000000006</v>
      </c>
    </row>
    <row r="44" spans="1:18" x14ac:dyDescent="0.35">
      <c r="C44" s="97"/>
      <c r="D44" s="186"/>
      <c r="E44" s="30"/>
      <c r="F44" s="16"/>
      <c r="G44" s="16"/>
      <c r="H44" s="9"/>
      <c r="I44" s="16"/>
      <c r="J44" s="10"/>
      <c r="K44" s="16"/>
      <c r="L44" s="16"/>
      <c r="M44" s="10"/>
    </row>
    <row r="45" spans="1:18" ht="15" thickBot="1" x14ac:dyDescent="0.4">
      <c r="A45" s="45" t="s">
        <v>47</v>
      </c>
      <c r="C45" s="97"/>
      <c r="D45" s="186"/>
      <c r="E45" s="16"/>
      <c r="F45" s="16"/>
      <c r="G45" s="16"/>
      <c r="H45" s="9"/>
      <c r="I45" s="16"/>
      <c r="J45" s="10"/>
      <c r="K45" s="16"/>
      <c r="L45" s="16"/>
      <c r="M45" s="10"/>
    </row>
    <row r="46" spans="1:18" x14ac:dyDescent="0.35">
      <c r="A46" s="45" t="s">
        <v>22</v>
      </c>
      <c r="B46" s="285">
        <v>0</v>
      </c>
      <c r="C46" s="191">
        <f t="shared" ref="C46:D50" si="14">+B46+C39+B54</f>
        <v>0</v>
      </c>
      <c r="D46" s="195">
        <f>+C46+D39+C54</f>
        <v>0</v>
      </c>
      <c r="E46" s="40">
        <f t="shared" ref="E46:M50" si="15">+D46+E39+D54</f>
        <v>0</v>
      </c>
      <c r="F46" s="40">
        <f t="shared" si="15"/>
        <v>0</v>
      </c>
      <c r="G46" s="105">
        <f t="shared" si="15"/>
        <v>0</v>
      </c>
      <c r="H46" s="39">
        <f t="shared" si="15"/>
        <v>-10842.97</v>
      </c>
      <c r="I46" s="40">
        <f t="shared" si="15"/>
        <v>-36319.4</v>
      </c>
      <c r="J46" s="60">
        <f t="shared" si="15"/>
        <v>-53079.9</v>
      </c>
      <c r="K46" s="117">
        <f t="shared" si="15"/>
        <v>-70314.842599434691</v>
      </c>
      <c r="L46" s="40">
        <f t="shared" si="15"/>
        <v>-87374.404530080559</v>
      </c>
      <c r="M46" s="60">
        <f t="shared" si="15"/>
        <v>-120905.45309621312</v>
      </c>
    </row>
    <row r="47" spans="1:18" x14ac:dyDescent="0.35">
      <c r="A47" s="45" t="s">
        <v>94</v>
      </c>
      <c r="B47" s="287">
        <v>0</v>
      </c>
      <c r="C47" s="191">
        <f t="shared" si="14"/>
        <v>0</v>
      </c>
      <c r="D47" s="195">
        <f t="shared" si="14"/>
        <v>0</v>
      </c>
      <c r="E47" s="40">
        <f t="shared" si="15"/>
        <v>0</v>
      </c>
      <c r="F47" s="40">
        <f t="shared" si="15"/>
        <v>0</v>
      </c>
      <c r="G47" s="105">
        <f t="shared" si="15"/>
        <v>0</v>
      </c>
      <c r="H47" s="39">
        <f t="shared" si="15"/>
        <v>-453.63</v>
      </c>
      <c r="I47" s="40">
        <f t="shared" si="15"/>
        <v>-1590.5800000000002</v>
      </c>
      <c r="J47" s="60">
        <f t="shared" si="15"/>
        <v>-2465.9100000000003</v>
      </c>
      <c r="K47" s="117">
        <f t="shared" si="15"/>
        <v>-3271.5592600000004</v>
      </c>
      <c r="L47" s="40">
        <f t="shared" si="15"/>
        <v>-3270.1500400000009</v>
      </c>
      <c r="M47" s="60">
        <f t="shared" si="15"/>
        <v>-4504.5506800000012</v>
      </c>
    </row>
    <row r="48" spans="1:18" x14ac:dyDescent="0.35">
      <c r="A48" s="45" t="s">
        <v>95</v>
      </c>
      <c r="B48" s="287">
        <v>0</v>
      </c>
      <c r="C48" s="191">
        <f t="shared" si="14"/>
        <v>0</v>
      </c>
      <c r="D48" s="195">
        <f t="shared" si="14"/>
        <v>0</v>
      </c>
      <c r="E48" s="40">
        <f t="shared" si="15"/>
        <v>0</v>
      </c>
      <c r="F48" s="40">
        <f t="shared" si="15"/>
        <v>0</v>
      </c>
      <c r="G48" s="105">
        <f t="shared" si="15"/>
        <v>0</v>
      </c>
      <c r="H48" s="39">
        <f t="shared" si="15"/>
        <v>-652.97</v>
      </c>
      <c r="I48" s="40">
        <f t="shared" si="15"/>
        <v>-2509.1900000000005</v>
      </c>
      <c r="J48" s="60">
        <f t="shared" si="15"/>
        <v>-3893.4500000000003</v>
      </c>
      <c r="K48" s="117">
        <f t="shared" si="15"/>
        <v>-5121.1216800000011</v>
      </c>
      <c r="L48" s="40">
        <f t="shared" si="15"/>
        <v>-4828.4491400000015</v>
      </c>
      <c r="M48" s="60">
        <f t="shared" si="15"/>
        <v>-6939.3686400000015</v>
      </c>
    </row>
    <row r="49" spans="1:18" x14ac:dyDescent="0.35">
      <c r="A49" s="45" t="s">
        <v>96</v>
      </c>
      <c r="B49" s="287">
        <v>0</v>
      </c>
      <c r="C49" s="191">
        <f t="shared" si="14"/>
        <v>0</v>
      </c>
      <c r="D49" s="195">
        <f t="shared" si="14"/>
        <v>0</v>
      </c>
      <c r="E49" s="40">
        <f t="shared" si="15"/>
        <v>0</v>
      </c>
      <c r="F49" s="40">
        <f t="shared" si="15"/>
        <v>0</v>
      </c>
      <c r="G49" s="105">
        <f t="shared" si="15"/>
        <v>0</v>
      </c>
      <c r="H49" s="39">
        <f t="shared" si="15"/>
        <v>-1205.1600000000001</v>
      </c>
      <c r="I49" s="40">
        <f t="shared" si="15"/>
        <v>-4164.76</v>
      </c>
      <c r="J49" s="60">
        <f t="shared" si="15"/>
        <v>-6722.66</v>
      </c>
      <c r="K49" s="117">
        <f t="shared" si="15"/>
        <v>-9409.9625400000004</v>
      </c>
      <c r="L49" s="40">
        <f t="shared" si="15"/>
        <v>-11508.588020000001</v>
      </c>
      <c r="M49" s="60">
        <f t="shared" si="15"/>
        <v>-14965.924860000001</v>
      </c>
    </row>
    <row r="50" spans="1:18" ht="15" thickBot="1" x14ac:dyDescent="0.4">
      <c r="A50" s="45" t="s">
        <v>97</v>
      </c>
      <c r="B50" s="286">
        <v>0</v>
      </c>
      <c r="C50" s="191">
        <f t="shared" si="14"/>
        <v>0</v>
      </c>
      <c r="D50" s="195">
        <f t="shared" si="14"/>
        <v>0</v>
      </c>
      <c r="E50" s="40">
        <f t="shared" si="15"/>
        <v>0</v>
      </c>
      <c r="F50" s="40">
        <f t="shared" si="15"/>
        <v>0</v>
      </c>
      <c r="G50" s="105">
        <f t="shared" si="15"/>
        <v>0</v>
      </c>
      <c r="H50" s="39">
        <f t="shared" si="15"/>
        <v>-322.60000000000002</v>
      </c>
      <c r="I50" s="40">
        <f t="shared" si="15"/>
        <v>-907.55000000000007</v>
      </c>
      <c r="J50" s="60">
        <f t="shared" si="15"/>
        <v>-1516.55</v>
      </c>
      <c r="K50" s="117">
        <f t="shared" si="15"/>
        <v>-2161.8814400000001</v>
      </c>
      <c r="L50" s="40">
        <f t="shared" si="15"/>
        <v>-2807.1047000000003</v>
      </c>
      <c r="M50" s="60">
        <f t="shared" si="15"/>
        <v>-3622.2682200000004</v>
      </c>
    </row>
    <row r="51" spans="1:18" x14ac:dyDescent="0.35">
      <c r="C51" s="97"/>
      <c r="D51" s="186"/>
      <c r="E51" s="16"/>
      <c r="F51" s="16"/>
      <c r="G51" s="16"/>
      <c r="H51" s="9"/>
      <c r="I51" s="16"/>
      <c r="J51" s="10"/>
      <c r="K51" s="16"/>
      <c r="L51" s="16"/>
      <c r="M51" s="10"/>
    </row>
    <row r="52" spans="1:18" x14ac:dyDescent="0.35">
      <c r="A52" s="38" t="s">
        <v>109</v>
      </c>
      <c r="B52" s="38"/>
      <c r="C52" s="101"/>
      <c r="D52" s="196"/>
      <c r="E52" s="81">
        <f>'PCR Cycle 3'!E$51</f>
        <v>4.8565300000000004E-3</v>
      </c>
      <c r="F52" s="81">
        <f>'PCR Cycle 3'!F$51</f>
        <v>4.6890200000000003E-3</v>
      </c>
      <c r="G52" s="81">
        <f>'PCR Cycle 3'!G$51</f>
        <v>4.6108499999999997E-3</v>
      </c>
      <c r="H52" s="82">
        <f>'PCR Cycle 3'!H$51</f>
        <v>4.6177400000000004E-3</v>
      </c>
      <c r="I52" s="81">
        <f>'PCR Cycle 3'!I$51</f>
        <v>4.62145E-3</v>
      </c>
      <c r="J52" s="90">
        <f>'PCR Cycle 3'!J$51</f>
        <v>4.6207399999999999E-3</v>
      </c>
      <c r="K52" s="81">
        <f>'PCR Cycle 3'!K$51</f>
        <v>4.6207399999999999E-3</v>
      </c>
      <c r="L52" s="81">
        <f>'PCR Cycle 3'!L$51</f>
        <v>4.6207399999999999E-3</v>
      </c>
      <c r="M52" s="83"/>
    </row>
    <row r="53" spans="1:18" x14ac:dyDescent="0.35">
      <c r="A53" s="38" t="s">
        <v>31</v>
      </c>
      <c r="B53" s="38"/>
      <c r="C53" s="103"/>
      <c r="D53" s="197"/>
      <c r="E53" s="81"/>
      <c r="F53" s="81"/>
      <c r="G53" s="81"/>
      <c r="H53" s="82"/>
      <c r="I53" s="81"/>
      <c r="J53" s="83"/>
      <c r="K53" s="81"/>
      <c r="L53" s="81"/>
      <c r="M53" s="83"/>
    </row>
    <row r="54" spans="1:18" x14ac:dyDescent="0.35">
      <c r="A54" s="45" t="s">
        <v>22</v>
      </c>
      <c r="C54" s="319">
        <v>0</v>
      </c>
      <c r="D54" s="195"/>
      <c r="E54" s="233">
        <f t="shared" ref="E54:M58" si="16">ROUND((D46+D54+E39/2)*E$52,2)</f>
        <v>0</v>
      </c>
      <c r="F54" s="40">
        <f t="shared" si="16"/>
        <v>0</v>
      </c>
      <c r="G54" s="105">
        <f t="shared" si="16"/>
        <v>0</v>
      </c>
      <c r="H54" s="39">
        <f t="shared" si="16"/>
        <v>-25.04</v>
      </c>
      <c r="I54" s="117">
        <f t="shared" si="16"/>
        <v>-109.04</v>
      </c>
      <c r="J54" s="60">
        <f t="shared" si="16"/>
        <v>-206.8</v>
      </c>
      <c r="K54" s="156">
        <f t="shared" si="16"/>
        <v>-285.57</v>
      </c>
      <c r="L54" s="105">
        <f t="shared" si="16"/>
        <v>-364.98</v>
      </c>
      <c r="M54" s="60">
        <f t="shared" si="16"/>
        <v>0</v>
      </c>
      <c r="P54" s="181">
        <f t="shared" ref="P54:P58" si="17">-SUM(K54:M54)</f>
        <v>650.54999999999995</v>
      </c>
      <c r="R54" s="46"/>
    </row>
    <row r="55" spans="1:18" x14ac:dyDescent="0.35">
      <c r="A55" s="45" t="s">
        <v>94</v>
      </c>
      <c r="C55" s="319">
        <v>0</v>
      </c>
      <c r="D55" s="195"/>
      <c r="E55" s="233">
        <f t="shared" si="16"/>
        <v>0</v>
      </c>
      <c r="F55" s="40">
        <f t="shared" si="16"/>
        <v>0</v>
      </c>
      <c r="G55" s="105">
        <f t="shared" si="16"/>
        <v>0</v>
      </c>
      <c r="H55" s="39">
        <f t="shared" si="16"/>
        <v>-1.05</v>
      </c>
      <c r="I55" s="117">
        <f t="shared" si="16"/>
        <v>-4.7300000000000004</v>
      </c>
      <c r="J55" s="60">
        <f t="shared" si="16"/>
        <v>-9.3800000000000008</v>
      </c>
      <c r="K55" s="156">
        <f t="shared" si="16"/>
        <v>-13.28</v>
      </c>
      <c r="L55" s="105">
        <f t="shared" si="16"/>
        <v>-15.14</v>
      </c>
      <c r="M55" s="60"/>
      <c r="P55" s="181">
        <f t="shared" si="17"/>
        <v>28.42</v>
      </c>
      <c r="R55" s="46"/>
    </row>
    <row r="56" spans="1:18" x14ac:dyDescent="0.35">
      <c r="A56" s="45" t="s">
        <v>95</v>
      </c>
      <c r="C56" s="319">
        <v>0</v>
      </c>
      <c r="D56" s="195"/>
      <c r="E56" s="233">
        <f t="shared" si="16"/>
        <v>0</v>
      </c>
      <c r="F56" s="40">
        <f t="shared" si="16"/>
        <v>0</v>
      </c>
      <c r="G56" s="105">
        <f t="shared" si="16"/>
        <v>0</v>
      </c>
      <c r="H56" s="39">
        <f t="shared" si="16"/>
        <v>-1.51</v>
      </c>
      <c r="I56" s="117">
        <f t="shared" si="16"/>
        <v>-7.31</v>
      </c>
      <c r="J56" s="60">
        <f t="shared" si="16"/>
        <v>-14.81</v>
      </c>
      <c r="K56" s="156">
        <f t="shared" si="16"/>
        <v>-20.86</v>
      </c>
      <c r="L56" s="105">
        <f t="shared" si="16"/>
        <v>-23.04</v>
      </c>
      <c r="M56" s="60"/>
      <c r="P56" s="181">
        <f t="shared" si="17"/>
        <v>43.9</v>
      </c>
      <c r="R56" s="46"/>
    </row>
    <row r="57" spans="1:18" x14ac:dyDescent="0.35">
      <c r="A57" s="45" t="s">
        <v>96</v>
      </c>
      <c r="C57" s="319">
        <v>0</v>
      </c>
      <c r="D57" s="195"/>
      <c r="E57" s="233">
        <f t="shared" si="16"/>
        <v>0</v>
      </c>
      <c r="F57" s="40">
        <f t="shared" si="16"/>
        <v>0</v>
      </c>
      <c r="G57" s="105">
        <f t="shared" si="16"/>
        <v>0</v>
      </c>
      <c r="H57" s="39">
        <f t="shared" si="16"/>
        <v>-2.78</v>
      </c>
      <c r="I57" s="117">
        <f t="shared" si="16"/>
        <v>-12.41</v>
      </c>
      <c r="J57" s="60">
        <f t="shared" si="16"/>
        <v>-25.18</v>
      </c>
      <c r="K57" s="156">
        <f t="shared" si="16"/>
        <v>-37.33</v>
      </c>
      <c r="L57" s="105">
        <f t="shared" si="16"/>
        <v>-48.42</v>
      </c>
      <c r="M57" s="60"/>
      <c r="P57" s="181">
        <f t="shared" si="17"/>
        <v>85.75</v>
      </c>
      <c r="R57" s="46"/>
    </row>
    <row r="58" spans="1:18" ht="15" thickBot="1" x14ac:dyDescent="0.4">
      <c r="A58" s="45" t="s">
        <v>97</v>
      </c>
      <c r="C58" s="319">
        <v>0</v>
      </c>
      <c r="D58" s="195"/>
      <c r="E58" s="233">
        <f t="shared" si="16"/>
        <v>0</v>
      </c>
      <c r="F58" s="40">
        <f t="shared" si="16"/>
        <v>0</v>
      </c>
      <c r="G58" s="105">
        <f t="shared" si="16"/>
        <v>0</v>
      </c>
      <c r="H58" s="39">
        <f t="shared" si="16"/>
        <v>-0.74</v>
      </c>
      <c r="I58" s="117">
        <f t="shared" si="16"/>
        <v>-2.84</v>
      </c>
      <c r="J58" s="60">
        <f t="shared" si="16"/>
        <v>-5.61</v>
      </c>
      <c r="K58" s="156">
        <f t="shared" si="16"/>
        <v>-8.51</v>
      </c>
      <c r="L58" s="105">
        <f t="shared" si="16"/>
        <v>-11.5</v>
      </c>
      <c r="M58" s="60">
        <f t="shared" si="16"/>
        <v>0</v>
      </c>
      <c r="P58" s="181">
        <f t="shared" si="17"/>
        <v>20.009999999999998</v>
      </c>
      <c r="R58" s="46"/>
    </row>
    <row r="59" spans="1:18" ht="15.5" thickTop="1" thickBot="1" x14ac:dyDescent="0.4">
      <c r="A59" s="53" t="s">
        <v>20</v>
      </c>
      <c r="B59" s="53"/>
      <c r="C59" s="192">
        <v>0</v>
      </c>
      <c r="D59" s="198"/>
      <c r="E59" s="41">
        <f>SUM(E54:E58)+SUM(E46:E50)-E62</f>
        <v>0</v>
      </c>
      <c r="F59" s="41">
        <f t="shared" ref="F59:M59" si="18">SUM(F54:F58)+SUM(F46:F50)-F62</f>
        <v>0</v>
      </c>
      <c r="G59" s="49">
        <f t="shared" si="18"/>
        <v>0</v>
      </c>
      <c r="H59" s="50">
        <f t="shared" si="18"/>
        <v>0</v>
      </c>
      <c r="I59" s="41">
        <f t="shared" si="18"/>
        <v>0</v>
      </c>
      <c r="J59" s="61">
        <f t="shared" si="18"/>
        <v>0</v>
      </c>
      <c r="K59" s="157">
        <f t="shared" si="18"/>
        <v>0</v>
      </c>
      <c r="L59" s="49">
        <f t="shared" si="18"/>
        <v>0</v>
      </c>
      <c r="M59" s="61">
        <f t="shared" si="18"/>
        <v>0</v>
      </c>
    </row>
    <row r="60" spans="1:18" ht="15.5" thickTop="1" thickBot="1" x14ac:dyDescent="0.4">
      <c r="A60" s="53" t="s">
        <v>21</v>
      </c>
      <c r="B60" s="53"/>
      <c r="C60" s="192">
        <v>0</v>
      </c>
      <c r="D60" s="198"/>
      <c r="E60" s="41">
        <f>SUM(E54:E58)-E36</f>
        <v>0</v>
      </c>
      <c r="F60" s="41">
        <f t="shared" ref="F60:J60" si="19">SUM(F54:F58)-F36</f>
        <v>0</v>
      </c>
      <c r="G60" s="49">
        <f t="shared" ref="G60:I60" si="20">SUM(G54:G58)-G36</f>
        <v>0</v>
      </c>
      <c r="H60" s="50">
        <f t="shared" si="20"/>
        <v>0</v>
      </c>
      <c r="I60" s="41">
        <f t="shared" si="20"/>
        <v>0</v>
      </c>
      <c r="J60" s="61">
        <f t="shared" si="19"/>
        <v>0</v>
      </c>
      <c r="K60" s="158">
        <f t="shared" ref="K60:M60" si="21">SUM(K54:K58)-K36</f>
        <v>0</v>
      </c>
      <c r="L60" s="41">
        <f t="shared" si="21"/>
        <v>0</v>
      </c>
      <c r="M60" s="41">
        <f t="shared" si="21"/>
        <v>0</v>
      </c>
    </row>
    <row r="61" spans="1:18" ht="15.5" thickTop="1" thickBot="1" x14ac:dyDescent="0.4">
      <c r="C61" s="97"/>
      <c r="D61" s="186"/>
      <c r="E61" s="16"/>
      <c r="F61" s="16"/>
      <c r="G61" s="16"/>
      <c r="H61" s="9"/>
      <c r="I61" s="16"/>
      <c r="J61" s="10"/>
      <c r="K61" s="16"/>
      <c r="L61" s="16"/>
      <c r="M61" s="10"/>
    </row>
    <row r="62" spans="1:18" ht="15" thickBot="1" x14ac:dyDescent="0.4">
      <c r="A62" s="45" t="s">
        <v>30</v>
      </c>
      <c r="B62" s="113">
        <f>SUM(B46:B50)</f>
        <v>0</v>
      </c>
      <c r="C62" s="191">
        <f>(C13-SUM(C16:C20))+SUM(C54:C58)+B62</f>
        <v>0</v>
      </c>
      <c r="D62" s="195">
        <f>(D13-SUM(D16:D20))+SUM(D54:D58)+C62</f>
        <v>0</v>
      </c>
      <c r="E62" s="40">
        <f>(E13-SUM(E16:E20))+SUM(E54:E58)+D62</f>
        <v>0</v>
      </c>
      <c r="F62" s="40">
        <f t="shared" ref="F62:M62" si="22">(F13-SUM(F16:F20))+SUM(F54:F58)+E62</f>
        <v>0</v>
      </c>
      <c r="G62" s="105">
        <f t="shared" si="22"/>
        <v>0</v>
      </c>
      <c r="H62" s="39">
        <f t="shared" si="22"/>
        <v>-13508.449999999999</v>
      </c>
      <c r="I62" s="40">
        <f t="shared" si="22"/>
        <v>-45627.81</v>
      </c>
      <c r="J62" s="60">
        <f t="shared" si="22"/>
        <v>-67940.25</v>
      </c>
      <c r="K62" s="156">
        <f t="shared" si="22"/>
        <v>-90644.91751943469</v>
      </c>
      <c r="L62" s="105">
        <f t="shared" si="22"/>
        <v>-110251.77643008056</v>
      </c>
      <c r="M62" s="60">
        <f t="shared" si="22"/>
        <v>-150937.56549621312</v>
      </c>
    </row>
    <row r="63" spans="1:18" x14ac:dyDescent="0.35">
      <c r="A63" s="45" t="s">
        <v>10</v>
      </c>
      <c r="C63" s="114"/>
      <c r="D63" s="199"/>
      <c r="E63" s="16"/>
      <c r="F63" s="16"/>
      <c r="G63" s="16"/>
      <c r="H63" s="9"/>
      <c r="I63" s="16"/>
      <c r="J63" s="10"/>
      <c r="K63" s="16"/>
      <c r="L63" s="16"/>
      <c r="M63" s="10"/>
    </row>
    <row r="64" spans="1:18" ht="15" thickBot="1" x14ac:dyDescent="0.4">
      <c r="A64" s="36"/>
      <c r="B64" s="36"/>
      <c r="C64" s="141"/>
      <c r="D64" s="200"/>
      <c r="E64" s="43"/>
      <c r="F64" s="43"/>
      <c r="G64" s="43"/>
      <c r="H64" s="42"/>
      <c r="I64" s="43"/>
      <c r="J64" s="44"/>
      <c r="K64" s="43"/>
      <c r="L64" s="43"/>
      <c r="M64" s="44"/>
    </row>
    <row r="66" spans="1:13" x14ac:dyDescent="0.35">
      <c r="A66" s="68" t="s">
        <v>9</v>
      </c>
      <c r="B66" s="68"/>
      <c r="C66" s="68"/>
      <c r="D66" s="68"/>
    </row>
    <row r="67" spans="1:13" ht="34.5" customHeight="1" x14ac:dyDescent="0.35">
      <c r="A67" s="355" t="s">
        <v>297</v>
      </c>
      <c r="B67" s="355"/>
      <c r="C67" s="355"/>
      <c r="D67" s="355"/>
      <c r="E67" s="355"/>
      <c r="F67" s="355"/>
      <c r="G67" s="355"/>
      <c r="H67" s="355"/>
      <c r="I67" s="355"/>
      <c r="J67" s="355"/>
      <c r="K67" s="343"/>
      <c r="L67" s="297"/>
      <c r="M67" s="297"/>
    </row>
    <row r="68" spans="1:13" ht="55.5" customHeight="1" x14ac:dyDescent="0.35">
      <c r="A68" s="355" t="s">
        <v>247</v>
      </c>
      <c r="B68" s="355"/>
      <c r="C68" s="355"/>
      <c r="D68" s="355"/>
      <c r="E68" s="355"/>
      <c r="F68" s="355"/>
      <c r="G68" s="355"/>
      <c r="H68" s="355"/>
      <c r="I68" s="355"/>
      <c r="J68" s="355"/>
      <c r="K68" s="355"/>
      <c r="L68" s="297"/>
      <c r="M68" s="297"/>
    </row>
    <row r="69" spans="1:13" ht="27.65" customHeight="1" x14ac:dyDescent="0.35">
      <c r="A69" s="355" t="s">
        <v>298</v>
      </c>
      <c r="B69" s="355"/>
      <c r="C69" s="355"/>
      <c r="D69" s="355"/>
      <c r="E69" s="355"/>
      <c r="F69" s="355"/>
      <c r="G69" s="355"/>
      <c r="H69" s="355"/>
      <c r="I69" s="355"/>
      <c r="J69" s="355"/>
      <c r="K69" s="343"/>
      <c r="L69" s="297"/>
      <c r="M69" s="297"/>
    </row>
    <row r="70" spans="1:13" x14ac:dyDescent="0.35">
      <c r="A70" s="355" t="s">
        <v>225</v>
      </c>
      <c r="B70" s="355"/>
      <c r="C70" s="355"/>
      <c r="D70" s="355"/>
      <c r="E70" s="355"/>
      <c r="F70" s="355"/>
      <c r="G70" s="355"/>
      <c r="H70" s="355"/>
      <c r="I70" s="355"/>
      <c r="J70" s="355"/>
      <c r="K70" s="38"/>
    </row>
    <row r="71" spans="1:13" x14ac:dyDescent="0.35">
      <c r="A71" s="62" t="s">
        <v>251</v>
      </c>
      <c r="B71" s="62"/>
      <c r="C71" s="62"/>
      <c r="D71" s="62"/>
      <c r="E71" s="38"/>
      <c r="F71" s="38"/>
      <c r="G71" s="38"/>
      <c r="H71" s="38"/>
      <c r="I71" s="38"/>
      <c r="J71" s="306"/>
      <c r="K71" s="38"/>
    </row>
    <row r="72" spans="1:13" x14ac:dyDescent="0.35">
      <c r="A72" s="62" t="s">
        <v>61</v>
      </c>
      <c r="B72" s="62"/>
      <c r="C72" s="62"/>
      <c r="D72" s="62"/>
      <c r="E72" s="38"/>
      <c r="F72" s="38"/>
      <c r="G72" s="38"/>
      <c r="H72" s="38"/>
      <c r="I72" s="38"/>
      <c r="J72" s="38"/>
      <c r="K72" s="38"/>
    </row>
    <row r="73" spans="1:13" x14ac:dyDescent="0.35">
      <c r="A73" s="369"/>
      <c r="B73" s="370"/>
      <c r="C73" s="370"/>
      <c r="D73" s="370"/>
      <c r="E73" s="370"/>
      <c r="F73" s="370"/>
      <c r="G73" s="370"/>
      <c r="H73" s="371"/>
      <c r="I73" s="371"/>
      <c r="J73" s="371"/>
      <c r="K73" s="371"/>
    </row>
    <row r="74" spans="1:13" ht="33" customHeight="1" x14ac:dyDescent="0.35">
      <c r="A74" s="370"/>
      <c r="B74" s="370"/>
      <c r="C74" s="370"/>
      <c r="D74" s="370"/>
      <c r="E74" s="370"/>
      <c r="F74" s="370"/>
      <c r="G74" s="370"/>
      <c r="H74" s="371"/>
      <c r="I74" s="371"/>
      <c r="J74" s="371"/>
      <c r="K74" s="371"/>
    </row>
  </sheetData>
  <mergeCells count="8">
    <mergeCell ref="A70:J70"/>
    <mergeCell ref="A73:K74"/>
    <mergeCell ref="E11:G11"/>
    <mergeCell ref="H11:J11"/>
    <mergeCell ref="K11:M11"/>
    <mergeCell ref="A67:J67"/>
    <mergeCell ref="A68:K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Q104"/>
  <sheetViews>
    <sheetView workbookViewId="0">
      <pane ySplit="4" topLeftCell="A5" activePane="bottomLeft" state="frozen"/>
      <selection pane="bottomLeft" activeCell="A5" sqref="A5"/>
    </sheetView>
  </sheetViews>
  <sheetFormatPr defaultRowHeight="14.5" x14ac:dyDescent="0.35"/>
  <cols>
    <col min="1" max="1" width="22.453125" customWidth="1"/>
    <col min="2" max="2" width="15.26953125" bestFit="1" customWidth="1"/>
    <col min="3" max="3" width="14.26953125" style="45" customWidth="1"/>
    <col min="4" max="4" width="13.26953125" bestFit="1" customWidth="1"/>
    <col min="5" max="5" width="10.81640625" bestFit="1" customWidth="1"/>
    <col min="6" max="6" width="12.26953125" bestFit="1" customWidth="1"/>
    <col min="7" max="7" width="13.1796875" customWidth="1"/>
    <col min="9" max="9" width="11.54296875" bestFit="1" customWidth="1"/>
    <col min="10" max="10" width="12.26953125" bestFit="1" customWidth="1"/>
  </cols>
  <sheetData>
    <row r="1" spans="1:9" x14ac:dyDescent="0.35">
      <c r="A1" s="62" t="str">
        <f>'PTD Cycle 3'!A1</f>
        <v>Evergy Metro, Inc. - DSIM Rider Update Filed 06/02/2025</v>
      </c>
      <c r="B1" s="45"/>
      <c r="D1" s="45"/>
      <c r="E1" s="45"/>
    </row>
    <row r="2" spans="1:9" x14ac:dyDescent="0.35">
      <c r="A2" s="345" t="str">
        <f>+SUBSTITUTE('PTD Cycle 3'!A2,"Cycle 3","Cycle 2")</f>
        <v>Projections for Cycle 2 July 2025 - June 2026 DSIM</v>
      </c>
      <c r="B2" s="45"/>
      <c r="D2" s="45"/>
      <c r="E2" s="45"/>
      <c r="H2" s="38"/>
    </row>
    <row r="3" spans="1:9" ht="45.75" customHeight="1" x14ac:dyDescent="0.35">
      <c r="A3" s="45"/>
      <c r="B3" s="349" t="s">
        <v>85</v>
      </c>
      <c r="C3" s="349"/>
      <c r="D3" s="349"/>
      <c r="E3" s="45"/>
    </row>
    <row r="4" spans="1:9" ht="87" x14ac:dyDescent="0.35">
      <c r="A4" s="45"/>
      <c r="B4" s="69" t="s">
        <v>87</v>
      </c>
      <c r="C4" s="69" t="s">
        <v>88</v>
      </c>
      <c r="D4" s="69" t="s">
        <v>91</v>
      </c>
      <c r="E4" s="69" t="s">
        <v>89</v>
      </c>
      <c r="F4" s="69" t="s">
        <v>86</v>
      </c>
      <c r="G4" s="69" t="s">
        <v>92</v>
      </c>
    </row>
    <row r="5" spans="1:9" s="45" customFormat="1" x14ac:dyDescent="0.35">
      <c r="B5" s="69"/>
      <c r="C5" s="69"/>
      <c r="D5" s="69"/>
      <c r="E5" s="69"/>
      <c r="F5" s="69"/>
      <c r="G5" s="69"/>
    </row>
    <row r="6" spans="1:9" s="45" customFormat="1" x14ac:dyDescent="0.35">
      <c r="A6" s="235" t="s">
        <v>142</v>
      </c>
      <c r="B6" s="69"/>
      <c r="C6" s="69"/>
      <c r="D6" s="148"/>
    </row>
    <row r="7" spans="1:9" s="45" customFormat="1" x14ac:dyDescent="0.35">
      <c r="A7" s="19" t="s">
        <v>22</v>
      </c>
      <c r="B7" s="211">
        <f>+B19+B31+B43+B54+B65+B76+B87</f>
        <v>4794235.91</v>
      </c>
      <c r="C7" s="211">
        <f t="shared" ref="C7:E7" si="0">+C19+C31+C43+C54+C65+C76+C87</f>
        <v>-1258152.4000000001</v>
      </c>
      <c r="D7" s="211">
        <f t="shared" si="0"/>
        <v>-1966966.39</v>
      </c>
      <c r="E7" s="211">
        <f t="shared" si="0"/>
        <v>-226635.55000000002</v>
      </c>
      <c r="F7" s="211">
        <f>SUM(B7:E7)</f>
        <v>1342481.5699999998</v>
      </c>
      <c r="G7" s="211">
        <f t="shared" ref="G7" si="1">+G19+G31+G43+G54+G65+G76+G87</f>
        <v>-1228.6500000000001</v>
      </c>
      <c r="I7" s="120"/>
    </row>
    <row r="8" spans="1:9" s="45" customFormat="1" x14ac:dyDescent="0.35">
      <c r="A8" s="19" t="s">
        <v>23</v>
      </c>
      <c r="B8" s="211">
        <f>+B20+B32+B44+B55+B66+B77+B88</f>
        <v>5972530.4700000007</v>
      </c>
      <c r="C8" s="211">
        <f t="shared" ref="C8:E8" si="2">+C20+C32+C44+C55+C66+C77+C88</f>
        <v>1183835.67</v>
      </c>
      <c r="D8" s="211">
        <f t="shared" si="2"/>
        <v>-789722.13</v>
      </c>
      <c r="E8" s="211">
        <f t="shared" si="2"/>
        <v>95907.180000000008</v>
      </c>
      <c r="F8" s="211">
        <f>SUM(B8:E8)</f>
        <v>6462551.1900000004</v>
      </c>
      <c r="G8" s="211">
        <f t="shared" ref="G8" si="3">+G20+G32+G44+G55+G66+G77+G88</f>
        <v>-464.73</v>
      </c>
      <c r="I8" s="120"/>
    </row>
    <row r="9" spans="1:9" s="45" customFormat="1" x14ac:dyDescent="0.35">
      <c r="A9" s="19" t="s">
        <v>3</v>
      </c>
      <c r="B9" s="211">
        <f t="shared" ref="B9" si="4">SUM(B7:B8)</f>
        <v>10766766.380000001</v>
      </c>
      <c r="C9" s="211">
        <f t="shared" ref="C9:E9" si="5">SUM(C7:C8)</f>
        <v>-74316.730000000214</v>
      </c>
      <c r="D9" s="211">
        <f t="shared" si="5"/>
        <v>-2756688.52</v>
      </c>
      <c r="E9" s="211">
        <f t="shared" si="5"/>
        <v>-130728.37000000001</v>
      </c>
      <c r="F9" s="211">
        <f t="shared" ref="F9" si="6">SUM(F7:F8)</f>
        <v>7805032.7599999998</v>
      </c>
      <c r="G9" s="211">
        <f t="shared" ref="G9" si="7">SUM(G7:G8)</f>
        <v>-1693.38</v>
      </c>
      <c r="I9" s="120"/>
    </row>
    <row r="10" spans="1:9" s="45" customFormat="1" x14ac:dyDescent="0.35"/>
    <row r="11" spans="1:9" s="45" customFormat="1" x14ac:dyDescent="0.35">
      <c r="A11" s="19" t="s">
        <v>94</v>
      </c>
      <c r="B11" s="211">
        <f>+B23+B35+B47+B58+B69+B80+B91</f>
        <v>798822.8899999999</v>
      </c>
      <c r="C11" s="211">
        <f t="shared" ref="C11:E11" si="8">+C23+C35+C47+C58+C69+C80+C91</f>
        <v>-79228.649999999994</v>
      </c>
      <c r="D11" s="211">
        <f t="shared" si="8"/>
        <v>-511556.55999999994</v>
      </c>
      <c r="E11" s="211">
        <f t="shared" si="8"/>
        <v>-33212.129999999997</v>
      </c>
      <c r="F11" s="211">
        <f t="shared" ref="F11:F14" si="9">SUM(B11:E11)</f>
        <v>174825.54999999993</v>
      </c>
      <c r="G11" s="211">
        <f t="shared" ref="G11" si="10">+G23+G35+G47+G58+G69+G80+G91</f>
        <v>-556.37</v>
      </c>
    </row>
    <row r="12" spans="1:9" s="45" customFormat="1" x14ac:dyDescent="0.35">
      <c r="A12" s="19" t="s">
        <v>95</v>
      </c>
      <c r="B12" s="211">
        <f>+B24+B36+B48+B59+B70+B81+B92</f>
        <v>2103656.44</v>
      </c>
      <c r="C12" s="211">
        <f t="shared" ref="C12:E12" si="11">+C24+C36+C48+C59+C70+C81+C92</f>
        <v>456857.95</v>
      </c>
      <c r="D12" s="211">
        <f t="shared" si="11"/>
        <v>69741.469999999972</v>
      </c>
      <c r="E12" s="211">
        <f t="shared" si="11"/>
        <v>68491.709999999992</v>
      </c>
      <c r="F12" s="211">
        <f t="shared" si="9"/>
        <v>2698747.5700000003</v>
      </c>
      <c r="G12" s="211">
        <f t="shared" ref="G12" si="12">+G24+G36+G48+G59+G70+G81+G92</f>
        <v>69.569999999999993</v>
      </c>
    </row>
    <row r="13" spans="1:9" s="45" customFormat="1" x14ac:dyDescent="0.35">
      <c r="A13" s="19" t="s">
        <v>96</v>
      </c>
      <c r="B13" s="211">
        <f>+B25+B37+B49+B60+B71+B82+B93</f>
        <v>2570767.7999999998</v>
      </c>
      <c r="C13" s="211">
        <f t="shared" ref="C13:E13" si="13">+C25+C37+C49+C60+C71+C82+C93</f>
        <v>313071.99</v>
      </c>
      <c r="D13" s="211">
        <f t="shared" si="13"/>
        <v>-174719.24999999997</v>
      </c>
      <c r="E13" s="211">
        <f t="shared" si="13"/>
        <v>35757.900000000009</v>
      </c>
      <c r="F13" s="211">
        <f t="shared" si="9"/>
        <v>2744878.44</v>
      </c>
      <c r="G13" s="211">
        <f t="shared" ref="G13" si="14">+G25+G37+G49+G60+G71+G82+G93</f>
        <v>-212.2</v>
      </c>
    </row>
    <row r="14" spans="1:9" s="45" customFormat="1" x14ac:dyDescent="0.35">
      <c r="A14" s="19" t="s">
        <v>97</v>
      </c>
      <c r="B14" s="211">
        <f>+B26+B38+B50+B61+B72+B83+B94</f>
        <v>499283.36</v>
      </c>
      <c r="C14" s="211">
        <f t="shared" ref="C14:E14" si="15">+C26+C38+C50+C61+C72+C83+C94</f>
        <v>493134.38</v>
      </c>
      <c r="D14" s="211">
        <f t="shared" si="15"/>
        <v>-173187.79000000004</v>
      </c>
      <c r="E14" s="211">
        <f t="shared" si="15"/>
        <v>24869.7</v>
      </c>
      <c r="F14" s="211">
        <f t="shared" si="9"/>
        <v>844099.64999999991</v>
      </c>
      <c r="G14" s="211">
        <f t="shared" ref="G14" si="16">+G26+G38+G50+G61+G72+G83+G94</f>
        <v>234.27</v>
      </c>
    </row>
    <row r="15" spans="1:9" s="45" customFormat="1" x14ac:dyDescent="0.35">
      <c r="A15" s="29" t="s">
        <v>98</v>
      </c>
      <c r="B15" s="211">
        <f t="shared" ref="B15" si="17">SUM(B11:B14)</f>
        <v>5972530.4900000002</v>
      </c>
      <c r="C15" s="211">
        <f t="shared" ref="C15:E15" si="18">SUM(C11:C14)</f>
        <v>1183835.67</v>
      </c>
      <c r="D15" s="211">
        <f t="shared" si="18"/>
        <v>-789722.13</v>
      </c>
      <c r="E15" s="211">
        <f t="shared" si="18"/>
        <v>95907.180000000008</v>
      </c>
      <c r="F15" s="211">
        <f t="shared" ref="F15" si="19">SUM(F11:F14)</f>
        <v>6462551.2100000009</v>
      </c>
      <c r="G15" s="211">
        <f t="shared" ref="G15" si="20">SUM(G11:G14)</f>
        <v>-464.73</v>
      </c>
    </row>
    <row r="16" spans="1:9" s="45" customFormat="1" x14ac:dyDescent="0.35">
      <c r="E16" s="4"/>
    </row>
    <row r="17" spans="1:10" s="45" customFormat="1" x14ac:dyDescent="0.35">
      <c r="A17" s="19"/>
      <c r="B17" s="69"/>
      <c r="C17" s="69"/>
      <c r="D17" s="147"/>
    </row>
    <row r="18" spans="1:10" s="45" customFormat="1" x14ac:dyDescent="0.35">
      <c r="A18" s="235" t="s">
        <v>149</v>
      </c>
      <c r="B18" s="69"/>
      <c r="C18" s="69"/>
      <c r="D18" s="147"/>
    </row>
    <row r="19" spans="1:10" s="45" customFormat="1" x14ac:dyDescent="0.35">
      <c r="A19" s="19" t="s">
        <v>22</v>
      </c>
      <c r="B19" s="24">
        <v>3528190.07</v>
      </c>
      <c r="C19" s="24">
        <v>-1041427.6</v>
      </c>
      <c r="D19" s="24">
        <v>537465.77</v>
      </c>
      <c r="E19" s="24">
        <v>11386.11</v>
      </c>
      <c r="F19" s="211">
        <f>SUM(B19:E19)</f>
        <v>3035614.3499999996</v>
      </c>
      <c r="G19" s="211">
        <f>ROUND(F19/24*0,2)</f>
        <v>0</v>
      </c>
    </row>
    <row r="20" spans="1:10" s="45" customFormat="1" x14ac:dyDescent="0.35">
      <c r="A20" s="19" t="s">
        <v>23</v>
      </c>
      <c r="B20" s="210">
        <v>4826270.37</v>
      </c>
      <c r="C20" s="210">
        <v>288583.98</v>
      </c>
      <c r="D20" s="210">
        <v>662688.41</v>
      </c>
      <c r="E20" s="210">
        <v>41412.159999999996</v>
      </c>
      <c r="F20" s="211">
        <f>SUM(B20:E20)</f>
        <v>5818954.9199999999</v>
      </c>
      <c r="G20" s="211">
        <f>ROUND(F20/24*0,2)</f>
        <v>0</v>
      </c>
    </row>
    <row r="21" spans="1:10" s="45" customFormat="1" x14ac:dyDescent="0.35">
      <c r="A21" s="19" t="s">
        <v>3</v>
      </c>
      <c r="B21" s="211">
        <f t="shared" ref="B21:G21" si="21">SUM(B19:B20)</f>
        <v>8354460.4399999995</v>
      </c>
      <c r="C21" s="211">
        <f t="shared" si="21"/>
        <v>-752843.62</v>
      </c>
      <c r="D21" s="211">
        <f t="shared" si="21"/>
        <v>1200154.1800000002</v>
      </c>
      <c r="E21" s="211">
        <f t="shared" si="21"/>
        <v>52798.27</v>
      </c>
      <c r="F21" s="211">
        <f t="shared" si="21"/>
        <v>8854569.2699999996</v>
      </c>
      <c r="G21" s="211">
        <f t="shared" si="21"/>
        <v>0</v>
      </c>
    </row>
    <row r="22" spans="1:10" s="45" customFormat="1" x14ac:dyDescent="0.35">
      <c r="B22" s="208"/>
      <c r="C22" s="208"/>
      <c r="D22" s="209"/>
    </row>
    <row r="23" spans="1:10" x14ac:dyDescent="0.35">
      <c r="A23" s="19" t="s">
        <v>94</v>
      </c>
      <c r="B23" s="24">
        <v>674006.21</v>
      </c>
      <c r="C23" s="24">
        <v>-37272.29</v>
      </c>
      <c r="D23" s="24">
        <v>101225.02</v>
      </c>
      <c r="E23" s="210">
        <v>4637.5600000000004</v>
      </c>
      <c r="F23" s="211">
        <f t="shared" ref="F23:F26" si="22">SUM(B23:E23)</f>
        <v>742596.5</v>
      </c>
      <c r="G23" s="211">
        <f>ROUND(F23/24*0,2)</f>
        <v>0</v>
      </c>
      <c r="J23" s="45"/>
    </row>
    <row r="24" spans="1:10" x14ac:dyDescent="0.35">
      <c r="A24" s="19" t="s">
        <v>95</v>
      </c>
      <c r="B24" s="210">
        <v>1713084.19</v>
      </c>
      <c r="C24" s="210">
        <v>122147.33</v>
      </c>
      <c r="D24" s="210">
        <v>340699.47</v>
      </c>
      <c r="E24" s="210">
        <v>19663.03</v>
      </c>
      <c r="F24" s="211">
        <f t="shared" si="22"/>
        <v>2195594.02</v>
      </c>
      <c r="G24" s="211">
        <f>ROUND(F24/24*0,2)</f>
        <v>0</v>
      </c>
      <c r="J24" s="45"/>
    </row>
    <row r="25" spans="1:10" x14ac:dyDescent="0.35">
      <c r="A25" s="19" t="s">
        <v>96</v>
      </c>
      <c r="B25" s="24">
        <v>2024596.54</v>
      </c>
      <c r="C25" s="24">
        <v>169641.44</v>
      </c>
      <c r="D25" s="24">
        <v>191871.42</v>
      </c>
      <c r="E25" s="24">
        <v>15454.89</v>
      </c>
      <c r="F25" s="211">
        <f t="shared" si="22"/>
        <v>2401564.29</v>
      </c>
      <c r="G25" s="211">
        <f>ROUND(F25/24*0,2)</f>
        <v>0</v>
      </c>
      <c r="J25" s="45"/>
    </row>
    <row r="26" spans="1:10" x14ac:dyDescent="0.35">
      <c r="A26" s="19" t="s">
        <v>97</v>
      </c>
      <c r="B26" s="210">
        <v>414583.45</v>
      </c>
      <c r="C26" s="210">
        <v>34067.5</v>
      </c>
      <c r="D26" s="210">
        <v>28892.5</v>
      </c>
      <c r="E26" s="210">
        <v>1656.68</v>
      </c>
      <c r="F26" s="211">
        <f t="shared" si="22"/>
        <v>479200.13</v>
      </c>
      <c r="G26" s="211">
        <f>ROUND(F26/24*0,2)</f>
        <v>0</v>
      </c>
      <c r="J26" s="45"/>
    </row>
    <row r="27" spans="1:10" x14ac:dyDescent="0.35">
      <c r="A27" s="29" t="s">
        <v>98</v>
      </c>
      <c r="B27" s="211">
        <f>SUM(B23:B26)</f>
        <v>4826270.3899999997</v>
      </c>
      <c r="C27" s="211">
        <f>SUM(C23:C26)</f>
        <v>288583.98</v>
      </c>
      <c r="D27" s="211">
        <f t="shared" ref="D27:G27" si="23">SUM(D23:D26)</f>
        <v>662688.41</v>
      </c>
      <c r="E27" s="211">
        <f t="shared" si="23"/>
        <v>41412.159999999996</v>
      </c>
      <c r="F27" s="211">
        <f t="shared" si="23"/>
        <v>5818954.9400000004</v>
      </c>
      <c r="G27" s="211">
        <f t="shared" si="23"/>
        <v>0</v>
      </c>
      <c r="J27" s="45"/>
    </row>
    <row r="28" spans="1:10" x14ac:dyDescent="0.35">
      <c r="A28" s="45"/>
      <c r="B28" s="45"/>
      <c r="D28" s="45"/>
      <c r="E28" s="4"/>
      <c r="J28" s="45"/>
    </row>
    <row r="29" spans="1:10" s="45" customFormat="1" x14ac:dyDescent="0.35">
      <c r="E29" s="4"/>
    </row>
    <row r="30" spans="1:10" x14ac:dyDescent="0.35">
      <c r="A30" s="235" t="s">
        <v>150</v>
      </c>
      <c r="B30" s="45"/>
      <c r="D30" s="45"/>
      <c r="E30" s="45"/>
      <c r="J30" s="45"/>
    </row>
    <row r="31" spans="1:10" s="45" customFormat="1" x14ac:dyDescent="0.35">
      <c r="A31" s="19" t="s">
        <v>22</v>
      </c>
      <c r="B31" s="24">
        <v>1266045.8400000001</v>
      </c>
      <c r="C31" s="24">
        <v>-261684.95</v>
      </c>
      <c r="D31" s="24">
        <v>-1774297.12</v>
      </c>
      <c r="E31" s="24">
        <v>-89512.47</v>
      </c>
      <c r="F31" s="211">
        <f>SUM(B31:E31)</f>
        <v>-859448.7</v>
      </c>
      <c r="G31" s="211">
        <f>ROUND(F31/24*0,2)</f>
        <v>0</v>
      </c>
    </row>
    <row r="32" spans="1:10" s="45" customFormat="1" x14ac:dyDescent="0.35">
      <c r="A32" s="19" t="s">
        <v>23</v>
      </c>
      <c r="B32" s="210">
        <v>1146260.1000000001</v>
      </c>
      <c r="C32" s="210">
        <v>652330.12000000011</v>
      </c>
      <c r="D32" s="210">
        <v>-1070219.28</v>
      </c>
      <c r="E32" s="210">
        <v>60706.75</v>
      </c>
      <c r="F32" s="211">
        <f>SUM(B32:E32)</f>
        <v>789077.69000000018</v>
      </c>
      <c r="G32" s="211">
        <f>ROUND(F32/24*0,2)</f>
        <v>0</v>
      </c>
    </row>
    <row r="33" spans="1:17" s="45" customFormat="1" x14ac:dyDescent="0.35">
      <c r="A33" s="19" t="s">
        <v>3</v>
      </c>
      <c r="B33" s="211">
        <f t="shared" ref="B33:G33" si="24">SUM(B31:B32)</f>
        <v>2412305.9400000004</v>
      </c>
      <c r="C33" s="211">
        <f t="shared" si="24"/>
        <v>390645.1700000001</v>
      </c>
      <c r="D33" s="211">
        <f t="shared" si="24"/>
        <v>-2844516.4000000004</v>
      </c>
      <c r="E33" s="211">
        <f t="shared" si="24"/>
        <v>-28805.72</v>
      </c>
      <c r="F33" s="211">
        <f t="shared" si="24"/>
        <v>-70371.009999999776</v>
      </c>
      <c r="G33" s="211">
        <f t="shared" si="24"/>
        <v>0</v>
      </c>
    </row>
    <row r="34" spans="1:17" s="45" customFormat="1" x14ac:dyDescent="0.35">
      <c r="B34" s="208"/>
      <c r="C34" s="208"/>
      <c r="D34" s="209"/>
    </row>
    <row r="35" spans="1:17" s="45" customFormat="1" x14ac:dyDescent="0.35">
      <c r="A35" s="19" t="s">
        <v>94</v>
      </c>
      <c r="B35" s="24">
        <v>124816.68</v>
      </c>
      <c r="C35" s="24">
        <v>-31690.68</v>
      </c>
      <c r="D35" s="24">
        <v>-451100.9</v>
      </c>
      <c r="E35" s="210">
        <v>-6747.99</v>
      </c>
      <c r="F35" s="211">
        <f t="shared" ref="F35:F38" si="25">SUM(B35:E35)</f>
        <v>-364722.89</v>
      </c>
      <c r="G35" s="211">
        <f>ROUND(F35/24*0,2)</f>
        <v>0</v>
      </c>
    </row>
    <row r="36" spans="1:17" s="45" customFormat="1" x14ac:dyDescent="0.35">
      <c r="A36" s="19" t="s">
        <v>95</v>
      </c>
      <c r="B36" s="210">
        <v>390572.25</v>
      </c>
      <c r="C36" s="210">
        <v>243638.01</v>
      </c>
      <c r="D36" s="210">
        <v>-201296.23</v>
      </c>
      <c r="E36" s="210">
        <v>35332.660000000003</v>
      </c>
      <c r="F36" s="211">
        <f t="shared" si="25"/>
        <v>468246.69000000006</v>
      </c>
      <c r="G36" s="211">
        <f>ROUND(F36/24*0,2)</f>
        <v>0</v>
      </c>
    </row>
    <row r="37" spans="1:17" s="45" customFormat="1" x14ac:dyDescent="0.35">
      <c r="A37" s="19" t="s">
        <v>96</v>
      </c>
      <c r="B37" s="24">
        <v>546171.26</v>
      </c>
      <c r="C37" s="24">
        <v>104616.02</v>
      </c>
      <c r="D37" s="24">
        <v>-270192.05</v>
      </c>
      <c r="E37" s="24">
        <v>23076.27</v>
      </c>
      <c r="F37" s="211">
        <f t="shared" si="25"/>
        <v>403671.50000000006</v>
      </c>
      <c r="G37" s="211">
        <f>ROUND(F37/24*0,2)</f>
        <v>0</v>
      </c>
    </row>
    <row r="38" spans="1:17" s="45" customFormat="1" x14ac:dyDescent="0.35">
      <c r="A38" s="19" t="s">
        <v>97</v>
      </c>
      <c r="B38" s="210">
        <v>84699.91</v>
      </c>
      <c r="C38" s="210">
        <v>335766.77</v>
      </c>
      <c r="D38" s="210">
        <v>-147630.1</v>
      </c>
      <c r="E38" s="210">
        <v>9045.81</v>
      </c>
      <c r="F38" s="211">
        <f t="shared" si="25"/>
        <v>281882.39000000007</v>
      </c>
      <c r="G38" s="211">
        <f>ROUND(F38/24*0,2)</f>
        <v>0</v>
      </c>
    </row>
    <row r="39" spans="1:17" s="45" customFormat="1" x14ac:dyDescent="0.35">
      <c r="A39" s="29" t="s">
        <v>98</v>
      </c>
      <c r="B39" s="211">
        <f>SUM(B35:B38)</f>
        <v>1146260.0999999999</v>
      </c>
      <c r="C39" s="211">
        <f>SUM(C35:C38)</f>
        <v>652330.12000000011</v>
      </c>
      <c r="D39" s="211">
        <f t="shared" ref="D39:G39" si="26">SUM(D35:D38)</f>
        <v>-1070219.28</v>
      </c>
      <c r="E39" s="211">
        <f t="shared" si="26"/>
        <v>60706.75</v>
      </c>
      <c r="F39" s="211">
        <f t="shared" si="26"/>
        <v>789077.69000000018</v>
      </c>
      <c r="G39" s="211">
        <f t="shared" si="26"/>
        <v>0</v>
      </c>
    </row>
    <row r="40" spans="1:17" s="45" customFormat="1" x14ac:dyDescent="0.35">
      <c r="E40" s="4"/>
    </row>
    <row r="41" spans="1:17" x14ac:dyDescent="0.35">
      <c r="A41" s="45"/>
      <c r="B41" s="45"/>
      <c r="D41" s="45"/>
      <c r="E41" s="45"/>
      <c r="J41" s="45"/>
    </row>
    <row r="42" spans="1:17" s="45" customFormat="1" x14ac:dyDescent="0.35">
      <c r="A42" s="235" t="s">
        <v>151</v>
      </c>
      <c r="K42" s="283"/>
      <c r="L42" s="283"/>
      <c r="M42" s="283"/>
      <c r="N42" s="283"/>
      <c r="O42" s="283"/>
      <c r="P42" s="283"/>
      <c r="Q42" s="283"/>
    </row>
    <row r="43" spans="1:17" s="45" customFormat="1" x14ac:dyDescent="0.35">
      <c r="A43" s="19" t="s">
        <v>22</v>
      </c>
      <c r="B43" s="24">
        <v>0</v>
      </c>
      <c r="C43" s="24">
        <v>8894.23</v>
      </c>
      <c r="D43" s="24">
        <v>-668670.34</v>
      </c>
      <c r="E43" s="24">
        <v>-51414.78</v>
      </c>
      <c r="F43" s="211">
        <f>SUM(B43:E43)</f>
        <v>-711190.89</v>
      </c>
      <c r="G43" s="211">
        <f>ROUND(F43/24*0,2)</f>
        <v>0</v>
      </c>
      <c r="K43" s="284"/>
      <c r="L43" s="284"/>
    </row>
    <row r="44" spans="1:17" s="45" customFormat="1" x14ac:dyDescent="0.35">
      <c r="A44" s="19" t="s">
        <v>23</v>
      </c>
      <c r="B44" s="210">
        <v>0</v>
      </c>
      <c r="C44" s="210">
        <v>219063.11</v>
      </c>
      <c r="D44" s="210">
        <v>-354279.85</v>
      </c>
      <c r="E44" s="210">
        <v>10216.190000000002</v>
      </c>
      <c r="F44" s="211">
        <f>SUM(B44:E44)</f>
        <v>-125000.54999999999</v>
      </c>
      <c r="G44" s="211">
        <f>ROUND(F44/24*0,2)</f>
        <v>0</v>
      </c>
    </row>
    <row r="45" spans="1:17" s="45" customFormat="1" x14ac:dyDescent="0.35">
      <c r="A45" s="19" t="s">
        <v>3</v>
      </c>
      <c r="B45" s="211">
        <f t="shared" ref="B45:G45" si="27">SUM(B43:B44)</f>
        <v>0</v>
      </c>
      <c r="C45" s="211">
        <f t="shared" si="27"/>
        <v>227957.34</v>
      </c>
      <c r="D45" s="211">
        <f t="shared" si="27"/>
        <v>-1022950.19</v>
      </c>
      <c r="E45" s="211">
        <f t="shared" si="27"/>
        <v>-41198.589999999997</v>
      </c>
      <c r="F45" s="211">
        <f t="shared" si="27"/>
        <v>-836191.44</v>
      </c>
      <c r="G45" s="211">
        <f t="shared" si="27"/>
        <v>0</v>
      </c>
    </row>
    <row r="46" spans="1:17" s="45" customFormat="1" x14ac:dyDescent="0.35">
      <c r="B46" s="208"/>
      <c r="C46" s="208"/>
      <c r="D46" s="209"/>
    </row>
    <row r="47" spans="1:17" s="45" customFormat="1" x14ac:dyDescent="0.35">
      <c r="A47" s="19" t="s">
        <v>94</v>
      </c>
      <c r="B47" s="24">
        <v>0</v>
      </c>
      <c r="C47" s="24">
        <v>-10762.26</v>
      </c>
      <c r="D47" s="24">
        <v>-149794.82999999999</v>
      </c>
      <c r="E47" s="210">
        <v>-8503.82</v>
      </c>
      <c r="F47" s="211">
        <f t="shared" ref="F47:F50" si="28">SUM(B47:E47)</f>
        <v>-169060.91</v>
      </c>
      <c r="G47" s="211">
        <f>ROUND(F47/24*0,2)</f>
        <v>0</v>
      </c>
      <c r="K47" s="284"/>
      <c r="L47" s="284"/>
    </row>
    <row r="48" spans="1:17" s="45" customFormat="1" x14ac:dyDescent="0.35">
      <c r="A48" s="19" t="s">
        <v>95</v>
      </c>
      <c r="B48" s="210">
        <v>0</v>
      </c>
      <c r="C48" s="210">
        <v>81670.7</v>
      </c>
      <c r="D48" s="210">
        <v>-64576.77</v>
      </c>
      <c r="E48" s="210">
        <v>9912.11</v>
      </c>
      <c r="F48" s="211">
        <f t="shared" si="28"/>
        <v>27006.04</v>
      </c>
      <c r="G48" s="211">
        <f>ROUND(F48/24*0,2)</f>
        <v>0</v>
      </c>
      <c r="K48" s="284"/>
      <c r="L48" s="284"/>
    </row>
    <row r="49" spans="1:17" s="45" customFormat="1" x14ac:dyDescent="0.35">
      <c r="A49" s="19" t="s">
        <v>96</v>
      </c>
      <c r="B49" s="24">
        <v>0</v>
      </c>
      <c r="C49" s="24">
        <v>34542.74</v>
      </c>
      <c r="D49" s="24">
        <v>-89753.7</v>
      </c>
      <c r="E49" s="24">
        <v>3787.3</v>
      </c>
      <c r="F49" s="211">
        <f t="shared" si="28"/>
        <v>-51423.659999999996</v>
      </c>
      <c r="G49" s="211">
        <f>ROUND(F49/24*0,2)</f>
        <v>0</v>
      </c>
      <c r="K49" s="284"/>
      <c r="L49" s="284"/>
    </row>
    <row r="50" spans="1:17" s="45" customFormat="1" x14ac:dyDescent="0.35">
      <c r="A50" s="19" t="s">
        <v>97</v>
      </c>
      <c r="B50" s="210">
        <v>0</v>
      </c>
      <c r="C50" s="210">
        <v>113611.93</v>
      </c>
      <c r="D50" s="210">
        <v>-50154.55</v>
      </c>
      <c r="E50" s="210">
        <v>5020.6000000000004</v>
      </c>
      <c r="F50" s="211">
        <f t="shared" si="28"/>
        <v>68477.98</v>
      </c>
      <c r="G50" s="211">
        <f>ROUND(F50/24*0,2)</f>
        <v>0</v>
      </c>
      <c r="K50" s="284"/>
      <c r="L50" s="284"/>
    </row>
    <row r="51" spans="1:17" s="45" customFormat="1" x14ac:dyDescent="0.35">
      <c r="A51" s="29" t="s">
        <v>98</v>
      </c>
      <c r="B51" s="211">
        <f>SUM(B47:B50)</f>
        <v>0</v>
      </c>
      <c r="C51" s="211">
        <f>SUM(C47:C50)</f>
        <v>219063.11</v>
      </c>
      <c r="D51" s="211">
        <f t="shared" ref="D51:G51" si="29">SUM(D47:D50)</f>
        <v>-354279.85</v>
      </c>
      <c r="E51" s="211">
        <f t="shared" si="29"/>
        <v>10216.190000000002</v>
      </c>
      <c r="F51" s="211">
        <f t="shared" si="29"/>
        <v>-125000.55</v>
      </c>
      <c r="G51" s="211">
        <f t="shared" si="29"/>
        <v>0</v>
      </c>
    </row>
    <row r="52" spans="1:17" s="45" customFormat="1" x14ac:dyDescent="0.35">
      <c r="E52" s="4"/>
    </row>
    <row r="53" spans="1:17" s="45" customFormat="1" x14ac:dyDescent="0.35">
      <c r="A53" s="235" t="s">
        <v>152</v>
      </c>
    </row>
    <row r="54" spans="1:17" s="45" customFormat="1" x14ac:dyDescent="0.35">
      <c r="A54" s="19" t="s">
        <v>22</v>
      </c>
      <c r="B54" s="24">
        <v>0</v>
      </c>
      <c r="C54" s="24">
        <v>0</v>
      </c>
      <c r="D54" s="24">
        <v>0</v>
      </c>
      <c r="E54" s="24">
        <v>-46354.43</v>
      </c>
      <c r="F54" s="211">
        <f>SUM(B54:E54)</f>
        <v>-46354.43</v>
      </c>
      <c r="G54" s="211">
        <f>ROUND(F54/24*0,2)</f>
        <v>0</v>
      </c>
      <c r="K54" s="284"/>
      <c r="L54" s="284"/>
      <c r="M54" s="284"/>
      <c r="N54" s="284"/>
      <c r="O54" s="284"/>
      <c r="P54" s="284"/>
      <c r="Q54" s="284"/>
    </row>
    <row r="55" spans="1:17" s="45" customFormat="1" x14ac:dyDescent="0.35">
      <c r="A55" s="19" t="s">
        <v>23</v>
      </c>
      <c r="B55" s="210">
        <v>0</v>
      </c>
      <c r="C55" s="210">
        <f>SUM(C58:C61)</f>
        <v>0</v>
      </c>
      <c r="D55" s="210">
        <f t="shared" ref="D55:G55" si="30">SUM(D58:D61)</f>
        <v>0</v>
      </c>
      <c r="E55" s="210">
        <v>2949.1899999999991</v>
      </c>
      <c r="F55" s="211">
        <f>SUM(B55:E55)</f>
        <v>2949.1899999999991</v>
      </c>
      <c r="G55" s="211">
        <f t="shared" si="30"/>
        <v>0</v>
      </c>
    </row>
    <row r="56" spans="1:17" s="45" customFormat="1" x14ac:dyDescent="0.35">
      <c r="A56" s="19" t="s">
        <v>3</v>
      </c>
      <c r="B56" s="211">
        <f t="shared" ref="B56:G56" si="31">SUM(B54:B55)</f>
        <v>0</v>
      </c>
      <c r="C56" s="211">
        <f t="shared" si="31"/>
        <v>0</v>
      </c>
      <c r="D56" s="211">
        <f t="shared" si="31"/>
        <v>0</v>
      </c>
      <c r="E56" s="211">
        <f t="shared" si="31"/>
        <v>-43405.24</v>
      </c>
      <c r="F56" s="211">
        <f t="shared" si="31"/>
        <v>-43405.24</v>
      </c>
      <c r="G56" s="211">
        <f t="shared" si="31"/>
        <v>0</v>
      </c>
    </row>
    <row r="57" spans="1:17" s="45" customFormat="1" x14ac:dyDescent="0.35">
      <c r="B57" s="208"/>
      <c r="C57" s="208"/>
      <c r="D57" s="209"/>
    </row>
    <row r="58" spans="1:17" s="45" customFormat="1" x14ac:dyDescent="0.35">
      <c r="A58" s="19" t="s">
        <v>94</v>
      </c>
      <c r="B58" s="24">
        <v>0</v>
      </c>
      <c r="C58" s="24">
        <v>0</v>
      </c>
      <c r="D58" s="24">
        <v>0</v>
      </c>
      <c r="E58" s="210">
        <v>-8810.09</v>
      </c>
      <c r="F58" s="211">
        <f t="shared" ref="F58:F61" si="32">SUM(B58:E58)</f>
        <v>-8810.09</v>
      </c>
      <c r="G58" s="211">
        <f t="shared" ref="G58:G61" si="33">ROUND(F58/24*0,2)</f>
        <v>0</v>
      </c>
      <c r="K58" s="284"/>
      <c r="L58" s="284"/>
      <c r="M58" s="284"/>
      <c r="N58" s="284"/>
      <c r="O58" s="284"/>
      <c r="P58" s="284"/>
      <c r="Q58" s="284"/>
    </row>
    <row r="59" spans="1:17" s="45" customFormat="1" x14ac:dyDescent="0.35">
      <c r="A59" s="19" t="s">
        <v>95</v>
      </c>
      <c r="B59" s="210">
        <v>0</v>
      </c>
      <c r="C59" s="210">
        <v>0</v>
      </c>
      <c r="D59" s="210">
        <v>0</v>
      </c>
      <c r="E59" s="210">
        <v>6289.37</v>
      </c>
      <c r="F59" s="211">
        <f t="shared" si="32"/>
        <v>6289.37</v>
      </c>
      <c r="G59" s="211">
        <f t="shared" si="33"/>
        <v>0</v>
      </c>
      <c r="K59" s="284"/>
      <c r="L59" s="284"/>
      <c r="M59" s="284"/>
      <c r="N59" s="284"/>
      <c r="O59" s="284"/>
      <c r="P59" s="284"/>
      <c r="Q59" s="284"/>
    </row>
    <row r="60" spans="1:17" s="45" customFormat="1" x14ac:dyDescent="0.35">
      <c r="A60" s="19" t="s">
        <v>96</v>
      </c>
      <c r="B60" s="24">
        <v>0</v>
      </c>
      <c r="C60" s="24">
        <v>0</v>
      </c>
      <c r="D60" s="24">
        <v>0</v>
      </c>
      <c r="E60" s="24">
        <v>1003.18</v>
      </c>
      <c r="F60" s="211">
        <f t="shared" si="32"/>
        <v>1003.18</v>
      </c>
      <c r="G60" s="211">
        <f t="shared" si="33"/>
        <v>0</v>
      </c>
      <c r="K60" s="284"/>
      <c r="L60" s="284"/>
      <c r="M60" s="284"/>
      <c r="N60" s="284"/>
      <c r="O60" s="284"/>
      <c r="P60" s="284"/>
      <c r="Q60" s="284"/>
    </row>
    <row r="61" spans="1:17" s="45" customFormat="1" x14ac:dyDescent="0.35">
      <c r="A61" s="19" t="s">
        <v>97</v>
      </c>
      <c r="B61" s="210">
        <v>0</v>
      </c>
      <c r="C61" s="210">
        <v>0</v>
      </c>
      <c r="D61" s="210">
        <v>0</v>
      </c>
      <c r="E61" s="210">
        <v>4466.7299999999996</v>
      </c>
      <c r="F61" s="211">
        <f t="shared" si="32"/>
        <v>4466.7299999999996</v>
      </c>
      <c r="G61" s="211">
        <f t="shared" si="33"/>
        <v>0</v>
      </c>
      <c r="K61" s="284"/>
      <c r="L61" s="284"/>
      <c r="M61" s="284"/>
      <c r="N61" s="284"/>
      <c r="O61" s="284"/>
      <c r="P61" s="284"/>
      <c r="Q61" s="284"/>
    </row>
    <row r="62" spans="1:17" s="45" customFormat="1" x14ac:dyDescent="0.35">
      <c r="A62" s="29" t="s">
        <v>98</v>
      </c>
      <c r="B62" s="211">
        <f>SUM(B58:B61)</f>
        <v>0</v>
      </c>
      <c r="C62" s="211">
        <f>SUM(C58:C61)</f>
        <v>0</v>
      </c>
      <c r="D62" s="211">
        <f t="shared" ref="D62:G62" si="34">SUM(D58:D61)</f>
        <v>0</v>
      </c>
      <c r="E62" s="211">
        <f t="shared" si="34"/>
        <v>2949.1899999999991</v>
      </c>
      <c r="F62" s="211">
        <f t="shared" si="34"/>
        <v>2949.1899999999991</v>
      </c>
      <c r="G62" s="211">
        <f t="shared" si="34"/>
        <v>0</v>
      </c>
    </row>
    <row r="63" spans="1:17" s="45" customFormat="1" x14ac:dyDescent="0.35">
      <c r="E63" s="4"/>
    </row>
    <row r="64" spans="1:17" s="45" customFormat="1" x14ac:dyDescent="0.35">
      <c r="A64" s="235" t="s">
        <v>155</v>
      </c>
    </row>
    <row r="65" spans="1:17" s="45" customFormat="1" x14ac:dyDescent="0.35">
      <c r="A65" s="19" t="s">
        <v>22</v>
      </c>
      <c r="B65" s="24">
        <v>0</v>
      </c>
      <c r="C65" s="24">
        <v>0</v>
      </c>
      <c r="D65" s="24">
        <v>0</v>
      </c>
      <c r="E65" s="24">
        <v>-32712.49</v>
      </c>
      <c r="F65" s="211">
        <f>SUM(B65:E65)</f>
        <v>-32712.49</v>
      </c>
      <c r="G65" s="211">
        <f>ROUND(F65/24*0,2)</f>
        <v>0</v>
      </c>
      <c r="K65" s="284"/>
      <c r="L65" s="284"/>
      <c r="M65" s="284"/>
      <c r="N65" s="284"/>
      <c r="O65" s="284"/>
      <c r="P65" s="284"/>
      <c r="Q65" s="284"/>
    </row>
    <row r="66" spans="1:17" s="45" customFormat="1" x14ac:dyDescent="0.35">
      <c r="A66" s="19" t="s">
        <v>23</v>
      </c>
      <c r="B66" s="210">
        <v>0</v>
      </c>
      <c r="C66" s="210">
        <f>SUM(C69:C72)</f>
        <v>0</v>
      </c>
      <c r="D66" s="210">
        <f t="shared" ref="D66" si="35">SUM(D69:D72)</f>
        <v>0</v>
      </c>
      <c r="E66" s="210">
        <v>-4051.89</v>
      </c>
      <c r="F66" s="211">
        <f>SUM(B66:E66)</f>
        <v>-4051.89</v>
      </c>
      <c r="G66" s="211">
        <f t="shared" ref="G66" si="36">SUM(G69:G72)</f>
        <v>0</v>
      </c>
    </row>
    <row r="67" spans="1:17" s="45" customFormat="1" x14ac:dyDescent="0.35">
      <c r="A67" s="19" t="s">
        <v>3</v>
      </c>
      <c r="B67" s="211">
        <f t="shared" ref="B67:G67" si="37">SUM(B65:B66)</f>
        <v>0</v>
      </c>
      <c r="C67" s="211">
        <f t="shared" si="37"/>
        <v>0</v>
      </c>
      <c r="D67" s="211">
        <f t="shared" si="37"/>
        <v>0</v>
      </c>
      <c r="E67" s="211">
        <f t="shared" si="37"/>
        <v>-36764.380000000005</v>
      </c>
      <c r="F67" s="211">
        <f t="shared" si="37"/>
        <v>-36764.380000000005</v>
      </c>
      <c r="G67" s="211">
        <f t="shared" si="37"/>
        <v>0</v>
      </c>
    </row>
    <row r="68" spans="1:17" s="45" customFormat="1" x14ac:dyDescent="0.35">
      <c r="B68" s="208"/>
      <c r="C68" s="208"/>
      <c r="D68" s="209"/>
    </row>
    <row r="69" spans="1:17" s="45" customFormat="1" x14ac:dyDescent="0.35">
      <c r="A69" s="19" t="s">
        <v>94</v>
      </c>
      <c r="B69" s="24">
        <v>0</v>
      </c>
      <c r="C69" s="24">
        <v>0</v>
      </c>
      <c r="D69" s="24">
        <v>0</v>
      </c>
      <c r="E69" s="210">
        <v>-7422.34</v>
      </c>
      <c r="F69" s="211">
        <f t="shared" ref="F69:F72" si="38">SUM(B69:E69)</f>
        <v>-7422.34</v>
      </c>
      <c r="G69" s="211">
        <f>ROUND(F69/24*0,2)</f>
        <v>0</v>
      </c>
      <c r="K69" s="284"/>
      <c r="L69" s="284"/>
      <c r="M69" s="284"/>
      <c r="N69" s="284"/>
      <c r="O69" s="284"/>
      <c r="P69" s="284"/>
      <c r="Q69" s="284"/>
    </row>
    <row r="70" spans="1:17" s="45" customFormat="1" x14ac:dyDescent="0.35">
      <c r="A70" s="19" t="s">
        <v>95</v>
      </c>
      <c r="B70" s="210">
        <v>0</v>
      </c>
      <c r="C70" s="210">
        <v>0</v>
      </c>
      <c r="D70" s="210">
        <v>0</v>
      </c>
      <c r="E70" s="210">
        <v>1875.39</v>
      </c>
      <c r="F70" s="211">
        <f t="shared" si="38"/>
        <v>1875.39</v>
      </c>
      <c r="G70" s="211">
        <f t="shared" ref="G70:G72" si="39">ROUND(F70/24*0,2)</f>
        <v>0</v>
      </c>
      <c r="K70" s="284"/>
      <c r="L70" s="284"/>
      <c r="M70" s="284"/>
      <c r="N70" s="284"/>
      <c r="O70" s="284"/>
      <c r="P70" s="284"/>
      <c r="Q70" s="284"/>
    </row>
    <row r="71" spans="1:17" s="45" customFormat="1" x14ac:dyDescent="0.35">
      <c r="A71" s="19" t="s">
        <v>96</v>
      </c>
      <c r="B71" s="24">
        <v>0</v>
      </c>
      <c r="C71" s="24">
        <v>0</v>
      </c>
      <c r="D71" s="24">
        <v>0</v>
      </c>
      <c r="E71" s="24">
        <v>-1646.59</v>
      </c>
      <c r="F71" s="211">
        <f t="shared" si="38"/>
        <v>-1646.59</v>
      </c>
      <c r="G71" s="211">
        <f t="shared" si="39"/>
        <v>0</v>
      </c>
      <c r="K71" s="284"/>
      <c r="L71" s="284"/>
      <c r="M71" s="284"/>
      <c r="N71" s="284"/>
      <c r="O71" s="284"/>
      <c r="P71" s="284"/>
      <c r="Q71" s="284"/>
    </row>
    <row r="72" spans="1:17" s="45" customFormat="1" x14ac:dyDescent="0.35">
      <c r="A72" s="19" t="s">
        <v>97</v>
      </c>
      <c r="B72" s="210">
        <v>0</v>
      </c>
      <c r="C72" s="210">
        <v>0</v>
      </c>
      <c r="D72" s="210">
        <v>0</v>
      </c>
      <c r="E72" s="210">
        <v>3141.65</v>
      </c>
      <c r="F72" s="211">
        <f t="shared" si="38"/>
        <v>3141.65</v>
      </c>
      <c r="G72" s="211">
        <f t="shared" si="39"/>
        <v>0</v>
      </c>
      <c r="K72" s="284"/>
      <c r="L72" s="284"/>
      <c r="M72" s="284"/>
      <c r="N72" s="284"/>
      <c r="O72" s="284"/>
      <c r="P72" s="284"/>
      <c r="Q72" s="284"/>
    </row>
    <row r="73" spans="1:17" s="45" customFormat="1" x14ac:dyDescent="0.35">
      <c r="A73" s="29" t="s">
        <v>98</v>
      </c>
      <c r="B73" s="211">
        <f>SUM(B69:B72)</f>
        <v>0</v>
      </c>
      <c r="C73" s="211">
        <f>SUM(C69:C72)</f>
        <v>0</v>
      </c>
      <c r="D73" s="211">
        <f t="shared" ref="D73:G73" si="40">SUM(D69:D72)</f>
        <v>0</v>
      </c>
      <c r="E73" s="211">
        <f t="shared" si="40"/>
        <v>-4051.89</v>
      </c>
      <c r="F73" s="211">
        <f t="shared" si="40"/>
        <v>-4051.89</v>
      </c>
      <c r="G73" s="211">
        <f t="shared" si="40"/>
        <v>0</v>
      </c>
    </row>
    <row r="74" spans="1:17" s="45" customFormat="1" x14ac:dyDescent="0.35">
      <c r="E74" s="4"/>
    </row>
    <row r="75" spans="1:17" s="45" customFormat="1" ht="14.25" customHeight="1" x14ac:dyDescent="0.35">
      <c r="A75" s="235" t="s">
        <v>163</v>
      </c>
    </row>
    <row r="76" spans="1:17" s="45" customFormat="1" x14ac:dyDescent="0.35">
      <c r="A76" s="19" t="s">
        <v>22</v>
      </c>
      <c r="B76" s="24">
        <v>0</v>
      </c>
      <c r="C76" s="24">
        <v>0</v>
      </c>
      <c r="D76" s="24">
        <v>0</v>
      </c>
      <c r="E76" s="24">
        <v>-13938.6</v>
      </c>
      <c r="F76" s="211">
        <f>SUM(B76:E76)</f>
        <v>-13938.6</v>
      </c>
      <c r="G76" s="211">
        <f>ROUND(F76/24*0,2)</f>
        <v>0</v>
      </c>
      <c r="K76" s="284"/>
      <c r="L76" s="284"/>
      <c r="M76" s="284"/>
      <c r="N76" s="284"/>
      <c r="O76" s="284"/>
      <c r="P76" s="284"/>
      <c r="Q76" s="284"/>
    </row>
    <row r="77" spans="1:17" s="45" customFormat="1" x14ac:dyDescent="0.35">
      <c r="A77" s="19" t="s">
        <v>23</v>
      </c>
      <c r="B77" s="210">
        <v>0</v>
      </c>
      <c r="C77" s="210">
        <f>SUM(C80:C83)</f>
        <v>0</v>
      </c>
      <c r="D77" s="210">
        <f t="shared" ref="D77" si="41">SUM(D80:D83)</f>
        <v>0</v>
      </c>
      <c r="E77" s="210">
        <v>-8224.73</v>
      </c>
      <c r="F77" s="211">
        <f>SUM(B77:E77)</f>
        <v>-8224.73</v>
      </c>
      <c r="G77" s="211">
        <f t="shared" ref="G77" si="42">SUM(G80:G83)</f>
        <v>0</v>
      </c>
    </row>
    <row r="78" spans="1:17" s="45" customFormat="1" x14ac:dyDescent="0.35">
      <c r="A78" s="19" t="s">
        <v>3</v>
      </c>
      <c r="B78" s="211">
        <f t="shared" ref="B78:G78" si="43">SUM(B76:B77)</f>
        <v>0</v>
      </c>
      <c r="C78" s="211">
        <f t="shared" si="43"/>
        <v>0</v>
      </c>
      <c r="D78" s="211">
        <f t="shared" si="43"/>
        <v>0</v>
      </c>
      <c r="E78" s="211">
        <f t="shared" si="43"/>
        <v>-22163.33</v>
      </c>
      <c r="F78" s="211">
        <f t="shared" si="43"/>
        <v>-22163.33</v>
      </c>
      <c r="G78" s="211">
        <f t="shared" si="43"/>
        <v>0</v>
      </c>
    </row>
    <row r="79" spans="1:17" s="45" customFormat="1" x14ac:dyDescent="0.35">
      <c r="B79" s="208"/>
      <c r="C79" s="208"/>
      <c r="D79" s="209"/>
    </row>
    <row r="80" spans="1:17" s="45" customFormat="1" x14ac:dyDescent="0.35">
      <c r="A80" s="19" t="s">
        <v>94</v>
      </c>
      <c r="B80" s="24">
        <v>0</v>
      </c>
      <c r="C80" s="24">
        <v>0</v>
      </c>
      <c r="D80" s="24">
        <v>0</v>
      </c>
      <c r="E80" s="210">
        <v>-4401.96</v>
      </c>
      <c r="F80" s="211">
        <f t="shared" ref="F80:F83" si="44">SUM(B80:E80)</f>
        <v>-4401.96</v>
      </c>
      <c r="G80" s="211">
        <f>ROUND(F80/24*0,2)</f>
        <v>0</v>
      </c>
      <c r="K80" s="284"/>
      <c r="L80" s="284"/>
      <c r="M80" s="284"/>
      <c r="N80" s="284"/>
      <c r="O80" s="284"/>
      <c r="P80" s="284"/>
      <c r="Q80" s="284"/>
    </row>
    <row r="81" spans="1:17" s="45" customFormat="1" x14ac:dyDescent="0.35">
      <c r="A81" s="19" t="s">
        <v>95</v>
      </c>
      <c r="B81" s="210">
        <v>0</v>
      </c>
      <c r="C81" s="210">
        <v>0</v>
      </c>
      <c r="D81" s="210">
        <v>0</v>
      </c>
      <c r="E81" s="210">
        <v>-1933.52</v>
      </c>
      <c r="F81" s="211">
        <f t="shared" si="44"/>
        <v>-1933.52</v>
      </c>
      <c r="G81" s="211">
        <f t="shared" ref="G81:G83" si="45">ROUND(F81/24*0,2)</f>
        <v>0</v>
      </c>
      <c r="K81" s="284"/>
      <c r="L81" s="284"/>
      <c r="M81" s="284"/>
      <c r="N81" s="284"/>
      <c r="O81" s="284"/>
      <c r="P81" s="284"/>
      <c r="Q81" s="284"/>
    </row>
    <row r="82" spans="1:17" s="45" customFormat="1" x14ac:dyDescent="0.35">
      <c r="A82" s="19" t="s">
        <v>96</v>
      </c>
      <c r="B82" s="24">
        <v>0</v>
      </c>
      <c r="C82" s="24">
        <v>0</v>
      </c>
      <c r="D82" s="24">
        <v>0</v>
      </c>
      <c r="E82" s="24">
        <v>-3197.51</v>
      </c>
      <c r="F82" s="211">
        <f t="shared" si="44"/>
        <v>-3197.51</v>
      </c>
      <c r="G82" s="211">
        <f t="shared" si="45"/>
        <v>0</v>
      </c>
      <c r="K82" s="284"/>
      <c r="L82" s="284"/>
      <c r="M82" s="284"/>
      <c r="N82" s="284"/>
      <c r="O82" s="284"/>
      <c r="P82" s="284"/>
      <c r="Q82" s="284"/>
    </row>
    <row r="83" spans="1:17" s="45" customFormat="1" x14ac:dyDescent="0.35">
      <c r="A83" s="19" t="s">
        <v>97</v>
      </c>
      <c r="B83" s="210">
        <v>0</v>
      </c>
      <c r="C83" s="210">
        <v>0</v>
      </c>
      <c r="D83" s="210">
        <v>0</v>
      </c>
      <c r="E83" s="210">
        <v>1308.26</v>
      </c>
      <c r="F83" s="211">
        <f t="shared" si="44"/>
        <v>1308.26</v>
      </c>
      <c r="G83" s="211">
        <f t="shared" si="45"/>
        <v>0</v>
      </c>
      <c r="K83" s="284"/>
      <c r="L83" s="284"/>
      <c r="M83" s="284"/>
      <c r="N83" s="284"/>
      <c r="O83" s="284"/>
      <c r="P83" s="284"/>
      <c r="Q83" s="284"/>
    </row>
    <row r="84" spans="1:17" s="45" customFormat="1" x14ac:dyDescent="0.35">
      <c r="A84" s="29" t="s">
        <v>98</v>
      </c>
      <c r="B84" s="211">
        <f>SUM(B80:B83)</f>
        <v>0</v>
      </c>
      <c r="C84" s="211">
        <f>SUM(C80:C83)</f>
        <v>0</v>
      </c>
      <c r="D84" s="211">
        <f t="shared" ref="D84:G84" si="46">SUM(D80:D83)</f>
        <v>0</v>
      </c>
      <c r="E84" s="211">
        <f t="shared" si="46"/>
        <v>-8224.73</v>
      </c>
      <c r="F84" s="211">
        <f t="shared" si="46"/>
        <v>-8224.73</v>
      </c>
      <c r="G84" s="211">
        <f t="shared" si="46"/>
        <v>0</v>
      </c>
    </row>
    <row r="85" spans="1:17" s="45" customFormat="1" x14ac:dyDescent="0.35">
      <c r="E85" s="4"/>
    </row>
    <row r="86" spans="1:17" s="45" customFormat="1" ht="14.25" customHeight="1" x14ac:dyDescent="0.35">
      <c r="A86" s="273" t="s">
        <v>167</v>
      </c>
      <c r="H86" s="38"/>
      <c r="K86" s="284"/>
      <c r="L86" s="284"/>
      <c r="M86" s="284"/>
      <c r="N86" s="284"/>
      <c r="O86" s="284"/>
    </row>
    <row r="87" spans="1:17" s="45" customFormat="1" x14ac:dyDescent="0.35">
      <c r="A87" s="19" t="s">
        <v>22</v>
      </c>
      <c r="B87" s="24">
        <v>0</v>
      </c>
      <c r="C87" s="24">
        <v>36065.919999999998</v>
      </c>
      <c r="D87" s="24">
        <v>-61464.7</v>
      </c>
      <c r="E87" s="24">
        <v>-4088.89</v>
      </c>
      <c r="F87" s="211">
        <f>SUM(B87:E87)</f>
        <v>-29487.67</v>
      </c>
      <c r="G87" s="211">
        <f>ROUND(F87/24*1,2)</f>
        <v>-1228.6500000000001</v>
      </c>
      <c r="H87" s="38"/>
      <c r="K87" s="284"/>
      <c r="L87" s="284"/>
      <c r="M87" s="284"/>
      <c r="N87" s="284"/>
      <c r="O87" s="284"/>
      <c r="P87" s="284"/>
      <c r="Q87" s="284"/>
    </row>
    <row r="88" spans="1:17" s="45" customFormat="1" x14ac:dyDescent="0.35">
      <c r="A88" s="19" t="s">
        <v>23</v>
      </c>
      <c r="B88" s="210">
        <v>0</v>
      </c>
      <c r="C88" s="210">
        <v>23858.46</v>
      </c>
      <c r="D88" s="210">
        <v>-27911.409999999996</v>
      </c>
      <c r="E88" s="210">
        <v>-7100.4899999999989</v>
      </c>
      <c r="F88" s="211">
        <f>SUM(B88:E88)</f>
        <v>-11153.439999999995</v>
      </c>
      <c r="G88" s="211">
        <f t="shared" ref="G88" si="47">SUM(G91:G94)</f>
        <v>-464.73</v>
      </c>
      <c r="H88" s="38"/>
    </row>
    <row r="89" spans="1:17" s="45" customFormat="1" x14ac:dyDescent="0.35">
      <c r="A89" s="19" t="s">
        <v>3</v>
      </c>
      <c r="B89" s="211">
        <v>0</v>
      </c>
      <c r="C89" s="211">
        <v>59924.38</v>
      </c>
      <c r="D89" s="211">
        <v>-89376.109999999986</v>
      </c>
      <c r="E89" s="211">
        <v>-11189.38</v>
      </c>
      <c r="F89" s="211">
        <f t="shared" ref="F89:G89" si="48">SUM(F87:F88)</f>
        <v>-40641.109999999993</v>
      </c>
      <c r="G89" s="211">
        <f t="shared" si="48"/>
        <v>-1693.38</v>
      </c>
      <c r="H89" s="38"/>
    </row>
    <row r="90" spans="1:17" s="45" customFormat="1" x14ac:dyDescent="0.35">
      <c r="B90" s="208"/>
      <c r="C90" s="208"/>
      <c r="D90" s="209"/>
      <c r="H90" s="38"/>
    </row>
    <row r="91" spans="1:17" s="45" customFormat="1" x14ac:dyDescent="0.35">
      <c r="A91" s="19" t="s">
        <v>94</v>
      </c>
      <c r="B91" s="24">
        <v>0</v>
      </c>
      <c r="C91" s="24">
        <v>496.58</v>
      </c>
      <c r="D91" s="24">
        <v>-11885.85</v>
      </c>
      <c r="E91" s="210">
        <v>-1963.49</v>
      </c>
      <c r="F91" s="211">
        <f t="shared" ref="F91:F94" si="49">SUM(B91:E91)</f>
        <v>-13352.76</v>
      </c>
      <c r="G91" s="211">
        <f>ROUND(F91/24*1,2)</f>
        <v>-556.37</v>
      </c>
      <c r="H91" s="38"/>
      <c r="K91" s="284"/>
      <c r="L91" s="284"/>
      <c r="M91" s="284"/>
      <c r="N91" s="284"/>
      <c r="O91" s="284"/>
      <c r="P91" s="284"/>
      <c r="Q91" s="284"/>
    </row>
    <row r="92" spans="1:17" s="45" customFormat="1" x14ac:dyDescent="0.35">
      <c r="A92" s="19" t="s">
        <v>95</v>
      </c>
      <c r="B92" s="210">
        <v>0</v>
      </c>
      <c r="C92" s="210">
        <v>9401.91</v>
      </c>
      <c r="D92" s="210">
        <v>-5085</v>
      </c>
      <c r="E92" s="210">
        <v>-2647.33</v>
      </c>
      <c r="F92" s="211">
        <f t="shared" si="49"/>
        <v>1669.58</v>
      </c>
      <c r="G92" s="211">
        <f>ROUND(F92/24*1,2)</f>
        <v>69.569999999999993</v>
      </c>
      <c r="H92" s="38"/>
      <c r="K92" s="284"/>
      <c r="L92" s="284"/>
      <c r="M92" s="284"/>
      <c r="N92" s="284"/>
      <c r="O92" s="284"/>
      <c r="P92" s="284"/>
      <c r="Q92" s="284"/>
    </row>
    <row r="93" spans="1:17" s="45" customFormat="1" x14ac:dyDescent="0.35">
      <c r="A93" s="19" t="s">
        <v>96</v>
      </c>
      <c r="B93" s="24">
        <v>0</v>
      </c>
      <c r="C93" s="24">
        <v>4271.79</v>
      </c>
      <c r="D93" s="24">
        <v>-6644.92</v>
      </c>
      <c r="E93" s="24">
        <v>-2719.64</v>
      </c>
      <c r="F93" s="211">
        <f t="shared" si="49"/>
        <v>-5092.7700000000004</v>
      </c>
      <c r="G93" s="211">
        <f>ROUND(F93/24*1,2)</f>
        <v>-212.2</v>
      </c>
      <c r="H93" s="38"/>
      <c r="K93" s="284"/>
      <c r="L93" s="284"/>
      <c r="M93" s="284"/>
      <c r="N93" s="284"/>
      <c r="O93" s="284"/>
      <c r="P93" s="284"/>
      <c r="Q93" s="284"/>
    </row>
    <row r="94" spans="1:17" s="45" customFormat="1" x14ac:dyDescent="0.35">
      <c r="A94" s="19" t="s">
        <v>97</v>
      </c>
      <c r="B94" s="210">
        <v>0</v>
      </c>
      <c r="C94" s="210">
        <v>9688.18</v>
      </c>
      <c r="D94" s="210">
        <v>-4295.6400000000003</v>
      </c>
      <c r="E94" s="210">
        <v>229.97</v>
      </c>
      <c r="F94" s="211">
        <f t="shared" si="49"/>
        <v>5622.51</v>
      </c>
      <c r="G94" s="211">
        <f>ROUND(F94/24*1,2)</f>
        <v>234.27</v>
      </c>
      <c r="H94" s="38"/>
      <c r="K94" s="284"/>
      <c r="L94" s="284"/>
      <c r="M94" s="284"/>
      <c r="N94" s="284"/>
      <c r="O94" s="284"/>
      <c r="P94" s="284"/>
      <c r="Q94" s="284"/>
    </row>
    <row r="95" spans="1:17" s="45" customFormat="1" x14ac:dyDescent="0.35">
      <c r="A95" s="29" t="s">
        <v>98</v>
      </c>
      <c r="B95" s="211">
        <v>0</v>
      </c>
      <c r="C95" s="211">
        <v>23858.46</v>
      </c>
      <c r="D95" s="211">
        <v>-27911.409999999996</v>
      </c>
      <c r="E95" s="211">
        <v>-7100.4899999999989</v>
      </c>
      <c r="F95" s="211">
        <f t="shared" ref="F95:G95" si="50">SUM(F91:F94)</f>
        <v>-11153.44</v>
      </c>
      <c r="G95" s="211">
        <f t="shared" si="50"/>
        <v>-464.73</v>
      </c>
      <c r="H95" s="38"/>
    </row>
    <row r="96" spans="1:17" s="45" customFormat="1" x14ac:dyDescent="0.35">
      <c r="E96" s="4"/>
      <c r="H96" s="38"/>
      <c r="J96" s="284"/>
      <c r="K96" s="284"/>
      <c r="L96" s="284"/>
      <c r="M96" s="284"/>
      <c r="N96" s="284"/>
      <c r="O96" s="284"/>
      <c r="P96" s="284"/>
      <c r="Q96" s="284"/>
    </row>
    <row r="97" spans="1:14" x14ac:dyDescent="0.35">
      <c r="A97" s="45"/>
      <c r="B97" s="45"/>
      <c r="D97" s="45"/>
      <c r="E97" s="45"/>
    </row>
    <row r="98" spans="1:14" x14ac:dyDescent="0.35">
      <c r="A98" s="52" t="s">
        <v>9</v>
      </c>
      <c r="B98" s="45"/>
      <c r="D98" s="45"/>
      <c r="E98" s="45"/>
    </row>
    <row r="99" spans="1:14" x14ac:dyDescent="0.35">
      <c r="A99" s="62" t="s">
        <v>143</v>
      </c>
      <c r="B99" s="45"/>
      <c r="D99" s="45"/>
      <c r="E99" s="45"/>
    </row>
    <row r="100" spans="1:14" s="45" customFormat="1" x14ac:dyDescent="0.35">
      <c r="A100" s="62" t="s">
        <v>204</v>
      </c>
    </row>
    <row r="101" spans="1:14" s="45" customFormat="1" x14ac:dyDescent="0.35">
      <c r="A101" s="62" t="s">
        <v>205</v>
      </c>
    </row>
    <row r="102" spans="1:14" x14ac:dyDescent="0.35">
      <c r="A102" s="62" t="s">
        <v>206</v>
      </c>
      <c r="B102" s="45"/>
      <c r="D102" s="45"/>
      <c r="E102" s="45"/>
    </row>
    <row r="103" spans="1:14" s="45" customFormat="1" x14ac:dyDescent="0.35">
      <c r="A103" s="3" t="s">
        <v>144</v>
      </c>
    </row>
    <row r="104" spans="1:14" ht="61.5" customHeight="1" x14ac:dyDescent="0.35">
      <c r="A104" s="351" t="s">
        <v>261</v>
      </c>
      <c r="B104" s="351"/>
      <c r="C104" s="351"/>
      <c r="D104" s="351"/>
      <c r="E104" s="351"/>
      <c r="F104" s="351"/>
      <c r="G104" s="351"/>
      <c r="H104" s="351"/>
      <c r="I104" s="351"/>
      <c r="J104" s="351"/>
      <c r="K104" s="351"/>
      <c r="N104" s="45"/>
    </row>
  </sheetData>
  <autoFilter ref="A4:Q104" xr:uid="{00000000-0001-0000-0800-000000000000}"/>
  <mergeCells count="2">
    <mergeCell ref="B3:D3"/>
    <mergeCell ref="A104:K104"/>
  </mergeCells>
  <pageMargins left="0.2" right="0.2" top="0.75" bottom="0.25" header="0.3" footer="0.3"/>
  <pageSetup scale="32"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codeName="Sheet18">
    <pageSetUpPr fitToPage="1"/>
  </sheetPr>
  <dimension ref="A1:Q156"/>
  <sheetViews>
    <sheetView zoomScale="85" zoomScaleNormal="85" workbookViewId="0">
      <pane xSplit="1" ySplit="4" topLeftCell="B5" activePane="bottomRight" state="frozen"/>
      <selection activeCell="A2" sqref="A2"/>
      <selection pane="topRight" activeCell="A2" sqref="A2"/>
      <selection pane="bottomLeft" activeCell="A2" sqref="A2"/>
      <selection pane="bottomRight" activeCell="B5" sqref="B5"/>
    </sheetView>
  </sheetViews>
  <sheetFormatPr defaultColWidth="8.7265625" defaultRowHeight="14.5" x14ac:dyDescent="0.35"/>
  <cols>
    <col min="1" max="1" width="22.453125" style="45" customWidth="1"/>
    <col min="2" max="2" width="15.26953125" style="45" bestFit="1" customWidth="1"/>
    <col min="3" max="3" width="14.26953125" style="45" customWidth="1"/>
    <col min="4" max="4" width="13.26953125" style="45" bestFit="1" customWidth="1"/>
    <col min="5" max="5" width="13.453125" style="45" bestFit="1" customWidth="1"/>
    <col min="6" max="6" width="11.54296875" style="45" bestFit="1" customWidth="1"/>
    <col min="7" max="7" width="13.1796875" style="45" customWidth="1"/>
    <col min="8" max="9" width="8.7265625" style="45"/>
    <col min="10" max="10" width="9.453125" style="45" bestFit="1" customWidth="1"/>
    <col min="11" max="11" width="8.7265625" style="45"/>
    <col min="12" max="12" width="11.54296875" style="45" bestFit="1" customWidth="1"/>
    <col min="13" max="13" width="10.7265625" style="45" bestFit="1" customWidth="1"/>
    <col min="14" max="14" width="9.7265625" style="45" bestFit="1" customWidth="1"/>
    <col min="15" max="15" width="12.26953125" style="45" bestFit="1" customWidth="1"/>
    <col min="16" max="16" width="11.54296875" style="45" bestFit="1" customWidth="1"/>
    <col min="17" max="17" width="10" style="45" bestFit="1" customWidth="1"/>
    <col min="18" max="16384" width="8.7265625" style="45"/>
  </cols>
  <sheetData>
    <row r="1" spans="1:8" x14ac:dyDescent="0.35">
      <c r="A1" s="62" t="str">
        <f>+'PTD Cycle 3'!A1</f>
        <v>Evergy Metro, Inc. - DSIM Rider Update Filed 06/02/2025</v>
      </c>
    </row>
    <row r="2" spans="1:8" x14ac:dyDescent="0.35">
      <c r="A2" s="8" t="str">
        <f>+'PTD Cycle 3'!A2</f>
        <v>Projections for Cycle 3 July 2025 - June 2026 DSIM</v>
      </c>
    </row>
    <row r="3" spans="1:8" ht="45.75" customHeight="1" x14ac:dyDescent="0.35">
      <c r="B3" s="349" t="s">
        <v>147</v>
      </c>
      <c r="C3" s="349"/>
      <c r="D3" s="349"/>
    </row>
    <row r="4" spans="1:8" ht="87" x14ac:dyDescent="0.35">
      <c r="B4" s="69" t="s">
        <v>87</v>
      </c>
      <c r="C4" s="69" t="s">
        <v>88</v>
      </c>
      <c r="D4" s="69" t="s">
        <v>91</v>
      </c>
      <c r="E4" s="69" t="s">
        <v>89</v>
      </c>
      <c r="F4" s="69" t="s">
        <v>86</v>
      </c>
      <c r="G4" s="69" t="s">
        <v>148</v>
      </c>
      <c r="H4" s="38"/>
    </row>
    <row r="5" spans="1:8" x14ac:dyDescent="0.35">
      <c r="B5" s="69"/>
      <c r="C5" s="69"/>
      <c r="D5" s="69"/>
      <c r="E5" s="69"/>
      <c r="F5" s="69"/>
      <c r="G5" s="69"/>
      <c r="H5" s="38"/>
    </row>
    <row r="6" spans="1:8" x14ac:dyDescent="0.35">
      <c r="A6" s="235" t="s">
        <v>146</v>
      </c>
      <c r="B6" s="69"/>
      <c r="C6" s="69"/>
      <c r="D6" s="148"/>
      <c r="H6" s="38"/>
    </row>
    <row r="7" spans="1:8" x14ac:dyDescent="0.35">
      <c r="A7" s="19" t="s">
        <v>22</v>
      </c>
      <c r="B7" s="211">
        <f>SUMIFS(B$16:B$150,$A$16:$A$150,$A7)</f>
        <v>6307412.8100000005</v>
      </c>
      <c r="C7" s="211">
        <f>SUMIFS(C$16:C$150,$A$16:$A$150,$A7)</f>
        <v>-210939.5199999999</v>
      </c>
      <c r="D7" s="211">
        <f>SUMIFS(D$16:D$150,$A$16:$A$150,$A7)</f>
        <v>-1143303.53</v>
      </c>
      <c r="E7" s="301">
        <f>SUMIFS(E$16:E$150,$A$16:$A$150,$A7)</f>
        <v>-155266.30000000002</v>
      </c>
      <c r="F7" s="211">
        <f>SUM(B7:E7)</f>
        <v>4797903.4600000009</v>
      </c>
      <c r="G7" s="211">
        <f>SUMIFS(G$16:G$150,$A$16:$A$150,$A7)</f>
        <v>1076852</v>
      </c>
      <c r="H7" s="38"/>
    </row>
    <row r="8" spans="1:8" x14ac:dyDescent="0.35">
      <c r="A8" s="19" t="s">
        <v>23</v>
      </c>
      <c r="B8" s="211">
        <f>SUM(B11:B14)</f>
        <v>4787805.72</v>
      </c>
      <c r="C8" s="211">
        <f t="shared" ref="C8:E8" si="0">SUM(C11:C14)</f>
        <v>194490.71000000002</v>
      </c>
      <c r="D8" s="211">
        <f t="shared" si="0"/>
        <v>-142860.17000000004</v>
      </c>
      <c r="E8" s="301">
        <f t="shared" si="0"/>
        <v>10559.37</v>
      </c>
      <c r="F8" s="211">
        <f>SUM(B8:E8)</f>
        <v>4849995.63</v>
      </c>
      <c r="G8" s="211">
        <f t="shared" ref="G8" si="1">SUM(G11:G14)</f>
        <v>1043117.26</v>
      </c>
      <c r="H8" s="38"/>
    </row>
    <row r="9" spans="1:8" x14ac:dyDescent="0.35">
      <c r="A9" s="19" t="s">
        <v>3</v>
      </c>
      <c r="B9" s="211">
        <f t="shared" ref="B9:E9" si="2">SUM(B7:B8)</f>
        <v>11095218.530000001</v>
      </c>
      <c r="C9" s="211">
        <f t="shared" si="2"/>
        <v>-16448.809999999881</v>
      </c>
      <c r="D9" s="211">
        <f t="shared" si="2"/>
        <v>-1286163.7000000002</v>
      </c>
      <c r="E9" s="301">
        <f t="shared" si="2"/>
        <v>-144706.93000000002</v>
      </c>
      <c r="F9" s="211">
        <f t="shared" ref="F9" si="3">SUM(F7:F8)</f>
        <v>9647899.0899999999</v>
      </c>
      <c r="G9" s="211">
        <f t="shared" ref="G9" si="4">SUM(G7:G8)</f>
        <v>2119969.2599999998</v>
      </c>
      <c r="H9" s="38"/>
    </row>
    <row r="10" spans="1:8" x14ac:dyDescent="0.35">
      <c r="E10" s="302"/>
      <c r="H10" s="38"/>
    </row>
    <row r="11" spans="1:8" x14ac:dyDescent="0.35">
      <c r="A11" s="19" t="s">
        <v>94</v>
      </c>
      <c r="B11" s="211">
        <f t="shared" ref="B11:E14" si="5">SUMIFS(B$16:B$150,$A$16:$A$150,$A11)</f>
        <v>728738.59</v>
      </c>
      <c r="C11" s="211">
        <f t="shared" si="5"/>
        <v>47776.840000000011</v>
      </c>
      <c r="D11" s="211">
        <f t="shared" si="5"/>
        <v>-40639.740000000005</v>
      </c>
      <c r="E11" s="301">
        <f t="shared" si="5"/>
        <v>185.22999999999993</v>
      </c>
      <c r="F11" s="211">
        <f t="shared" ref="F11:F14" si="6">SUM(B11:E11)</f>
        <v>736060.91999999993</v>
      </c>
      <c r="G11" s="211">
        <f>SUMIFS(G$16:G$150,$A$16:$A$150,$A11)</f>
        <v>246372.13</v>
      </c>
      <c r="H11" s="38"/>
    </row>
    <row r="12" spans="1:8" x14ac:dyDescent="0.35">
      <c r="A12" s="19" t="s">
        <v>95</v>
      </c>
      <c r="B12" s="211">
        <f t="shared" si="5"/>
        <v>1512813.07</v>
      </c>
      <c r="C12" s="211">
        <f t="shared" si="5"/>
        <v>28391.65000000002</v>
      </c>
      <c r="D12" s="211">
        <f t="shared" si="5"/>
        <v>-47101.170000000013</v>
      </c>
      <c r="E12" s="301">
        <f t="shared" si="5"/>
        <v>2010.2900000000002</v>
      </c>
      <c r="F12" s="211">
        <f t="shared" si="6"/>
        <v>1496113.84</v>
      </c>
      <c r="G12" s="211">
        <f>SUMIFS(G$16:G$150,$A$16:$A$150,$A12)</f>
        <v>399473.61</v>
      </c>
      <c r="H12" s="38"/>
    </row>
    <row r="13" spans="1:8" x14ac:dyDescent="0.35">
      <c r="A13" s="19" t="s">
        <v>96</v>
      </c>
      <c r="B13" s="211">
        <f t="shared" si="5"/>
        <v>2171630.63</v>
      </c>
      <c r="C13" s="211">
        <f t="shared" si="5"/>
        <v>103025.15999999999</v>
      </c>
      <c r="D13" s="211">
        <f t="shared" si="5"/>
        <v>-53297.030000000006</v>
      </c>
      <c r="E13" s="301">
        <f t="shared" si="5"/>
        <v>6515.6100000000006</v>
      </c>
      <c r="F13" s="211">
        <f t="shared" si="6"/>
        <v>2227874.37</v>
      </c>
      <c r="G13" s="211">
        <f>SUMIFS(G$16:G$150,$A$16:$A$150,$A13)</f>
        <v>332740.02</v>
      </c>
      <c r="H13" s="38"/>
    </row>
    <row r="14" spans="1:8" x14ac:dyDescent="0.35">
      <c r="A14" s="19" t="s">
        <v>97</v>
      </c>
      <c r="B14" s="211">
        <f t="shared" si="5"/>
        <v>374623.43</v>
      </c>
      <c r="C14" s="211">
        <f t="shared" si="5"/>
        <v>15297.059999999998</v>
      </c>
      <c r="D14" s="211">
        <f t="shared" si="5"/>
        <v>-1822.23</v>
      </c>
      <c r="E14" s="301">
        <f t="shared" si="5"/>
        <v>1848.2399999999998</v>
      </c>
      <c r="F14" s="211">
        <f t="shared" si="6"/>
        <v>389946.5</v>
      </c>
      <c r="G14" s="211">
        <f>SUMIFS(G$16:G$150,$A$16:$A$150,$A14)</f>
        <v>64531.5</v>
      </c>
      <c r="H14" s="38"/>
    </row>
    <row r="15" spans="1:8" x14ac:dyDescent="0.35">
      <c r="A15" s="29" t="s">
        <v>98</v>
      </c>
      <c r="B15" s="211">
        <f t="shared" ref="B15:E15" si="7">SUM(B11:B14)</f>
        <v>4787805.72</v>
      </c>
      <c r="C15" s="211">
        <f t="shared" si="7"/>
        <v>194490.71000000002</v>
      </c>
      <c r="D15" s="211">
        <f t="shared" si="7"/>
        <v>-142860.17000000004</v>
      </c>
      <c r="E15" s="301">
        <f t="shared" si="7"/>
        <v>10559.37</v>
      </c>
      <c r="F15" s="211">
        <f t="shared" ref="F15" si="8">SUM(F11:F14)</f>
        <v>4849995.63</v>
      </c>
      <c r="G15" s="211">
        <f t="shared" ref="G15" si="9">SUM(G11:G14)</f>
        <v>1043117.26</v>
      </c>
      <c r="H15" s="38"/>
    </row>
    <row r="16" spans="1:8" x14ac:dyDescent="0.35">
      <c r="E16" s="302"/>
      <c r="H16" s="38"/>
    </row>
    <row r="17" spans="1:11" x14ac:dyDescent="0.35">
      <c r="A17" s="19"/>
      <c r="B17" s="69"/>
      <c r="C17" s="69"/>
      <c r="D17" s="147"/>
      <c r="E17" s="302"/>
      <c r="H17" s="38"/>
    </row>
    <row r="18" spans="1:11" x14ac:dyDescent="0.35">
      <c r="A18" s="235" t="s">
        <v>153</v>
      </c>
      <c r="B18" s="69"/>
      <c r="C18" s="69"/>
      <c r="D18" s="147"/>
      <c r="E18" s="302"/>
      <c r="H18" s="38"/>
    </row>
    <row r="19" spans="1:11" x14ac:dyDescent="0.35">
      <c r="A19" s="19" t="s">
        <v>22</v>
      </c>
      <c r="B19" s="24">
        <f>ROUND('[19]EO Matrix @Meter'!$R$20,2)</f>
        <v>1163217.68</v>
      </c>
      <c r="C19" s="24">
        <f>ROUND(SUM('[20]Ex Post Gross TD Calc'!$E$571:$Z$571),2)</f>
        <v>331067.99</v>
      </c>
      <c r="D19" s="24">
        <f>ROUND(SUM('[20]NTG TD Calc'!$E$436:$Z$436),2)</f>
        <v>-686548</v>
      </c>
      <c r="E19" s="303">
        <f>ROUND(SUM('[20]EO TD Carrying Costs'!$C$55:$X$55),2)</f>
        <v>-17626.7</v>
      </c>
      <c r="F19" s="211">
        <f>SUM(B19:E19)</f>
        <v>790110.97</v>
      </c>
      <c r="G19" s="211">
        <f>ROUND(F19/12*0,2)</f>
        <v>0</v>
      </c>
      <c r="H19" s="38"/>
    </row>
    <row r="20" spans="1:11" x14ac:dyDescent="0.35">
      <c r="A20" s="19" t="s">
        <v>23</v>
      </c>
      <c r="B20" s="210">
        <f>ROUND(SUM(B23:B26),2)</f>
        <v>923233.23</v>
      </c>
      <c r="C20" s="210">
        <f>SUM(C23:C26)</f>
        <v>137591.55000000002</v>
      </c>
      <c r="D20" s="210">
        <f t="shared" ref="D20:G20" si="10">SUM(D23:D26)</f>
        <v>-89366.98</v>
      </c>
      <c r="E20" s="304">
        <f t="shared" si="10"/>
        <v>2905.83</v>
      </c>
      <c r="F20" s="211">
        <f>SUM(B20:E20)</f>
        <v>974363.63</v>
      </c>
      <c r="G20" s="211">
        <f t="shared" si="10"/>
        <v>0</v>
      </c>
      <c r="H20" s="38"/>
    </row>
    <row r="21" spans="1:11" x14ac:dyDescent="0.35">
      <c r="A21" s="19" t="s">
        <v>3</v>
      </c>
      <c r="B21" s="211">
        <f t="shared" ref="B21:G21" si="11">SUM(B19:B20)</f>
        <v>2086450.91</v>
      </c>
      <c r="C21" s="211">
        <f t="shared" si="11"/>
        <v>468659.54000000004</v>
      </c>
      <c r="D21" s="211">
        <f t="shared" si="11"/>
        <v>-775914.98</v>
      </c>
      <c r="E21" s="301">
        <f t="shared" si="11"/>
        <v>-14720.87</v>
      </c>
      <c r="F21" s="211">
        <f t="shared" si="11"/>
        <v>1764474.6</v>
      </c>
      <c r="G21" s="211">
        <f t="shared" si="11"/>
        <v>0</v>
      </c>
      <c r="H21" s="38"/>
    </row>
    <row r="22" spans="1:11" x14ac:dyDescent="0.35">
      <c r="B22" s="208"/>
      <c r="C22" s="208"/>
      <c r="D22" s="209"/>
      <c r="E22" s="302"/>
      <c r="H22" s="38"/>
    </row>
    <row r="23" spans="1:11" x14ac:dyDescent="0.35">
      <c r="A23" s="19" t="s">
        <v>94</v>
      </c>
      <c r="B23" s="24">
        <f>ROUND('[19]EO Matrix @Meter'!$V$20,2)</f>
        <v>89861.64</v>
      </c>
      <c r="C23" s="24">
        <f>ROUND(SUM('[20]Ex Post Gross TD Calc'!$E$572:$Z$572),2)</f>
        <v>30571.68</v>
      </c>
      <c r="D23" s="24">
        <f>ROUND(SUM('[20]NTG TD Calc'!$E$437:$Z$437),2)</f>
        <v>-25048.27</v>
      </c>
      <c r="E23" s="304">
        <f>ROUND(SUM('[20]EO TD Carrying Costs'!$C$56:$X$56),2)</f>
        <v>150.27000000000001</v>
      </c>
      <c r="F23" s="211">
        <f t="shared" ref="F23:F26" si="12">SUM(B23:E23)</f>
        <v>95535.32</v>
      </c>
      <c r="G23" s="211">
        <f>ROUND(F23/12*0,2)</f>
        <v>0</v>
      </c>
      <c r="H23" s="38"/>
    </row>
    <row r="24" spans="1:11" x14ac:dyDescent="0.35">
      <c r="A24" s="19" t="s">
        <v>95</v>
      </c>
      <c r="B24" s="210">
        <f>ROUND('[19]EO Matrix @Meter'!$W$20,2)</f>
        <v>329114.67</v>
      </c>
      <c r="C24" s="210">
        <f>ROUND(SUM('[20]Ex Post Gross TD Calc'!$E$573:$Z$573),2)</f>
        <v>56526.62</v>
      </c>
      <c r="D24" s="210">
        <f>ROUND(SUM('[20]NTG TD Calc'!$E$438:$Z$438),2)</f>
        <v>-39695.9</v>
      </c>
      <c r="E24" s="304">
        <f>ROUND(SUM('[20]EO TD Carrying Costs'!$C$57:$X$57),2)</f>
        <v>964.19</v>
      </c>
      <c r="F24" s="211">
        <f t="shared" si="12"/>
        <v>346909.57999999996</v>
      </c>
      <c r="G24" s="211">
        <f t="shared" ref="G24:G26" si="13">ROUND(F24/12*0,2)</f>
        <v>0</v>
      </c>
      <c r="H24" s="38"/>
    </row>
    <row r="25" spans="1:11" x14ac:dyDescent="0.35">
      <c r="A25" s="19" t="s">
        <v>96</v>
      </c>
      <c r="B25" s="24">
        <f>ROUND('[19]EO Matrix @Meter'!$X$20,2)</f>
        <v>441576.37</v>
      </c>
      <c r="C25" s="24">
        <f>ROUND(SUM('[20]Ex Post Gross TD Calc'!$E$574:$Z$574),2)</f>
        <v>44928.09</v>
      </c>
      <c r="D25" s="24">
        <f>ROUND(SUM('[20]NTG TD Calc'!$E$439:$Z$439),2)</f>
        <v>-23708.22</v>
      </c>
      <c r="E25" s="303">
        <f>ROUND(SUM('[20]EO TD Carrying Costs'!$C$58:$X$58),2)</f>
        <v>1389.19</v>
      </c>
      <c r="F25" s="211">
        <f t="shared" si="12"/>
        <v>464185.43</v>
      </c>
      <c r="G25" s="211">
        <f t="shared" si="13"/>
        <v>0</v>
      </c>
      <c r="H25" s="38"/>
    </row>
    <row r="26" spans="1:11" x14ac:dyDescent="0.35">
      <c r="A26" s="19" t="s">
        <v>97</v>
      </c>
      <c r="B26" s="210">
        <f>ROUND('[19]EO Matrix @Meter'!$Y$20,2)</f>
        <v>62680.55</v>
      </c>
      <c r="C26" s="210">
        <f>ROUND(SUM('[20]Ex Post Gross TD Calc'!$E$575:$Z$575),2)</f>
        <v>5565.16</v>
      </c>
      <c r="D26" s="210">
        <f>ROUND(SUM('[20]NTG TD Calc'!$E$440:$Z$440),2)</f>
        <v>-914.59</v>
      </c>
      <c r="E26" s="304">
        <f>ROUND(SUM('[20]EO TD Carrying Costs'!$C$59:$X$59),2)</f>
        <v>402.18</v>
      </c>
      <c r="F26" s="211">
        <f t="shared" si="12"/>
        <v>67733.3</v>
      </c>
      <c r="G26" s="211">
        <f t="shared" si="13"/>
        <v>0</v>
      </c>
      <c r="H26" s="38"/>
    </row>
    <row r="27" spans="1:11" x14ac:dyDescent="0.35">
      <c r="A27" s="29" t="s">
        <v>98</v>
      </c>
      <c r="B27" s="211">
        <f>SUM(B23:B26)</f>
        <v>923233.23</v>
      </c>
      <c r="C27" s="211">
        <f>SUM(C23:C26)</f>
        <v>137591.55000000002</v>
      </c>
      <c r="D27" s="211">
        <f t="shared" ref="D27:G27" si="14">SUM(D23:D26)</f>
        <v>-89366.98</v>
      </c>
      <c r="E27" s="301">
        <f t="shared" si="14"/>
        <v>2905.83</v>
      </c>
      <c r="F27" s="211">
        <f t="shared" si="14"/>
        <v>974363.63</v>
      </c>
      <c r="G27" s="211">
        <f t="shared" si="14"/>
        <v>0</v>
      </c>
      <c r="H27" s="38"/>
    </row>
    <row r="28" spans="1:11" x14ac:dyDescent="0.35">
      <c r="E28" s="302"/>
      <c r="H28" s="38"/>
    </row>
    <row r="29" spans="1:11" x14ac:dyDescent="0.35">
      <c r="E29" s="302"/>
      <c r="H29" s="38"/>
    </row>
    <row r="30" spans="1:11" x14ac:dyDescent="0.35">
      <c r="A30" s="235" t="s">
        <v>156</v>
      </c>
      <c r="E30" s="302"/>
      <c r="H30" s="38"/>
      <c r="J30" s="283"/>
      <c r="K30" s="283"/>
    </row>
    <row r="31" spans="1:11" x14ac:dyDescent="0.35">
      <c r="A31" s="19" t="s">
        <v>22</v>
      </c>
      <c r="B31" s="24">
        <f>ROUND(0,2)</f>
        <v>0</v>
      </c>
      <c r="C31" s="24">
        <f>ROUND(SUM('[20]Ex Post Gross TD Calc'!$AA$571:$AF$571),2)</f>
        <v>121182.9</v>
      </c>
      <c r="D31" s="24">
        <f>ROUND(SUM('[20]NTG TD Calc'!$AA$436:$AF$436),2)</f>
        <v>-87029.97</v>
      </c>
      <c r="E31" s="303">
        <f>ROUND(SUM('[20]EO TD Carrying Costs'!$Y$55:$AD$55),2)</f>
        <v>-12821.55</v>
      </c>
      <c r="F31" s="211">
        <f>SUM(B31:E31)</f>
        <v>21331.379999999994</v>
      </c>
      <c r="G31" s="211">
        <f>ROUND(F31/12*0,2)</f>
        <v>0</v>
      </c>
      <c r="H31" s="38"/>
      <c r="J31" s="284"/>
      <c r="K31" s="284"/>
    </row>
    <row r="32" spans="1:11" x14ac:dyDescent="0.35">
      <c r="A32" s="19" t="s">
        <v>23</v>
      </c>
      <c r="B32" s="210">
        <f>SUM(B35:B38)</f>
        <v>0</v>
      </c>
      <c r="C32" s="210">
        <f>SUM(C35:C38)</f>
        <v>37872.939999999995</v>
      </c>
      <c r="D32" s="210">
        <f t="shared" ref="D32:E32" si="15">SUM(D35:D38)</f>
        <v>-10592.6</v>
      </c>
      <c r="E32" s="304">
        <f t="shared" si="15"/>
        <v>2081.9299999999998</v>
      </c>
      <c r="F32" s="211">
        <f>SUM(B32:E32)</f>
        <v>29362.269999999997</v>
      </c>
      <c r="G32" s="211">
        <f>ROUND(F32/12*0,2)</f>
        <v>0</v>
      </c>
      <c r="H32" s="38"/>
    </row>
    <row r="33" spans="1:11" x14ac:dyDescent="0.35">
      <c r="A33" s="19" t="s">
        <v>3</v>
      </c>
      <c r="B33" s="211">
        <f t="shared" ref="B33:G33" si="16">SUM(B31:B32)</f>
        <v>0</v>
      </c>
      <c r="C33" s="211">
        <f t="shared" si="16"/>
        <v>159055.84</v>
      </c>
      <c r="D33" s="211">
        <f t="shared" si="16"/>
        <v>-97622.57</v>
      </c>
      <c r="E33" s="301">
        <f t="shared" si="16"/>
        <v>-10739.619999999999</v>
      </c>
      <c r="F33" s="211">
        <f t="shared" si="16"/>
        <v>50693.649999999994</v>
      </c>
      <c r="G33" s="211">
        <f t="shared" si="16"/>
        <v>0</v>
      </c>
      <c r="H33" s="38"/>
    </row>
    <row r="34" spans="1:11" x14ac:dyDescent="0.35">
      <c r="B34" s="208"/>
      <c r="C34" s="208"/>
      <c r="D34" s="209"/>
      <c r="E34" s="302"/>
      <c r="H34" s="38"/>
    </row>
    <row r="35" spans="1:11" x14ac:dyDescent="0.35">
      <c r="A35" s="19" t="s">
        <v>94</v>
      </c>
      <c r="B35" s="24">
        <f>ROUND(0,2)</f>
        <v>0</v>
      </c>
      <c r="C35" s="24">
        <f>ROUND(SUM('[20]Ex Post Gross TD Calc'!$AA572:$AF572),2)</f>
        <v>7589.27</v>
      </c>
      <c r="D35" s="24">
        <f>ROUND(SUM('[20]NTG TD Calc'!$AA437:$AF437),2)</f>
        <v>-2344.38</v>
      </c>
      <c r="E35" s="304">
        <f>ROUND(SUM('[20]EO TD Carrying Costs'!$Y56:$AD56),2)</f>
        <v>256.27999999999997</v>
      </c>
      <c r="F35" s="211">
        <f t="shared" ref="F35:F38" si="17">SUM(B35:E35)</f>
        <v>5501.17</v>
      </c>
      <c r="G35" s="211">
        <f>ROUND(F35/12*0,2)</f>
        <v>0</v>
      </c>
      <c r="H35" s="38"/>
      <c r="J35" s="284"/>
      <c r="K35" s="284"/>
    </row>
    <row r="36" spans="1:11" x14ac:dyDescent="0.35">
      <c r="A36" s="19" t="s">
        <v>95</v>
      </c>
      <c r="B36" s="210">
        <f>ROUND(0,2)</f>
        <v>0</v>
      </c>
      <c r="C36" s="210">
        <f>ROUND(SUM('[20]Ex Post Gross TD Calc'!$AA573:$AF573),2)</f>
        <v>17892.060000000001</v>
      </c>
      <c r="D36" s="210">
        <f>ROUND(SUM('[20]NTG TD Calc'!$AA438:$AF438),2)</f>
        <v>-5102.96</v>
      </c>
      <c r="E36" s="304">
        <f>ROUND(SUM('[20]EO TD Carrying Costs'!$Y57:$AD57),2)</f>
        <v>766.86</v>
      </c>
      <c r="F36" s="211">
        <f t="shared" si="17"/>
        <v>13555.960000000003</v>
      </c>
      <c r="G36" s="211">
        <f t="shared" ref="G36:G38" si="18">ROUND(F36/12*0,2)</f>
        <v>0</v>
      </c>
      <c r="H36" s="38"/>
      <c r="J36" s="284"/>
      <c r="K36" s="284"/>
    </row>
    <row r="37" spans="1:11" x14ac:dyDescent="0.35">
      <c r="A37" s="19" t="s">
        <v>96</v>
      </c>
      <c r="B37" s="24">
        <f>ROUND(0,2)</f>
        <v>0</v>
      </c>
      <c r="C37" s="24">
        <f>ROUND(SUM('[20]Ex Post Gross TD Calc'!$AA574:$AF574),2)</f>
        <v>11918.09</v>
      </c>
      <c r="D37" s="24">
        <f>ROUND(SUM('[20]NTG TD Calc'!$AA439:$AF439),2)</f>
        <v>-2977.22</v>
      </c>
      <c r="E37" s="303">
        <f>ROUND(SUM('[20]EO TD Carrying Costs'!$Y58:$AD58),2)</f>
        <v>884.23</v>
      </c>
      <c r="F37" s="211">
        <f t="shared" si="17"/>
        <v>9825.1</v>
      </c>
      <c r="G37" s="211">
        <f t="shared" si="18"/>
        <v>0</v>
      </c>
      <c r="H37" s="38"/>
      <c r="J37" s="284"/>
      <c r="K37" s="284"/>
    </row>
    <row r="38" spans="1:11" x14ac:dyDescent="0.35">
      <c r="A38" s="19" t="s">
        <v>97</v>
      </c>
      <c r="B38" s="210">
        <f>ROUND(0,2)</f>
        <v>0</v>
      </c>
      <c r="C38" s="210">
        <f>ROUND(SUM('[20]Ex Post Gross TD Calc'!$AA575:$AF575),2)</f>
        <v>473.52</v>
      </c>
      <c r="D38" s="210">
        <f>ROUND(SUM('[20]NTG TD Calc'!$AA440:$AF440),2)</f>
        <v>-168.04</v>
      </c>
      <c r="E38" s="304">
        <f>ROUND(SUM('[20]EO TD Carrying Costs'!$Y59:$AD59),2)</f>
        <v>174.56</v>
      </c>
      <c r="F38" s="211">
        <f t="shared" si="17"/>
        <v>480.04</v>
      </c>
      <c r="G38" s="211">
        <f t="shared" si="18"/>
        <v>0</v>
      </c>
      <c r="H38" s="38"/>
      <c r="J38" s="284"/>
      <c r="K38" s="284"/>
    </row>
    <row r="39" spans="1:11" x14ac:dyDescent="0.35">
      <c r="A39" s="29" t="s">
        <v>98</v>
      </c>
      <c r="B39" s="211">
        <f>SUM(B35:B38)</f>
        <v>0</v>
      </c>
      <c r="C39" s="211">
        <f>SUM(C35:C38)</f>
        <v>37872.939999999995</v>
      </c>
      <c r="D39" s="211">
        <f t="shared" ref="D39:G39" si="19">SUM(D35:D38)</f>
        <v>-10592.6</v>
      </c>
      <c r="E39" s="301">
        <f t="shared" si="19"/>
        <v>2081.9299999999998</v>
      </c>
      <c r="F39" s="211">
        <f t="shared" si="19"/>
        <v>29362.270000000004</v>
      </c>
      <c r="G39" s="211">
        <f t="shared" si="19"/>
        <v>0</v>
      </c>
      <c r="H39" s="38"/>
    </row>
    <row r="40" spans="1:11" x14ac:dyDescent="0.35">
      <c r="E40" s="302"/>
      <c r="H40" s="38"/>
    </row>
    <row r="41" spans="1:11" x14ac:dyDescent="0.35">
      <c r="E41" s="302"/>
      <c r="H41" s="38"/>
    </row>
    <row r="42" spans="1:11" x14ac:dyDescent="0.35">
      <c r="A42" s="235" t="s">
        <v>164</v>
      </c>
      <c r="E42" s="302"/>
      <c r="H42" s="38"/>
      <c r="J42" s="283"/>
      <c r="K42" s="283"/>
    </row>
    <row r="43" spans="1:11" x14ac:dyDescent="0.35">
      <c r="A43" s="19" t="s">
        <v>22</v>
      </c>
      <c r="B43" s="24">
        <f>ROUND(0,2)</f>
        <v>0</v>
      </c>
      <c r="C43" s="24">
        <f>ROUND(SUM('[20]Ex Post Gross TD Calc'!$AG$571:$AM$571),2)</f>
        <v>137657.76</v>
      </c>
      <c r="D43" s="24">
        <f>ROUND(SUM('[20]NTG TD Calc'!$AG$436:$AM$436),2)</f>
        <v>0.03</v>
      </c>
      <c r="E43" s="303">
        <f>ROUND(SUM('[20]EO TD Carrying Costs'!$AE$55:$AI$55),2)</f>
        <v>-8083.49</v>
      </c>
      <c r="F43" s="211">
        <f>SUM(B43:E43)</f>
        <v>129574.3</v>
      </c>
      <c r="G43" s="211">
        <f>ROUND(F43/12*0,2)</f>
        <v>0</v>
      </c>
      <c r="H43" s="38"/>
      <c r="J43" s="284"/>
      <c r="K43" s="284"/>
    </row>
    <row r="44" spans="1:11" x14ac:dyDescent="0.35">
      <c r="A44" s="19" t="s">
        <v>23</v>
      </c>
      <c r="B44" s="210">
        <f>SUM(B47:B50)</f>
        <v>0</v>
      </c>
      <c r="C44" s="210">
        <f>SUM(C47:C50)</f>
        <v>59053.65</v>
      </c>
      <c r="D44" s="210">
        <f t="shared" ref="D44:E44" si="20">SUM(D47:D50)</f>
        <v>0.01</v>
      </c>
      <c r="E44" s="304">
        <f t="shared" si="20"/>
        <v>2774.88</v>
      </c>
      <c r="F44" s="211">
        <f>SUM(B44:E44)</f>
        <v>61828.54</v>
      </c>
      <c r="G44" s="211">
        <f>ROUND(F44/12*0,2)</f>
        <v>0</v>
      </c>
      <c r="H44" s="38"/>
    </row>
    <row r="45" spans="1:11" x14ac:dyDescent="0.35">
      <c r="A45" s="19" t="s">
        <v>3</v>
      </c>
      <c r="B45" s="211">
        <f t="shared" ref="B45:G45" si="21">SUM(B43:B44)</f>
        <v>0</v>
      </c>
      <c r="C45" s="211">
        <f t="shared" si="21"/>
        <v>196711.41</v>
      </c>
      <c r="D45" s="211">
        <f t="shared" si="21"/>
        <v>0.04</v>
      </c>
      <c r="E45" s="301">
        <f t="shared" si="21"/>
        <v>-5308.61</v>
      </c>
      <c r="F45" s="211">
        <f t="shared" si="21"/>
        <v>191402.84</v>
      </c>
      <c r="G45" s="211">
        <f t="shared" si="21"/>
        <v>0</v>
      </c>
      <c r="H45" s="38"/>
    </row>
    <row r="46" spans="1:11" x14ac:dyDescent="0.35">
      <c r="B46" s="208"/>
      <c r="C46" s="208"/>
      <c r="D46" s="209"/>
      <c r="E46" s="302"/>
      <c r="H46" s="38"/>
    </row>
    <row r="47" spans="1:11" x14ac:dyDescent="0.35">
      <c r="A47" s="19" t="s">
        <v>94</v>
      </c>
      <c r="B47" s="24">
        <f>ROUND(0,2)</f>
        <v>0</v>
      </c>
      <c r="C47" s="24">
        <f>ROUND(SUM('[20]Ex Post Gross TD Calc'!$AG572:$AM572),2)</f>
        <v>13769.16</v>
      </c>
      <c r="D47" s="24">
        <f>ROUND(SUM('[20]NTG TD Calc'!$AG437:$AM437),2)</f>
        <v>0.02</v>
      </c>
      <c r="E47" s="304">
        <f>ROUND(SUM('[20]EO TD Carrying Costs'!$AE56:$AI56),2)</f>
        <v>443.83</v>
      </c>
      <c r="F47" s="211">
        <f t="shared" ref="F47:F50" si="22">SUM(B47:E47)</f>
        <v>14213.01</v>
      </c>
      <c r="G47" s="211">
        <f t="shared" ref="G47:G50" si="23">ROUND(F47/12*0,2)</f>
        <v>0</v>
      </c>
      <c r="H47" s="38"/>
      <c r="J47" s="284"/>
      <c r="K47" s="284"/>
    </row>
    <row r="48" spans="1:11" x14ac:dyDescent="0.35">
      <c r="A48" s="19" t="s">
        <v>95</v>
      </c>
      <c r="B48" s="210">
        <f>ROUND(0,2)</f>
        <v>0</v>
      </c>
      <c r="C48" s="210">
        <f>ROUND(SUM('[20]Ex Post Gross TD Calc'!$AG573:$AM573),2)</f>
        <v>26875.279999999999</v>
      </c>
      <c r="D48" s="210">
        <f>ROUND(SUM('[20]NTG TD Calc'!$AG438:$AM438),2)</f>
        <v>0</v>
      </c>
      <c r="E48" s="304">
        <f>ROUND(SUM('[20]EO TD Carrying Costs'!$AE57:$AI57),2)</f>
        <v>1119.3900000000001</v>
      </c>
      <c r="F48" s="211">
        <f t="shared" si="22"/>
        <v>27994.67</v>
      </c>
      <c r="G48" s="211">
        <f t="shared" si="23"/>
        <v>0</v>
      </c>
      <c r="H48" s="38"/>
      <c r="J48" s="284"/>
      <c r="K48" s="284"/>
    </row>
    <row r="49" spans="1:11" x14ac:dyDescent="0.35">
      <c r="A49" s="19" t="s">
        <v>96</v>
      </c>
      <c r="B49" s="24">
        <f>ROUND(0,2)</f>
        <v>0</v>
      </c>
      <c r="C49" s="24">
        <f>ROUND(SUM('[20]Ex Post Gross TD Calc'!$AG574:$AM574),2)</f>
        <v>17796.580000000002</v>
      </c>
      <c r="D49" s="24">
        <f>ROUND(SUM('[20]NTG TD Calc'!$AG439:$AM439),2)</f>
        <v>-0.02</v>
      </c>
      <c r="E49" s="304">
        <f>ROUND(SUM('[20]EO TD Carrying Costs'!$AE58:$AI58),2)</f>
        <v>1056.42</v>
      </c>
      <c r="F49" s="211">
        <f t="shared" si="22"/>
        <v>18852.980000000003</v>
      </c>
      <c r="G49" s="211">
        <f t="shared" si="23"/>
        <v>0</v>
      </c>
      <c r="H49" s="38"/>
      <c r="J49" s="284"/>
      <c r="K49" s="284"/>
    </row>
    <row r="50" spans="1:11" x14ac:dyDescent="0.35">
      <c r="A50" s="19" t="s">
        <v>97</v>
      </c>
      <c r="B50" s="210">
        <f>ROUND(0,2)</f>
        <v>0</v>
      </c>
      <c r="C50" s="210">
        <f>ROUND(SUM('[20]Ex Post Gross TD Calc'!$AG575:$AM575),2)</f>
        <v>612.63</v>
      </c>
      <c r="D50" s="210">
        <f>ROUND(SUM('[20]NTG TD Calc'!$AG440:$AM440),2)</f>
        <v>0.01</v>
      </c>
      <c r="E50" s="304">
        <f>ROUND(SUM('[20]EO TD Carrying Costs'!$AE59:$AI59),2)</f>
        <v>155.24</v>
      </c>
      <c r="F50" s="211">
        <f t="shared" si="22"/>
        <v>767.88</v>
      </c>
      <c r="G50" s="211">
        <f t="shared" si="23"/>
        <v>0</v>
      </c>
      <c r="H50" s="38"/>
      <c r="J50" s="284"/>
      <c r="K50" s="284"/>
    </row>
    <row r="51" spans="1:11" x14ac:dyDescent="0.35">
      <c r="A51" s="29" t="s">
        <v>98</v>
      </c>
      <c r="B51" s="211">
        <f>SUM(B47:B50)</f>
        <v>0</v>
      </c>
      <c r="C51" s="211">
        <f>SUM(C47:C50)</f>
        <v>59053.65</v>
      </c>
      <c r="D51" s="211">
        <f t="shared" ref="D51:G51" si="24">SUM(D47:D50)</f>
        <v>0.01</v>
      </c>
      <c r="E51" s="301">
        <f t="shared" si="24"/>
        <v>2774.88</v>
      </c>
      <c r="F51" s="211">
        <f t="shared" si="24"/>
        <v>61828.54</v>
      </c>
      <c r="G51" s="211">
        <f t="shared" si="24"/>
        <v>0</v>
      </c>
      <c r="H51" s="38"/>
    </row>
    <row r="52" spans="1:11" x14ac:dyDescent="0.35">
      <c r="E52" s="302"/>
      <c r="H52" s="38"/>
    </row>
    <row r="53" spans="1:11" x14ac:dyDescent="0.35">
      <c r="E53" s="302"/>
      <c r="H53" s="38"/>
    </row>
    <row r="54" spans="1:11" x14ac:dyDescent="0.35">
      <c r="A54" s="235" t="s">
        <v>207</v>
      </c>
      <c r="E54" s="302"/>
      <c r="H54" s="38"/>
    </row>
    <row r="55" spans="1:11" x14ac:dyDescent="0.35">
      <c r="A55" s="19" t="s">
        <v>22</v>
      </c>
      <c r="B55" s="24">
        <f>ROUND(0,2)</f>
        <v>0</v>
      </c>
      <c r="C55" s="24">
        <f>ROUND(SUM('[20]Ex Post Gross TD Calc'!$AN$571:$AR$571),2)</f>
        <v>19484.43</v>
      </c>
      <c r="D55" s="24">
        <f>ROUND(SUM('[20]NTG TD Calc'!$AN$436:$AR$436),2)</f>
        <v>0</v>
      </c>
      <c r="E55" s="303">
        <f>ROUND(SUM('[20]EO TD Carrying Costs'!$AJ55:$AP55),2)</f>
        <v>-3751.12</v>
      </c>
      <c r="F55" s="211">
        <f>SUM(B55:E55)</f>
        <v>15733.310000000001</v>
      </c>
      <c r="G55" s="211">
        <f>ROUND(F55/12*0,2)</f>
        <v>0</v>
      </c>
      <c r="H55" s="38"/>
    </row>
    <row r="56" spans="1:11" x14ac:dyDescent="0.35">
      <c r="A56" s="19" t="s">
        <v>23</v>
      </c>
      <c r="B56" s="210">
        <f>SUM(B59:B62)</f>
        <v>0</v>
      </c>
      <c r="C56" s="210">
        <f>SUM(C59:C62)</f>
        <v>6012.1399999999994</v>
      </c>
      <c r="D56" s="210">
        <f t="shared" ref="D56:E56" si="25">SUM(D59:D62)</f>
        <v>0.01</v>
      </c>
      <c r="E56" s="304">
        <f t="shared" si="25"/>
        <v>2260.19</v>
      </c>
      <c r="F56" s="211">
        <f>SUM(B56:E56)</f>
        <v>8272.34</v>
      </c>
      <c r="G56" s="211">
        <f>ROUND(F56/12*0,2)</f>
        <v>0</v>
      </c>
      <c r="H56" s="38"/>
    </row>
    <row r="57" spans="1:11" x14ac:dyDescent="0.35">
      <c r="A57" s="19" t="s">
        <v>3</v>
      </c>
      <c r="B57" s="211">
        <f t="shared" ref="B57:G57" si="26">SUM(B55:B56)</f>
        <v>0</v>
      </c>
      <c r="C57" s="211">
        <f t="shared" si="26"/>
        <v>25496.57</v>
      </c>
      <c r="D57" s="211">
        <f t="shared" si="26"/>
        <v>0.01</v>
      </c>
      <c r="E57" s="301">
        <f t="shared" si="26"/>
        <v>-1490.9299999999998</v>
      </c>
      <c r="F57" s="211">
        <f t="shared" si="26"/>
        <v>24005.65</v>
      </c>
      <c r="G57" s="211">
        <f t="shared" si="26"/>
        <v>0</v>
      </c>
      <c r="H57" s="38"/>
    </row>
    <row r="58" spans="1:11" x14ac:dyDescent="0.35">
      <c r="B58" s="208"/>
      <c r="C58" s="208"/>
      <c r="D58" s="209"/>
      <c r="E58" s="302"/>
      <c r="H58" s="38"/>
    </row>
    <row r="59" spans="1:11" x14ac:dyDescent="0.35">
      <c r="A59" s="19" t="s">
        <v>94</v>
      </c>
      <c r="B59" s="24">
        <f>ROUND(0,2)</f>
        <v>0</v>
      </c>
      <c r="C59" s="24">
        <f>ROUND(SUM('[20]Ex Post Gross TD Calc'!$AN572:$AR572),2)</f>
        <v>1215.73</v>
      </c>
      <c r="D59" s="24">
        <f>ROUND(SUM('[20]NTG TD Calc'!$AN437:$AR437),2)</f>
        <v>0.01</v>
      </c>
      <c r="E59" s="303">
        <f>ROUND(SUM('[20]EO TD Carrying Costs'!$AJ56:$AP56),2)</f>
        <v>402.1</v>
      </c>
      <c r="F59" s="211">
        <f t="shared" ref="F59:F62" si="27">SUM(B59:E59)</f>
        <v>1617.8400000000001</v>
      </c>
      <c r="G59" s="211">
        <f>ROUND(F59/12*0,2)</f>
        <v>0</v>
      </c>
      <c r="H59" s="38"/>
    </row>
    <row r="60" spans="1:11" x14ac:dyDescent="0.35">
      <c r="A60" s="19" t="s">
        <v>95</v>
      </c>
      <c r="B60" s="210">
        <f>ROUND(0,2)</f>
        <v>0</v>
      </c>
      <c r="C60" s="24">
        <f>ROUND(SUM('[20]Ex Post Gross TD Calc'!$AN573:$AR573),2)</f>
        <v>2872.39</v>
      </c>
      <c r="D60" s="24">
        <f>ROUND(SUM('[20]NTG TD Calc'!$AN438:$AR438),2)</f>
        <v>-0.01</v>
      </c>
      <c r="E60" s="303">
        <f>ROUND(SUM('[20]EO TD Carrying Costs'!$AJ57:$AP57),2)</f>
        <v>939.03</v>
      </c>
      <c r="F60" s="211">
        <f t="shared" si="27"/>
        <v>3811.41</v>
      </c>
      <c r="G60" s="211">
        <f>ROUND(F60/12*0,2)</f>
        <v>0</v>
      </c>
      <c r="H60" s="38"/>
    </row>
    <row r="61" spans="1:11" x14ac:dyDescent="0.35">
      <c r="A61" s="19" t="s">
        <v>96</v>
      </c>
      <c r="B61" s="24">
        <f>ROUND(0,2)</f>
        <v>0</v>
      </c>
      <c r="C61" s="24">
        <f>ROUND(SUM('[20]Ex Post Gross TD Calc'!$AN574:$AR574),2)</f>
        <v>1852.08</v>
      </c>
      <c r="D61" s="24">
        <f>ROUND(SUM('[20]NTG TD Calc'!$AN439:$AR439),2)</f>
        <v>0.01</v>
      </c>
      <c r="E61" s="303">
        <f>ROUND(SUM('[20]EO TD Carrying Costs'!$AJ58:$AP58),2)</f>
        <v>817.17</v>
      </c>
      <c r="F61" s="211">
        <f t="shared" si="27"/>
        <v>2669.2599999999998</v>
      </c>
      <c r="G61" s="211">
        <f>ROUND(F61/12*0,2)</f>
        <v>0</v>
      </c>
      <c r="H61" s="38"/>
    </row>
    <row r="62" spans="1:11" x14ac:dyDescent="0.35">
      <c r="A62" s="19" t="s">
        <v>97</v>
      </c>
      <c r="B62" s="210">
        <f>ROUND(0,2)</f>
        <v>0</v>
      </c>
      <c r="C62" s="24">
        <f>ROUND(SUM('[20]Ex Post Gross TD Calc'!$AN575:$AR575),2)</f>
        <v>71.94</v>
      </c>
      <c r="D62" s="24">
        <f>ROUND(SUM('[20]NTG TD Calc'!$AN440:$AR440),2)</f>
        <v>0</v>
      </c>
      <c r="E62" s="303">
        <f>ROUND(SUM('[20]EO TD Carrying Costs'!$AJ59:$AP59),2)</f>
        <v>101.89</v>
      </c>
      <c r="F62" s="211">
        <f t="shared" si="27"/>
        <v>173.82999999999998</v>
      </c>
      <c r="G62" s="211">
        <f>ROUND(F62/12*0,2)</f>
        <v>0</v>
      </c>
      <c r="H62" s="38"/>
    </row>
    <row r="63" spans="1:11" x14ac:dyDescent="0.35">
      <c r="A63" s="29" t="s">
        <v>98</v>
      </c>
      <c r="B63" s="211">
        <f>SUM(B59:B62)</f>
        <v>0</v>
      </c>
      <c r="C63" s="211">
        <f>SUM(C59:C62)</f>
        <v>6012.1399999999994</v>
      </c>
      <c r="D63" s="211">
        <f t="shared" ref="D63:G63" si="28">SUM(D59:D62)</f>
        <v>0.01</v>
      </c>
      <c r="E63" s="301">
        <f t="shared" si="28"/>
        <v>2260.19</v>
      </c>
      <c r="F63" s="211">
        <f t="shared" si="28"/>
        <v>8272.34</v>
      </c>
      <c r="G63" s="211">
        <f t="shared" si="28"/>
        <v>0</v>
      </c>
      <c r="H63" s="38"/>
    </row>
    <row r="64" spans="1:11" x14ac:dyDescent="0.35">
      <c r="E64" s="302"/>
      <c r="H64" s="38"/>
    </row>
    <row r="65" spans="1:8" x14ac:dyDescent="0.35">
      <c r="E65" s="302"/>
      <c r="H65" s="38"/>
    </row>
    <row r="66" spans="1:8" x14ac:dyDescent="0.35">
      <c r="A66" s="235" t="s">
        <v>166</v>
      </c>
      <c r="E66" s="302"/>
      <c r="H66" s="38"/>
    </row>
    <row r="67" spans="1:8" x14ac:dyDescent="0.35">
      <c r="A67" s="19" t="s">
        <v>22</v>
      </c>
      <c r="B67" s="24">
        <f>ROUND('[21]EO Matrix @Meter'!$AL$20,2)</f>
        <v>1385047.19</v>
      </c>
      <c r="C67" s="24">
        <f>ROUND(SUM('[22]Ex Post Gross TD Calc'!$Q$571:$AN$571),2)</f>
        <v>-356522.43</v>
      </c>
      <c r="D67" s="24">
        <f>ROUND(SUM('[22]NTG TD Calc'!$Q$436:$AN$436),2)</f>
        <v>-293909.08</v>
      </c>
      <c r="E67" s="303">
        <f>ROUND(SUM('[22]EO TD Carrying Costs'!$O$55:$AL$55),2)</f>
        <v>-55727.9</v>
      </c>
      <c r="F67" s="211">
        <f>SUM(B67:E67)</f>
        <v>678887.77999999991</v>
      </c>
      <c r="G67" s="211">
        <f>ROUND(F67/12*0,2)</f>
        <v>0</v>
      </c>
      <c r="H67" s="38"/>
    </row>
    <row r="68" spans="1:8" x14ac:dyDescent="0.35">
      <c r="A68" s="19" t="s">
        <v>23</v>
      </c>
      <c r="B68" s="210">
        <f>SUM(B71:B74)</f>
        <v>839588.63</v>
      </c>
      <c r="C68" s="210">
        <f>SUM(C71:C74)</f>
        <v>65049.640000000007</v>
      </c>
      <c r="D68" s="210">
        <f t="shared" ref="D68:E68" si="29">SUM(D71:D74)</f>
        <v>-145276.81</v>
      </c>
      <c r="E68" s="304">
        <f t="shared" si="29"/>
        <v>-4013.3000000000006</v>
      </c>
      <c r="F68" s="211">
        <f>SUM(B68:E68)</f>
        <v>755348.15999999992</v>
      </c>
      <c r="G68" s="211">
        <f>ROUND(F68/12*0,2)</f>
        <v>0</v>
      </c>
      <c r="H68" s="38"/>
    </row>
    <row r="69" spans="1:8" x14ac:dyDescent="0.35">
      <c r="A69" s="19" t="s">
        <v>3</v>
      </c>
      <c r="B69" s="211">
        <f t="shared" ref="B69:G69" si="30">SUM(B67:B68)</f>
        <v>2224635.8199999998</v>
      </c>
      <c r="C69" s="211">
        <f t="shared" si="30"/>
        <v>-291472.78999999998</v>
      </c>
      <c r="D69" s="211">
        <f t="shared" si="30"/>
        <v>-439185.89</v>
      </c>
      <c r="E69" s="301">
        <f t="shared" si="30"/>
        <v>-59741.200000000004</v>
      </c>
      <c r="F69" s="211">
        <f t="shared" si="30"/>
        <v>1434235.94</v>
      </c>
      <c r="G69" s="211">
        <f t="shared" si="30"/>
        <v>0</v>
      </c>
      <c r="H69" s="38"/>
    </row>
    <row r="70" spans="1:8" x14ac:dyDescent="0.35">
      <c r="B70" s="208"/>
      <c r="C70" s="208"/>
      <c r="D70" s="209"/>
      <c r="E70" s="302"/>
      <c r="H70" s="38"/>
    </row>
    <row r="71" spans="1:8" x14ac:dyDescent="0.35">
      <c r="A71" s="19" t="s">
        <v>94</v>
      </c>
      <c r="B71" s="24">
        <f>ROUND('[21]EO Matrix @Meter'!$AP$20,2)</f>
        <v>76053.37</v>
      </c>
      <c r="C71" s="24">
        <f>ROUND(SUM('[22]Ex Post Gross TD Calc'!$Q572:$AN572),2)</f>
        <v>11349.51</v>
      </c>
      <c r="D71" s="24">
        <f>ROUND(SUM('[22]NTG TD Calc'!$Q437:$AN437),2)</f>
        <v>-29089.62</v>
      </c>
      <c r="E71" s="304">
        <f>ROUND(SUM('[22]EO TD Carrying Costs'!$O56:$AL56),2)</f>
        <v>-1558.66</v>
      </c>
      <c r="F71" s="211">
        <f t="shared" ref="F71:F74" si="31">SUM(B71:E71)</f>
        <v>56754.599999999991</v>
      </c>
      <c r="G71" s="211">
        <f>ROUND(F71/12*0,2)</f>
        <v>0</v>
      </c>
      <c r="H71" s="38"/>
    </row>
    <row r="72" spans="1:8" x14ac:dyDescent="0.35">
      <c r="A72" s="19" t="s">
        <v>95</v>
      </c>
      <c r="B72" s="210">
        <f>ROUND('[21]EO Matrix @Meter'!$AQ$20,2)</f>
        <v>187581.29</v>
      </c>
      <c r="C72" s="210">
        <f>ROUND(SUM('[22]Ex Post Gross TD Calc'!$Q573:$AN573),2)</f>
        <v>114.28</v>
      </c>
      <c r="D72" s="210">
        <f>ROUND(SUM('[22]NTG TD Calc'!$Q438:$AN438),2)</f>
        <v>-55888.89</v>
      </c>
      <c r="E72" s="304">
        <f>ROUND(SUM('[22]EO TD Carrying Costs'!$O57:$AL57),2)</f>
        <v>-2411.94</v>
      </c>
      <c r="F72" s="211">
        <f t="shared" si="31"/>
        <v>129394.73999999999</v>
      </c>
      <c r="G72" s="211">
        <f>ROUND(F72/12*0,2)</f>
        <v>0</v>
      </c>
      <c r="H72" s="38"/>
    </row>
    <row r="73" spans="1:8" x14ac:dyDescent="0.35">
      <c r="A73" s="19" t="s">
        <v>96</v>
      </c>
      <c r="B73" s="24">
        <f>ROUND('[21]EO Matrix @Meter'!$AR$20,2)</f>
        <v>528596.72</v>
      </c>
      <c r="C73" s="24">
        <f>ROUND(SUM('[22]Ex Post Gross TD Calc'!$Q574:$AN574),2)</f>
        <v>48292.800000000003</v>
      </c>
      <c r="D73" s="24">
        <f>ROUND(SUM('[22]NTG TD Calc'!$Q439:$AN439),2)</f>
        <v>-59418.79</v>
      </c>
      <c r="E73" s="303">
        <f>ROUND(SUM('[22]EO TD Carrying Costs'!$O58:$AL58),2)</f>
        <v>-520.14</v>
      </c>
      <c r="F73" s="211">
        <f t="shared" si="31"/>
        <v>516950.59</v>
      </c>
      <c r="G73" s="211">
        <f>ROUND(F73/12*0,2)</f>
        <v>0</v>
      </c>
      <c r="H73" s="38"/>
    </row>
    <row r="74" spans="1:8" x14ac:dyDescent="0.35">
      <c r="A74" s="19" t="s">
        <v>97</v>
      </c>
      <c r="B74" s="210">
        <f>ROUND('[21]EO Matrix @Meter'!$AS$20,2)</f>
        <v>47357.25</v>
      </c>
      <c r="C74" s="210">
        <f>ROUND(SUM('[22]Ex Post Gross TD Calc'!$Q575:$AN575),2)</f>
        <v>5293.05</v>
      </c>
      <c r="D74" s="210">
        <f>ROUND(SUM('[22]NTG TD Calc'!$Q440:$AN440),2)</f>
        <v>-879.51</v>
      </c>
      <c r="E74" s="304">
        <f>ROUND(SUM('[22]EO TD Carrying Costs'!$O59:$AL59),2)</f>
        <v>477.44</v>
      </c>
      <c r="F74" s="211">
        <f t="shared" si="31"/>
        <v>52248.23</v>
      </c>
      <c r="G74" s="211">
        <f>ROUND(F74/12*0,2)</f>
        <v>0</v>
      </c>
      <c r="H74" s="38"/>
    </row>
    <row r="75" spans="1:8" x14ac:dyDescent="0.35">
      <c r="A75" s="29" t="s">
        <v>98</v>
      </c>
      <c r="B75" s="211">
        <f>SUM(B71:B74)</f>
        <v>839588.63</v>
      </c>
      <c r="C75" s="211">
        <f>SUM(C71:C74)</f>
        <v>65049.640000000007</v>
      </c>
      <c r="D75" s="211">
        <f t="shared" ref="D75:G75" si="32">SUM(D71:D74)</f>
        <v>-145276.81</v>
      </c>
      <c r="E75" s="301">
        <f t="shared" si="32"/>
        <v>-4013.3000000000006</v>
      </c>
      <c r="F75" s="211">
        <f t="shared" si="32"/>
        <v>755348.15999999992</v>
      </c>
      <c r="G75" s="211">
        <f t="shared" si="32"/>
        <v>0</v>
      </c>
      <c r="H75" s="38"/>
    </row>
    <row r="76" spans="1:8" x14ac:dyDescent="0.35">
      <c r="E76" s="302"/>
      <c r="H76" s="38"/>
    </row>
    <row r="77" spans="1:8" x14ac:dyDescent="0.35">
      <c r="E77" s="302"/>
      <c r="H77" s="38"/>
    </row>
    <row r="78" spans="1:8" x14ac:dyDescent="0.35">
      <c r="A78" s="235" t="s">
        <v>208</v>
      </c>
      <c r="E78" s="302"/>
      <c r="H78" s="38"/>
    </row>
    <row r="79" spans="1:8" x14ac:dyDescent="0.35">
      <c r="A79" s="19" t="s">
        <v>22</v>
      </c>
      <c r="B79" s="24">
        <f>ROUND('[23]EO Matrix @Meter'!$AL$22,2)</f>
        <v>1307790.1000000001</v>
      </c>
      <c r="C79" s="24">
        <f>ROUND(SUM('[24]Ex Post Gross TD Calc'!$AC$571:$AX$571),2)</f>
        <v>-250476.23</v>
      </c>
      <c r="D79" s="24">
        <f>ROUND(SUM('[24]NTG TD Calc'!$AC$436:$AX$436),2)</f>
        <v>-67458.28</v>
      </c>
      <c r="E79" s="303">
        <f>ROUND(SUM('[24]EO TD Carrying Costs'!$AA$55:$AV$55),2)</f>
        <v>-15485.85</v>
      </c>
      <c r="F79" s="211">
        <f>SUM(B79:E79)</f>
        <v>974369.74000000011</v>
      </c>
      <c r="G79" s="211">
        <f>ROUND(F79/12*0,2)</f>
        <v>0</v>
      </c>
      <c r="H79" s="38"/>
    </row>
    <row r="80" spans="1:8" x14ac:dyDescent="0.35">
      <c r="A80" s="19" t="s">
        <v>23</v>
      </c>
      <c r="B80" s="210">
        <f>SUM(B83:B86)</f>
        <v>877237.60000000009</v>
      </c>
      <c r="C80" s="210">
        <f>SUM(C83:C86)</f>
        <v>-36346.57</v>
      </c>
      <c r="D80" s="210">
        <f t="shared" ref="D80:E80" si="33">SUM(D83:D86)</f>
        <v>86784.39</v>
      </c>
      <c r="E80" s="304">
        <f t="shared" si="33"/>
        <v>1663.22</v>
      </c>
      <c r="F80" s="211">
        <f>SUM(B80:E80)</f>
        <v>929338.64000000013</v>
      </c>
      <c r="G80" s="211">
        <f>ROUND(F80/12*0,2)</f>
        <v>0</v>
      </c>
      <c r="H80" s="38"/>
    </row>
    <row r="81" spans="1:8" x14ac:dyDescent="0.35">
      <c r="A81" s="19" t="s">
        <v>3</v>
      </c>
      <c r="B81" s="211">
        <f t="shared" ref="B81:G81" si="34">SUM(B79:B80)</f>
        <v>2185027.7000000002</v>
      </c>
      <c r="C81" s="211">
        <f t="shared" si="34"/>
        <v>-286822.8</v>
      </c>
      <c r="D81" s="211">
        <f t="shared" si="34"/>
        <v>19326.11</v>
      </c>
      <c r="E81" s="301">
        <f t="shared" si="34"/>
        <v>-13822.630000000001</v>
      </c>
      <c r="F81" s="211">
        <f t="shared" si="34"/>
        <v>1903708.3800000004</v>
      </c>
      <c r="G81" s="211">
        <f t="shared" si="34"/>
        <v>0</v>
      </c>
      <c r="H81" s="38"/>
    </row>
    <row r="82" spans="1:8" x14ac:dyDescent="0.35">
      <c r="B82" s="208"/>
      <c r="C82" s="208"/>
      <c r="D82" s="209"/>
      <c r="E82" s="302"/>
      <c r="H82" s="38"/>
    </row>
    <row r="83" spans="1:8" x14ac:dyDescent="0.35">
      <c r="A83" s="19" t="s">
        <v>94</v>
      </c>
      <c r="B83" s="24">
        <f>ROUND('[23]EO Matrix @Meter'!$AP$22,2)</f>
        <v>151360.23000000001</v>
      </c>
      <c r="C83" s="24">
        <f>ROUND(SUM('[24]Ex Post Gross TD Calc'!$AC$572:$AX$572),2)</f>
        <v>-7300.6</v>
      </c>
      <c r="D83" s="24">
        <f>ROUND(SUM('[24]NTG TD Calc'!$AC$437:$AX$437),2)</f>
        <v>13298.81</v>
      </c>
      <c r="E83" s="303">
        <f>ROUND(SUM('[24]EO TD Carrying Costs'!$AA$56:$AV$56),2)</f>
        <v>116.56</v>
      </c>
      <c r="F83" s="211">
        <f t="shared" ref="F83:F86" si="35">SUM(B83:E83)</f>
        <v>157475</v>
      </c>
      <c r="G83" s="211">
        <f>ROUND(F83/12*0,2)</f>
        <v>0</v>
      </c>
      <c r="H83" s="38"/>
    </row>
    <row r="84" spans="1:8" x14ac:dyDescent="0.35">
      <c r="A84" s="19" t="s">
        <v>95</v>
      </c>
      <c r="B84" s="24">
        <f>ROUND('[23]EO Matrix @Meter'!$AQ$22,2)</f>
        <v>256696.36</v>
      </c>
      <c r="C84" s="24">
        <f>ROUND(SUM('[24]Ex Post Gross TD Calc'!$AC$573:$AX$573),2)</f>
        <v>-27207.21</v>
      </c>
      <c r="D84" s="24">
        <f>ROUND(SUM('[24]NTG TD Calc'!$AC$438:$AX$438),2)</f>
        <v>45480.480000000003</v>
      </c>
      <c r="E84" s="303">
        <f>ROUND(SUM('[24]EO TD Carrying Costs'!$AA$57:$AV$57),2)</f>
        <v>373.04</v>
      </c>
      <c r="F84" s="211">
        <f t="shared" si="35"/>
        <v>275342.67</v>
      </c>
      <c r="G84" s="211">
        <f>ROUND(F84/12*0,2)</f>
        <v>0</v>
      </c>
      <c r="H84" s="38"/>
    </row>
    <row r="85" spans="1:8" x14ac:dyDescent="0.35">
      <c r="A85" s="19" t="s">
        <v>96</v>
      </c>
      <c r="B85" s="24">
        <f>ROUND('[23]EO Matrix @Meter'!$AR$22,2)</f>
        <v>391442.94</v>
      </c>
      <c r="C85" s="24">
        <f>ROUND(SUM('[24]Ex Post Gross TD Calc'!$AC$574:$AX$574),2)</f>
        <v>-4347.97</v>
      </c>
      <c r="D85" s="24">
        <f>ROUND(SUM('[24]NTG TD Calc'!$AC$439:$AX$439),2)</f>
        <v>27878.58</v>
      </c>
      <c r="E85" s="303">
        <f>ROUND(SUM('[24]EO TD Carrying Costs'!$AA$58:$AV$58),2)</f>
        <v>941.4</v>
      </c>
      <c r="F85" s="211">
        <f t="shared" si="35"/>
        <v>415914.95000000007</v>
      </c>
      <c r="G85" s="211">
        <f>ROUND(F85/12*0,2)</f>
        <v>0</v>
      </c>
      <c r="H85" s="38"/>
    </row>
    <row r="86" spans="1:8" x14ac:dyDescent="0.35">
      <c r="A86" s="19" t="s">
        <v>97</v>
      </c>
      <c r="B86" s="24">
        <f>ROUND('[23]EO Matrix @Meter'!$AS$22,2)</f>
        <v>77738.070000000007</v>
      </c>
      <c r="C86" s="24">
        <f>ROUND(SUM('[24]Ex Post Gross TD Calc'!$AC$575:$AX$575),2)</f>
        <v>2509.21</v>
      </c>
      <c r="D86" s="24">
        <f>ROUND(SUM('[24]NTG TD Calc'!$AC$440:$AX$440),2)</f>
        <v>126.52</v>
      </c>
      <c r="E86" s="303">
        <f>ROUND(SUM('[24]EO TD Carrying Costs'!$AA$59:$AV$59),2)</f>
        <v>232.22</v>
      </c>
      <c r="F86" s="211">
        <f t="shared" si="35"/>
        <v>80606.020000000019</v>
      </c>
      <c r="G86" s="211">
        <f>ROUND(F86/12*0,2)</f>
        <v>0</v>
      </c>
      <c r="H86" s="38"/>
    </row>
    <row r="87" spans="1:8" x14ac:dyDescent="0.35">
      <c r="A87" s="29" t="s">
        <v>98</v>
      </c>
      <c r="B87" s="211">
        <f>SUM(B83:B86)</f>
        <v>877237.60000000009</v>
      </c>
      <c r="C87" s="211">
        <f>SUM(C83:C86)</f>
        <v>-36346.57</v>
      </c>
      <c r="D87" s="211">
        <f t="shared" ref="D87:G87" si="36">SUM(D83:D86)</f>
        <v>86784.39</v>
      </c>
      <c r="E87" s="301">
        <f t="shared" si="36"/>
        <v>1663.22</v>
      </c>
      <c r="F87" s="211">
        <f t="shared" si="36"/>
        <v>929338.64000000013</v>
      </c>
      <c r="G87" s="211">
        <f t="shared" si="36"/>
        <v>0</v>
      </c>
      <c r="H87" s="38"/>
    </row>
    <row r="88" spans="1:8" x14ac:dyDescent="0.35">
      <c r="E88" s="302"/>
      <c r="H88" s="38"/>
    </row>
    <row r="89" spans="1:8" x14ac:dyDescent="0.35">
      <c r="E89" s="302"/>
      <c r="H89" s="38"/>
    </row>
    <row r="90" spans="1:8" x14ac:dyDescent="0.35">
      <c r="A90" s="235" t="s">
        <v>221</v>
      </c>
      <c r="E90" s="302"/>
      <c r="H90" s="38"/>
    </row>
    <row r="91" spans="1:8" x14ac:dyDescent="0.35">
      <c r="A91" s="19" t="s">
        <v>22</v>
      </c>
      <c r="B91" s="24">
        <v>0</v>
      </c>
      <c r="C91" s="24">
        <f>ROUND(SUM('[24]Ex Post Gross TD Calc'!$AY$571:$BD$571),2)</f>
        <v>-61715.26</v>
      </c>
      <c r="D91" s="24">
        <f>ROUND(SUM('[24]NTG TD Calc'!$AY$436:$BD$436),2)</f>
        <v>-8358.2099999999991</v>
      </c>
      <c r="E91" s="303">
        <f>ROUND(SUM('[24]EO TD Carrying Costs'!$AW$55:$BB$55),2)</f>
        <v>-11046.8</v>
      </c>
      <c r="F91" s="211">
        <f>SUM(B91:E91)</f>
        <v>-81120.27</v>
      </c>
      <c r="G91" s="211">
        <f>ROUND(F91/12*1,2)</f>
        <v>-6760.02</v>
      </c>
      <c r="H91" s="38"/>
    </row>
    <row r="92" spans="1:8" x14ac:dyDescent="0.35">
      <c r="A92" s="19" t="s">
        <v>23</v>
      </c>
      <c r="B92" s="210">
        <f>B99</f>
        <v>0</v>
      </c>
      <c r="C92" s="210">
        <f t="shared" ref="C92:E92" si="37">C99</f>
        <v>-19852.230000000003</v>
      </c>
      <c r="D92" s="210">
        <f t="shared" si="37"/>
        <v>15591.88</v>
      </c>
      <c r="E92" s="304">
        <f t="shared" si="37"/>
        <v>1655.81</v>
      </c>
      <c r="F92" s="211">
        <f>SUM(B92:E92)</f>
        <v>-2604.5400000000041</v>
      </c>
      <c r="G92" s="211">
        <f>ROUND(F92/12*1,2)</f>
        <v>-217.05</v>
      </c>
      <c r="H92" s="38"/>
    </row>
    <row r="93" spans="1:8" x14ac:dyDescent="0.35">
      <c r="A93" s="19" t="s">
        <v>3</v>
      </c>
      <c r="B93" s="211">
        <f t="shared" ref="B93:G93" si="38">SUM(B91:B92)</f>
        <v>0</v>
      </c>
      <c r="C93" s="211">
        <f t="shared" si="38"/>
        <v>-81567.490000000005</v>
      </c>
      <c r="D93" s="211">
        <f t="shared" si="38"/>
        <v>7233.67</v>
      </c>
      <c r="E93" s="301">
        <f t="shared" si="38"/>
        <v>-9390.99</v>
      </c>
      <c r="F93" s="211">
        <f t="shared" si="38"/>
        <v>-83724.810000000012</v>
      </c>
      <c r="G93" s="211">
        <f t="shared" si="38"/>
        <v>-6977.0700000000006</v>
      </c>
      <c r="H93" s="38"/>
    </row>
    <row r="94" spans="1:8" x14ac:dyDescent="0.35">
      <c r="B94" s="208"/>
      <c r="C94" s="208"/>
      <c r="D94" s="209"/>
      <c r="E94" s="302"/>
      <c r="H94" s="38"/>
    </row>
    <row r="95" spans="1:8" x14ac:dyDescent="0.35">
      <c r="A95" s="19" t="s">
        <v>94</v>
      </c>
      <c r="B95" s="24">
        <v>0</v>
      </c>
      <c r="C95" s="24">
        <f>ROUND(SUM('[24]Ex Post Gross TD Calc'!$AY572:$BD572),2)</f>
        <v>-1523.11</v>
      </c>
      <c r="D95" s="24">
        <f>ROUND(SUM('[24]NTG TD Calc'!$AY437:$BD437),2)</f>
        <v>2543.67</v>
      </c>
      <c r="E95" s="303">
        <f>ROUND(SUM('[24]EO TD Carrying Costs'!$AW56:$BB56),2)</f>
        <v>224.89</v>
      </c>
      <c r="F95" s="211">
        <f t="shared" ref="F95:F98" si="39">SUM(B95:E95)</f>
        <v>1245.4500000000003</v>
      </c>
      <c r="G95" s="211">
        <f>ROUND(F95/12*1,2)</f>
        <v>103.79</v>
      </c>
      <c r="H95" s="38"/>
    </row>
    <row r="96" spans="1:8" x14ac:dyDescent="0.35">
      <c r="A96" s="19" t="s">
        <v>95</v>
      </c>
      <c r="B96" s="24">
        <v>0</v>
      </c>
      <c r="C96" s="24">
        <f>ROUND(SUM('[24]Ex Post Gross TD Calc'!$AY573:$BD573),2)</f>
        <v>-13856.2</v>
      </c>
      <c r="D96" s="24">
        <f>ROUND(SUM('[24]NTG TD Calc'!$AY438:$BD438),2)</f>
        <v>8106.16</v>
      </c>
      <c r="E96" s="303">
        <f>ROUND(SUM('[24]EO TD Carrying Costs'!$AW57:$BB57),2)</f>
        <v>557.03</v>
      </c>
      <c r="F96" s="211">
        <f t="shared" si="39"/>
        <v>-5193.0100000000011</v>
      </c>
      <c r="G96" s="211">
        <f>ROUND(F96/12*1,2)</f>
        <v>-432.75</v>
      </c>
      <c r="H96" s="38"/>
    </row>
    <row r="97" spans="1:8" x14ac:dyDescent="0.35">
      <c r="A97" s="19" t="s">
        <v>96</v>
      </c>
      <c r="B97" s="24">
        <v>0</v>
      </c>
      <c r="C97" s="24">
        <f>ROUND(SUM('[24]Ex Post Gross TD Calc'!$AY574:$BD574),2)</f>
        <v>-4765.22</v>
      </c>
      <c r="D97" s="24">
        <f>ROUND(SUM('[24]NTG TD Calc'!$AY439:$BD439),2)</f>
        <v>4928.63</v>
      </c>
      <c r="E97" s="303">
        <f>ROUND(SUM('[24]EO TD Carrying Costs'!$AW58:$BB58),2)</f>
        <v>784.12</v>
      </c>
      <c r="F97" s="211">
        <f t="shared" si="39"/>
        <v>947.52999999999986</v>
      </c>
      <c r="G97" s="211">
        <f>ROUND(F97/12*1,2)</f>
        <v>78.959999999999994</v>
      </c>
      <c r="H97" s="38"/>
    </row>
    <row r="98" spans="1:8" x14ac:dyDescent="0.35">
      <c r="A98" s="19" t="s">
        <v>97</v>
      </c>
      <c r="B98" s="24">
        <v>0</v>
      </c>
      <c r="C98" s="24">
        <f>ROUND(SUM('[24]Ex Post Gross TD Calc'!$AY575:$BD575),2)</f>
        <v>292.3</v>
      </c>
      <c r="D98" s="24">
        <f>ROUND(SUM('[24]NTG TD Calc'!$AY440:$BD440),2)</f>
        <v>13.42</v>
      </c>
      <c r="E98" s="303">
        <f>ROUND(SUM('[24]EO TD Carrying Costs'!$AW59:$BB59),2)</f>
        <v>89.77</v>
      </c>
      <c r="F98" s="211">
        <f t="shared" si="39"/>
        <v>395.49</v>
      </c>
      <c r="G98" s="211">
        <f>ROUND(F98/12*1,2)</f>
        <v>32.96</v>
      </c>
      <c r="H98" s="38"/>
    </row>
    <row r="99" spans="1:8" x14ac:dyDescent="0.35">
      <c r="A99" s="29" t="s">
        <v>98</v>
      </c>
      <c r="B99" s="211">
        <f>SUM(B95:B98)</f>
        <v>0</v>
      </c>
      <c r="C99" s="211">
        <f>SUM(C95:C98)</f>
        <v>-19852.230000000003</v>
      </c>
      <c r="D99" s="211">
        <f t="shared" ref="D99:G99" si="40">SUM(D95:D98)</f>
        <v>15591.88</v>
      </c>
      <c r="E99" s="301">
        <f t="shared" si="40"/>
        <v>1655.81</v>
      </c>
      <c r="F99" s="211">
        <f t="shared" si="40"/>
        <v>-2604.5400000000009</v>
      </c>
      <c r="G99" s="211">
        <f t="shared" si="40"/>
        <v>-217.04</v>
      </c>
      <c r="H99" s="38"/>
    </row>
    <row r="100" spans="1:8" x14ac:dyDescent="0.35">
      <c r="E100" s="302"/>
      <c r="H100" s="38"/>
    </row>
    <row r="101" spans="1:8" x14ac:dyDescent="0.35">
      <c r="E101" s="302"/>
      <c r="H101" s="38"/>
    </row>
    <row r="102" spans="1:8" x14ac:dyDescent="0.35">
      <c r="A102" s="235" t="s">
        <v>238</v>
      </c>
      <c r="E102" s="302"/>
      <c r="H102" s="38"/>
    </row>
    <row r="103" spans="1:8" x14ac:dyDescent="0.35">
      <c r="A103" s="19" t="s">
        <v>22</v>
      </c>
      <c r="B103" s="24">
        <v>0</v>
      </c>
      <c r="C103" s="24">
        <f>ROUND(SUM('[24]Ex Post Gross TD Calc'!$BE$571:$BJ$571),2)</f>
        <v>-90440.48</v>
      </c>
      <c r="D103" s="24">
        <f>ROUND(SUM('[24]NTG TD Calc'!$BE$436:$BJ$436),2)</f>
        <v>-0.01</v>
      </c>
      <c r="E103" s="303">
        <f>ROUND(SUM('[24]EO TD Carrying Costs'!$BC$55:$BH$55),2)</f>
        <v>-14826.35</v>
      </c>
      <c r="F103" s="211">
        <f>SUM(B103:E103)</f>
        <v>-105266.84</v>
      </c>
      <c r="G103" s="211">
        <f>ROUND(F103/12*7,2)</f>
        <v>-61405.66</v>
      </c>
      <c r="H103" s="38"/>
    </row>
    <row r="104" spans="1:8" x14ac:dyDescent="0.35">
      <c r="A104" s="19" t="s">
        <v>23</v>
      </c>
      <c r="B104" s="210">
        <f>B111</f>
        <v>0</v>
      </c>
      <c r="C104" s="210">
        <f t="shared" ref="C104:G104" si="41">C111</f>
        <v>-33502.9</v>
      </c>
      <c r="D104" s="210">
        <f t="shared" si="41"/>
        <v>0.01</v>
      </c>
      <c r="E104" s="304">
        <f t="shared" si="41"/>
        <v>1031.25</v>
      </c>
      <c r="F104" s="211">
        <f>SUM(B104:E104)</f>
        <v>-32471.64</v>
      </c>
      <c r="G104" s="211">
        <f t="shared" si="41"/>
        <v>-18941.79</v>
      </c>
      <c r="H104" s="38"/>
    </row>
    <row r="105" spans="1:8" x14ac:dyDescent="0.35">
      <c r="A105" s="19" t="s">
        <v>3</v>
      </c>
      <c r="B105" s="211">
        <f t="shared" ref="B105:G105" si="42">SUM(B103:B104)</f>
        <v>0</v>
      </c>
      <c r="C105" s="211">
        <f t="shared" si="42"/>
        <v>-123943.38</v>
      </c>
      <c r="D105" s="211">
        <f t="shared" si="42"/>
        <v>0</v>
      </c>
      <c r="E105" s="301">
        <f t="shared" si="42"/>
        <v>-13795.1</v>
      </c>
      <c r="F105" s="211">
        <f t="shared" si="42"/>
        <v>-137738.47999999998</v>
      </c>
      <c r="G105" s="211">
        <f t="shared" si="42"/>
        <v>-80347.450000000012</v>
      </c>
      <c r="H105" s="38"/>
    </row>
    <row r="106" spans="1:8" x14ac:dyDescent="0.35">
      <c r="B106" s="208"/>
      <c r="C106" s="208"/>
      <c r="D106" s="209"/>
      <c r="E106" s="302"/>
      <c r="H106" s="38"/>
    </row>
    <row r="107" spans="1:8" x14ac:dyDescent="0.35">
      <c r="A107" s="19" t="s">
        <v>94</v>
      </c>
      <c r="B107" s="24">
        <v>0</v>
      </c>
      <c r="C107" s="24">
        <f>ROUND(SUM('[24]Ex Post Gross TD Calc'!$BE572:$BJ572),2)</f>
        <v>-6118.17</v>
      </c>
      <c r="D107" s="24">
        <f>ROUND(SUM('[24]NTG TD Calc'!$BE437:$BJ437),2)</f>
        <v>0.01</v>
      </c>
      <c r="E107" s="303">
        <f>ROUND(SUM('[24]EO TD Carrying Costs'!$BC56:$BH56),2)</f>
        <v>134.41</v>
      </c>
      <c r="F107" s="211">
        <f t="shared" ref="F107:F110" si="43">SUM(B107:E107)</f>
        <v>-5983.75</v>
      </c>
      <c r="G107" s="211">
        <f>ROUND(F107/12*7,2)</f>
        <v>-3490.52</v>
      </c>
      <c r="H107" s="38"/>
    </row>
    <row r="108" spans="1:8" x14ac:dyDescent="0.35">
      <c r="A108" s="19" t="s">
        <v>95</v>
      </c>
      <c r="B108" s="24">
        <v>0</v>
      </c>
      <c r="C108" s="24">
        <f>ROUND(SUM('[24]Ex Post Gross TD Calc'!$BE573:$BJ573),2)</f>
        <v>-20173.09</v>
      </c>
      <c r="D108" s="24">
        <f>ROUND(SUM('[24]NTG TD Calc'!$BE438:$BJ438),2)</f>
        <v>-0.01</v>
      </c>
      <c r="E108" s="303">
        <f>ROUND(SUM('[24]EO TD Carrying Costs'!$BC57:$BH57),2)</f>
        <v>95.74</v>
      </c>
      <c r="F108" s="211">
        <f t="shared" si="43"/>
        <v>-20077.359999999997</v>
      </c>
      <c r="G108" s="211">
        <f>ROUND(F108/12*7,2)</f>
        <v>-11711.79</v>
      </c>
      <c r="H108" s="38"/>
    </row>
    <row r="109" spans="1:8" x14ac:dyDescent="0.35">
      <c r="A109" s="19" t="s">
        <v>96</v>
      </c>
      <c r="B109" s="24">
        <v>0</v>
      </c>
      <c r="C109" s="24">
        <f>ROUND(SUM('[24]Ex Post Gross TD Calc'!$BE574:$BJ574),2)</f>
        <v>-7399.91</v>
      </c>
      <c r="D109" s="24">
        <f>ROUND(SUM('[24]NTG TD Calc'!$BE439:$BJ439),2)</f>
        <v>0.01</v>
      </c>
      <c r="E109" s="303">
        <f>ROUND(SUM('[24]EO TD Carrying Costs'!$BC58:$BH58),2)</f>
        <v>693.04</v>
      </c>
      <c r="F109" s="211">
        <f t="shared" si="43"/>
        <v>-6706.86</v>
      </c>
      <c r="G109" s="211">
        <f>ROUND(F109/12*7,2)</f>
        <v>-3912.34</v>
      </c>
      <c r="H109" s="38"/>
    </row>
    <row r="110" spans="1:8" x14ac:dyDescent="0.35">
      <c r="A110" s="19" t="s">
        <v>97</v>
      </c>
      <c r="B110" s="24">
        <v>0</v>
      </c>
      <c r="C110" s="24">
        <f>ROUND(SUM('[24]Ex Post Gross TD Calc'!$BE575:$BJ575),2)</f>
        <v>188.27</v>
      </c>
      <c r="D110" s="24">
        <f>ROUND(SUM('[24]NTG TD Calc'!$BE440:$BJ440),2)</f>
        <v>0</v>
      </c>
      <c r="E110" s="303">
        <f>ROUND(SUM('[24]EO TD Carrying Costs'!$BC59:$BH59),2)</f>
        <v>108.06</v>
      </c>
      <c r="F110" s="211">
        <f t="shared" si="43"/>
        <v>296.33000000000004</v>
      </c>
      <c r="G110" s="211">
        <f>ROUND(F110/12*7,2)</f>
        <v>172.86</v>
      </c>
      <c r="H110" s="38"/>
    </row>
    <row r="111" spans="1:8" x14ac:dyDescent="0.35">
      <c r="A111" s="29" t="s">
        <v>98</v>
      </c>
      <c r="B111" s="211">
        <f>SUM(B107:B110)</f>
        <v>0</v>
      </c>
      <c r="C111" s="211">
        <f>SUM(C107:C110)</f>
        <v>-33502.9</v>
      </c>
      <c r="D111" s="211">
        <f t="shared" ref="D111:G111" si="44">SUM(D107:D110)</f>
        <v>0.01</v>
      </c>
      <c r="E111" s="301">
        <f t="shared" si="44"/>
        <v>1031.25</v>
      </c>
      <c r="F111" s="211">
        <f t="shared" si="44"/>
        <v>-32471.639999999996</v>
      </c>
      <c r="G111" s="211">
        <f t="shared" si="44"/>
        <v>-18941.79</v>
      </c>
      <c r="H111" s="38"/>
    </row>
    <row r="112" spans="1:8" x14ac:dyDescent="0.35">
      <c r="E112" s="302"/>
      <c r="H112" s="38"/>
    </row>
    <row r="113" spans="1:8" x14ac:dyDescent="0.35">
      <c r="E113" s="302"/>
      <c r="H113" s="38"/>
    </row>
    <row r="114" spans="1:8" x14ac:dyDescent="0.35">
      <c r="A114" s="235" t="s">
        <v>286</v>
      </c>
      <c r="E114" s="302"/>
      <c r="H114" s="38"/>
    </row>
    <row r="115" spans="1:8" x14ac:dyDescent="0.35">
      <c r="A115" s="19" t="s">
        <v>22</v>
      </c>
      <c r="B115" s="24">
        <v>0</v>
      </c>
      <c r="C115" s="24">
        <f>ROUND(SUM('[24]Ex Post Gross TD Calc'!$BK$571:$BP$571),2)</f>
        <v>-61178.2</v>
      </c>
      <c r="D115" s="24">
        <f>ROUND(SUM('[24]NTG TD Calc'!$BK$436:$BP$436),2)</f>
        <v>-0.01</v>
      </c>
      <c r="E115" s="24">
        <f>ROUND(SUM('[24]EO TD Carrying Costs'!$BI$55:$BN$55),2)</f>
        <v>-15896.54</v>
      </c>
      <c r="F115" s="211">
        <f>SUM(B115:E115)</f>
        <v>-77074.75</v>
      </c>
      <c r="G115" s="211">
        <f>ROUND(F115/12*11,2)</f>
        <v>-70651.850000000006</v>
      </c>
      <c r="H115" s="38"/>
    </row>
    <row r="116" spans="1:8" x14ac:dyDescent="0.35">
      <c r="A116" s="19" t="s">
        <v>23</v>
      </c>
      <c r="B116" s="210">
        <f>B123</f>
        <v>0</v>
      </c>
      <c r="C116" s="210">
        <f t="shared" ref="C116:E116" si="45">C123</f>
        <v>-21387.510000000002</v>
      </c>
      <c r="D116" s="210">
        <f t="shared" si="45"/>
        <v>-0.08</v>
      </c>
      <c r="E116" s="304">
        <f t="shared" si="45"/>
        <v>199.56</v>
      </c>
      <c r="F116" s="211">
        <f>SUM(B116:E116)</f>
        <v>-21188.030000000002</v>
      </c>
      <c r="G116" s="211">
        <f t="shared" ref="G116" si="46">G123</f>
        <v>-19422.350000000002</v>
      </c>
      <c r="H116" s="38"/>
    </row>
    <row r="117" spans="1:8" x14ac:dyDescent="0.35">
      <c r="A117" s="19" t="s">
        <v>3</v>
      </c>
      <c r="B117" s="211">
        <f t="shared" ref="B117:G117" si="47">SUM(B115:B116)</f>
        <v>0</v>
      </c>
      <c r="C117" s="211">
        <f t="shared" si="47"/>
        <v>-82565.709999999992</v>
      </c>
      <c r="D117" s="211">
        <f t="shared" si="47"/>
        <v>-0.09</v>
      </c>
      <c r="E117" s="301">
        <f t="shared" si="47"/>
        <v>-15696.980000000001</v>
      </c>
      <c r="F117" s="211">
        <f t="shared" si="47"/>
        <v>-98262.78</v>
      </c>
      <c r="G117" s="211">
        <f t="shared" si="47"/>
        <v>-90074.200000000012</v>
      </c>
      <c r="H117" s="38"/>
    </row>
    <row r="118" spans="1:8" x14ac:dyDescent="0.35">
      <c r="B118" s="208"/>
      <c r="C118" s="208"/>
      <c r="D118" s="209"/>
      <c r="E118" s="302"/>
      <c r="H118" s="38"/>
    </row>
    <row r="119" spans="1:8" x14ac:dyDescent="0.35">
      <c r="A119" s="19" t="s">
        <v>94</v>
      </c>
      <c r="B119" s="24">
        <v>0</v>
      </c>
      <c r="C119" s="24">
        <f>ROUND(SUM('[24]Ex Post Gross TD Calc'!$BK572:$BP572),2)</f>
        <v>-1776.63</v>
      </c>
      <c r="D119" s="24">
        <f>ROUND(SUM('[24]NTG TD Calc'!$BK437:$BP437),2)</f>
        <v>0.01</v>
      </c>
      <c r="E119" s="24">
        <f>ROUND(SUM('[24]EO TD Carrying Costs'!$BI56:$BN56),2)</f>
        <v>15.55</v>
      </c>
      <c r="F119" s="211">
        <f t="shared" ref="F119:F122" si="48">SUM(B119:E119)</f>
        <v>-1761.0700000000002</v>
      </c>
      <c r="G119" s="211">
        <f t="shared" ref="G119:G122" si="49">ROUND(F119/12*11,2)</f>
        <v>-1614.31</v>
      </c>
      <c r="H119" s="38"/>
    </row>
    <row r="120" spans="1:8" x14ac:dyDescent="0.35">
      <c r="A120" s="19" t="s">
        <v>95</v>
      </c>
      <c r="B120" s="24">
        <v>0</v>
      </c>
      <c r="C120" s="24">
        <f>ROUND(SUM('[24]Ex Post Gross TD Calc'!$BK573:$BP573),2)</f>
        <v>-14652.48</v>
      </c>
      <c r="D120" s="24">
        <f>ROUND(SUM('[24]NTG TD Calc'!$BK438:$BP438),2)</f>
        <v>-0.04</v>
      </c>
      <c r="E120" s="24">
        <f>ROUND(SUM('[24]EO TD Carrying Costs'!$BI57:$BN57),2)</f>
        <v>-393.05</v>
      </c>
      <c r="F120" s="211">
        <f t="shared" si="48"/>
        <v>-15045.57</v>
      </c>
      <c r="G120" s="211">
        <f t="shared" si="49"/>
        <v>-13791.77</v>
      </c>
      <c r="H120" s="38"/>
    </row>
    <row r="121" spans="1:8" x14ac:dyDescent="0.35">
      <c r="A121" s="19" t="s">
        <v>96</v>
      </c>
      <c r="B121" s="24">
        <v>0</v>
      </c>
      <c r="C121" s="24">
        <f>ROUND(SUM('[24]Ex Post Gross TD Calc'!$BK574:$BP574),2)</f>
        <v>-5249.38</v>
      </c>
      <c r="D121" s="24">
        <f>ROUND(SUM('[24]NTG TD Calc'!$BK439:$BP439),2)</f>
        <v>-0.01</v>
      </c>
      <c r="E121" s="24">
        <f>ROUND(SUM('[24]EO TD Carrying Costs'!$BI58:$BN58),2)</f>
        <v>470.18</v>
      </c>
      <c r="F121" s="211">
        <f t="shared" si="48"/>
        <v>-4779.21</v>
      </c>
      <c r="G121" s="211">
        <f t="shared" si="49"/>
        <v>-4380.9399999999996</v>
      </c>
      <c r="H121" s="38"/>
    </row>
    <row r="122" spans="1:8" x14ac:dyDescent="0.35">
      <c r="A122" s="19" t="s">
        <v>97</v>
      </c>
      <c r="B122" s="24">
        <v>0</v>
      </c>
      <c r="C122" s="24">
        <f>ROUND(SUM('[24]Ex Post Gross TD Calc'!$BK575:$BP575),2)</f>
        <v>290.98</v>
      </c>
      <c r="D122" s="24">
        <f>ROUND(SUM('[24]NTG TD Calc'!$BK440:$BP440),2)</f>
        <v>-0.04</v>
      </c>
      <c r="E122" s="24">
        <f>ROUND(SUM('[24]EO TD Carrying Costs'!$BI59:$BN59),2)</f>
        <v>106.88</v>
      </c>
      <c r="F122" s="211">
        <f t="shared" si="48"/>
        <v>397.82</v>
      </c>
      <c r="G122" s="211">
        <f t="shared" si="49"/>
        <v>364.67</v>
      </c>
      <c r="H122" s="38"/>
    </row>
    <row r="123" spans="1:8" x14ac:dyDescent="0.35">
      <c r="A123" s="29" t="s">
        <v>98</v>
      </c>
      <c r="B123" s="211">
        <f>SUM(B119:B122)</f>
        <v>0</v>
      </c>
      <c r="C123" s="211">
        <f>SUM(C119:C122)</f>
        <v>-21387.510000000002</v>
      </c>
      <c r="D123" s="211">
        <f t="shared" ref="D123:G123" si="50">SUM(D119:D122)</f>
        <v>-0.08</v>
      </c>
      <c r="E123" s="301">
        <f t="shared" si="50"/>
        <v>199.56</v>
      </c>
      <c r="F123" s="211">
        <f t="shared" si="50"/>
        <v>-21188.03</v>
      </c>
      <c r="G123" s="211">
        <f t="shared" si="50"/>
        <v>-19422.350000000002</v>
      </c>
      <c r="H123" s="38"/>
    </row>
    <row r="124" spans="1:8" x14ac:dyDescent="0.35">
      <c r="E124" s="302"/>
      <c r="H124" s="38"/>
    </row>
    <row r="125" spans="1:8" x14ac:dyDescent="0.35">
      <c r="E125" s="302"/>
      <c r="H125" s="38"/>
    </row>
    <row r="126" spans="1:8" x14ac:dyDescent="0.35">
      <c r="A126" s="235" t="s">
        <v>222</v>
      </c>
      <c r="E126" s="302"/>
      <c r="H126" s="38"/>
    </row>
    <row r="127" spans="1:8" x14ac:dyDescent="0.35">
      <c r="A127" s="19" t="s">
        <v>22</v>
      </c>
      <c r="B127" s="24">
        <f>'[25]PY4 2023 EO'!$D$116</f>
        <v>1237690.19</v>
      </c>
      <c r="C127" s="24">
        <v>0</v>
      </c>
      <c r="D127" s="24">
        <v>0</v>
      </c>
      <c r="E127" s="303">
        <v>0</v>
      </c>
      <c r="F127" s="211">
        <f>SUM(B127:E127)</f>
        <v>1237690.19</v>
      </c>
      <c r="G127" s="211">
        <f>ROUND(F127/12*1,2)</f>
        <v>103140.85</v>
      </c>
      <c r="H127" s="38"/>
    </row>
    <row r="128" spans="1:8" x14ac:dyDescent="0.35">
      <c r="A128" s="19" t="s">
        <v>23</v>
      </c>
      <c r="B128" s="210">
        <f>B135</f>
        <v>1064482.75</v>
      </c>
      <c r="C128" s="210">
        <f t="shared" ref="C128:E128" si="51">C135</f>
        <v>0</v>
      </c>
      <c r="D128" s="210">
        <f t="shared" si="51"/>
        <v>0</v>
      </c>
      <c r="E128" s="304">
        <f t="shared" si="51"/>
        <v>0</v>
      </c>
      <c r="F128" s="211">
        <f>SUM(B128:E128)</f>
        <v>1064482.75</v>
      </c>
      <c r="G128" s="211">
        <f>ROUND(F128/12*1,2)</f>
        <v>88706.9</v>
      </c>
      <c r="H128" s="38"/>
    </row>
    <row r="129" spans="1:11" x14ac:dyDescent="0.35">
      <c r="A129" s="19" t="s">
        <v>3</v>
      </c>
      <c r="B129" s="211">
        <f t="shared" ref="B129:G129" si="52">SUM(B127:B128)</f>
        <v>2302172.94</v>
      </c>
      <c r="C129" s="211">
        <f t="shared" si="52"/>
        <v>0</v>
      </c>
      <c r="D129" s="211">
        <f t="shared" si="52"/>
        <v>0</v>
      </c>
      <c r="E129" s="301">
        <f t="shared" si="52"/>
        <v>0</v>
      </c>
      <c r="F129" s="211">
        <f t="shared" si="52"/>
        <v>2302172.94</v>
      </c>
      <c r="G129" s="211">
        <f t="shared" si="52"/>
        <v>191847.75</v>
      </c>
      <c r="H129" s="38"/>
    </row>
    <row r="130" spans="1:11" x14ac:dyDescent="0.35">
      <c r="B130" s="208"/>
      <c r="C130" s="208"/>
      <c r="D130" s="209"/>
      <c r="E130" s="302"/>
      <c r="H130" s="38"/>
    </row>
    <row r="131" spans="1:11" x14ac:dyDescent="0.35">
      <c r="A131" s="19" t="s">
        <v>94</v>
      </c>
      <c r="B131" s="24">
        <f>'[25]PY4 2023 EO'!$D117</f>
        <v>150961.88</v>
      </c>
      <c r="C131" s="24">
        <v>0</v>
      </c>
      <c r="D131" s="24">
        <v>0</v>
      </c>
      <c r="E131" s="303">
        <v>0</v>
      </c>
      <c r="F131" s="211">
        <f t="shared" ref="F131:F134" si="53">SUM(B131:E131)</f>
        <v>150961.88</v>
      </c>
      <c r="G131" s="211">
        <f>ROUND(F131/12*1,2)</f>
        <v>12580.16</v>
      </c>
      <c r="H131" s="38"/>
    </row>
    <row r="132" spans="1:11" x14ac:dyDescent="0.35">
      <c r="A132" s="19" t="s">
        <v>95</v>
      </c>
      <c r="B132" s="24">
        <f>'[25]PY4 2023 EO'!$D118</f>
        <v>302870.92000000004</v>
      </c>
      <c r="C132" s="24">
        <v>0</v>
      </c>
      <c r="D132" s="24">
        <v>0</v>
      </c>
      <c r="E132" s="303">
        <v>0</v>
      </c>
      <c r="F132" s="211">
        <f t="shared" si="53"/>
        <v>302870.92000000004</v>
      </c>
      <c r="G132" s="211">
        <f>ROUND(F132/12*1,2)</f>
        <v>25239.24</v>
      </c>
      <c r="H132" s="38"/>
    </row>
    <row r="133" spans="1:11" x14ac:dyDescent="0.35">
      <c r="A133" s="19" t="s">
        <v>96</v>
      </c>
      <c r="B133" s="24">
        <f>'[25]PY4 2023 EO'!$D119</f>
        <v>481870.85</v>
      </c>
      <c r="C133" s="24">
        <v>0</v>
      </c>
      <c r="D133" s="24">
        <v>0</v>
      </c>
      <c r="E133" s="303">
        <v>0</v>
      </c>
      <c r="F133" s="211">
        <f t="shared" si="53"/>
        <v>481870.85</v>
      </c>
      <c r="G133" s="211">
        <f>ROUND(F133/12*1,2)</f>
        <v>40155.9</v>
      </c>
      <c r="H133" s="38"/>
    </row>
    <row r="134" spans="1:11" x14ac:dyDescent="0.35">
      <c r="A134" s="19" t="s">
        <v>97</v>
      </c>
      <c r="B134" s="24">
        <f>'[25]PY4 2023 EO'!$D120</f>
        <v>128779.09999999999</v>
      </c>
      <c r="C134" s="24">
        <v>0</v>
      </c>
      <c r="D134" s="24">
        <v>0</v>
      </c>
      <c r="E134" s="303">
        <v>0</v>
      </c>
      <c r="F134" s="211">
        <f t="shared" si="53"/>
        <v>128779.09999999999</v>
      </c>
      <c r="G134" s="211">
        <f>ROUND(F134/12*1,2)</f>
        <v>10731.59</v>
      </c>
      <c r="H134" s="38"/>
    </row>
    <row r="135" spans="1:11" x14ac:dyDescent="0.35">
      <c r="A135" s="29" t="s">
        <v>98</v>
      </c>
      <c r="B135" s="211">
        <f>SUM(B131:B134)</f>
        <v>1064482.75</v>
      </c>
      <c r="C135" s="211">
        <f>SUM(C131:C134)</f>
        <v>0</v>
      </c>
      <c r="D135" s="211">
        <f t="shared" ref="D135:G135" si="54">SUM(D131:D134)</f>
        <v>0</v>
      </c>
      <c r="E135" s="301">
        <f t="shared" si="54"/>
        <v>0</v>
      </c>
      <c r="F135" s="211">
        <f t="shared" si="54"/>
        <v>1064482.75</v>
      </c>
      <c r="G135" s="211">
        <f t="shared" si="54"/>
        <v>88706.89</v>
      </c>
      <c r="H135" s="38"/>
    </row>
    <row r="136" spans="1:11" x14ac:dyDescent="0.35">
      <c r="E136" s="4"/>
      <c r="H136" s="38"/>
      <c r="J136" s="284"/>
      <c r="K136" s="284"/>
    </row>
    <row r="137" spans="1:11" x14ac:dyDescent="0.35">
      <c r="E137" s="302"/>
      <c r="H137" s="38"/>
    </row>
    <row r="138" spans="1:11" x14ac:dyDescent="0.35">
      <c r="A138" s="235" t="s">
        <v>262</v>
      </c>
      <c r="E138" s="302"/>
      <c r="H138" s="38"/>
    </row>
    <row r="139" spans="1:11" x14ac:dyDescent="0.35">
      <c r="A139" s="19" t="s">
        <v>22</v>
      </c>
      <c r="B139" s="24">
        <f>ROUND('[26]MEEIA 3 PY5 EO'!$D278,2)</f>
        <v>1213667.6499999999</v>
      </c>
      <c r="C139" s="24">
        <v>0</v>
      </c>
      <c r="D139" s="24">
        <v>0</v>
      </c>
      <c r="E139" s="303">
        <v>0</v>
      </c>
      <c r="F139" s="211">
        <f>SUM(B139:E139)</f>
        <v>1213667.6499999999</v>
      </c>
      <c r="G139" s="211">
        <f>ROUND(F139/12*11,2)</f>
        <v>1112528.68</v>
      </c>
      <c r="H139" s="38"/>
    </row>
    <row r="140" spans="1:11" x14ac:dyDescent="0.35">
      <c r="A140" s="19" t="s">
        <v>23</v>
      </c>
      <c r="B140" s="210">
        <f>B147</f>
        <v>1083263.51</v>
      </c>
      <c r="C140" s="210">
        <f t="shared" ref="C140:E140" si="55">C147</f>
        <v>0</v>
      </c>
      <c r="D140" s="210">
        <f t="shared" si="55"/>
        <v>0</v>
      </c>
      <c r="E140" s="304">
        <f t="shared" si="55"/>
        <v>0</v>
      </c>
      <c r="F140" s="211">
        <f>SUM(B140:E140)</f>
        <v>1083263.51</v>
      </c>
      <c r="G140" s="211">
        <f>ROUND(F140/12*11,2)</f>
        <v>992991.55</v>
      </c>
      <c r="H140" s="38"/>
    </row>
    <row r="141" spans="1:11" x14ac:dyDescent="0.35">
      <c r="A141" s="19" t="s">
        <v>3</v>
      </c>
      <c r="B141" s="211">
        <f t="shared" ref="B141" si="56">SUM(B139:B140)</f>
        <v>2296931.16</v>
      </c>
      <c r="C141" s="211">
        <f t="shared" ref="C141:G141" si="57">SUM(C139:C140)</f>
        <v>0</v>
      </c>
      <c r="D141" s="211">
        <f t="shared" si="57"/>
        <v>0</v>
      </c>
      <c r="E141" s="301">
        <f t="shared" si="57"/>
        <v>0</v>
      </c>
      <c r="F141" s="211">
        <f t="shared" si="57"/>
        <v>2296931.16</v>
      </c>
      <c r="G141" s="211">
        <f t="shared" si="57"/>
        <v>2105520.23</v>
      </c>
      <c r="H141" s="38"/>
    </row>
    <row r="142" spans="1:11" x14ac:dyDescent="0.35">
      <c r="B142" s="208"/>
      <c r="C142" s="208"/>
      <c r="D142" s="209"/>
      <c r="E142" s="302"/>
      <c r="H142" s="38"/>
    </row>
    <row r="143" spans="1:11" x14ac:dyDescent="0.35">
      <c r="A143" s="19" t="s">
        <v>94</v>
      </c>
      <c r="B143" s="24">
        <f>ROUND('[26]MEEIA 3 PY5 EO'!$D279,2)</f>
        <v>260501.47</v>
      </c>
      <c r="C143" s="24">
        <v>0</v>
      </c>
      <c r="D143" s="24">
        <v>0</v>
      </c>
      <c r="E143" s="303">
        <v>0</v>
      </c>
      <c r="F143" s="211">
        <f t="shared" ref="F143:F146" si="58">SUM(B143:E143)</f>
        <v>260501.47</v>
      </c>
      <c r="G143" s="211">
        <f>ROUND(F143/12*11,2)</f>
        <v>238793.01</v>
      </c>
      <c r="H143" s="38"/>
    </row>
    <row r="144" spans="1:11" x14ac:dyDescent="0.35">
      <c r="A144" s="19" t="s">
        <v>95</v>
      </c>
      <c r="B144" s="24">
        <f>ROUND('[26]MEEIA 3 PY5 EO'!$D280,2)</f>
        <v>436549.83</v>
      </c>
      <c r="C144" s="24">
        <v>0</v>
      </c>
      <c r="D144" s="24">
        <v>0</v>
      </c>
      <c r="E144" s="303">
        <v>0</v>
      </c>
      <c r="F144" s="211">
        <f t="shared" si="58"/>
        <v>436549.83</v>
      </c>
      <c r="G144" s="211">
        <f>ROUND(F144/12*11,2)</f>
        <v>400170.68</v>
      </c>
      <c r="H144" s="38"/>
    </row>
    <row r="145" spans="1:17" x14ac:dyDescent="0.35">
      <c r="A145" s="19" t="s">
        <v>96</v>
      </c>
      <c r="B145" s="24">
        <f>ROUND('[26]MEEIA 3 PY5 EO'!$D281,2)</f>
        <v>328143.75</v>
      </c>
      <c r="C145" s="24">
        <v>0</v>
      </c>
      <c r="D145" s="24">
        <v>0</v>
      </c>
      <c r="E145" s="303">
        <v>0</v>
      </c>
      <c r="F145" s="211">
        <f t="shared" si="58"/>
        <v>328143.75</v>
      </c>
      <c r="G145" s="211">
        <f>ROUND(F145/12*11,2)</f>
        <v>300798.44</v>
      </c>
      <c r="H145" s="38"/>
    </row>
    <row r="146" spans="1:17" x14ac:dyDescent="0.35">
      <c r="A146" s="19" t="s">
        <v>97</v>
      </c>
      <c r="B146" s="24">
        <f>ROUND('[26]MEEIA 3 PY5 EO'!$D282,2)</f>
        <v>58068.46</v>
      </c>
      <c r="C146" s="24">
        <v>0</v>
      </c>
      <c r="D146" s="24">
        <v>0</v>
      </c>
      <c r="E146" s="303">
        <v>0</v>
      </c>
      <c r="F146" s="211">
        <f t="shared" si="58"/>
        <v>58068.46</v>
      </c>
      <c r="G146" s="211">
        <f>ROUND(F146/12*11,2)</f>
        <v>53229.42</v>
      </c>
      <c r="H146" s="38"/>
    </row>
    <row r="147" spans="1:17" x14ac:dyDescent="0.35">
      <c r="A147" s="29" t="s">
        <v>98</v>
      </c>
      <c r="B147" s="211">
        <f>SUM(B143:B146)</f>
        <v>1083263.51</v>
      </c>
      <c r="C147" s="211">
        <f>SUM(C143:C146)</f>
        <v>0</v>
      </c>
      <c r="D147" s="211">
        <f t="shared" ref="D147:G147" si="59">SUM(D143:D146)</f>
        <v>0</v>
      </c>
      <c r="E147" s="301">
        <f t="shared" si="59"/>
        <v>0</v>
      </c>
      <c r="F147" s="211">
        <f t="shared" si="59"/>
        <v>1083263.51</v>
      </c>
      <c r="G147" s="211">
        <f t="shared" si="59"/>
        <v>992991.54999999993</v>
      </c>
      <c r="H147" s="38"/>
    </row>
    <row r="148" spans="1:17" x14ac:dyDescent="0.35">
      <c r="E148" s="4"/>
      <c r="H148" s="38"/>
      <c r="J148" s="284"/>
      <c r="K148" s="284"/>
      <c r="L148" s="284"/>
      <c r="M148" s="284"/>
      <c r="N148" s="284"/>
      <c r="O148" s="284"/>
      <c r="P148" s="284"/>
      <c r="Q148" s="284"/>
    </row>
    <row r="149" spans="1:17" x14ac:dyDescent="0.35">
      <c r="H149" s="38"/>
    </row>
    <row r="150" spans="1:17" x14ac:dyDescent="0.35">
      <c r="A150" s="52" t="s">
        <v>9</v>
      </c>
    </row>
    <row r="151" spans="1:17" x14ac:dyDescent="0.35">
      <c r="A151" s="62" t="s">
        <v>305</v>
      </c>
      <c r="B151" s="38"/>
      <c r="C151" s="38"/>
      <c r="D151" s="38"/>
      <c r="E151" s="38"/>
      <c r="F151" s="38"/>
      <c r="G151" s="38"/>
      <c r="H151" s="38"/>
      <c r="I151" s="38"/>
      <c r="J151" s="38"/>
      <c r="K151" s="38"/>
    </row>
    <row r="152" spans="1:17" x14ac:dyDescent="0.35">
      <c r="A152" s="62" t="s">
        <v>287</v>
      </c>
      <c r="B152" s="38"/>
      <c r="C152" s="38"/>
      <c r="D152" s="38"/>
      <c r="E152" s="38"/>
      <c r="F152" s="38"/>
      <c r="G152" s="38"/>
      <c r="H152" s="38"/>
      <c r="I152" s="38"/>
      <c r="J152" s="38"/>
      <c r="K152" s="38"/>
    </row>
    <row r="153" spans="1:17" x14ac:dyDescent="0.35">
      <c r="A153" s="62" t="s">
        <v>288</v>
      </c>
      <c r="B153" s="38"/>
      <c r="C153" s="38"/>
      <c r="D153" s="38"/>
      <c r="E153" s="38"/>
      <c r="F153" s="38"/>
      <c r="G153" s="38"/>
      <c r="H153" s="38"/>
      <c r="I153" s="38"/>
      <c r="J153" s="38"/>
      <c r="K153" s="38"/>
    </row>
    <row r="154" spans="1:17" x14ac:dyDescent="0.35">
      <c r="A154" s="62" t="s">
        <v>289</v>
      </c>
      <c r="B154" s="38"/>
      <c r="C154" s="38"/>
      <c r="D154" s="38"/>
      <c r="E154" s="38"/>
      <c r="F154" s="38"/>
      <c r="G154" s="38"/>
      <c r="H154" s="38"/>
      <c r="I154" s="38"/>
      <c r="J154" s="38"/>
      <c r="K154" s="38"/>
    </row>
    <row r="155" spans="1:17" s="38" customFormat="1" x14ac:dyDescent="0.35">
      <c r="A155" s="62" t="s">
        <v>144</v>
      </c>
    </row>
    <row r="156" spans="1:17" ht="88.5" customHeight="1" x14ac:dyDescent="0.35">
      <c r="A156" s="351" t="s">
        <v>290</v>
      </c>
      <c r="B156" s="351"/>
      <c r="C156" s="351"/>
      <c r="D156" s="351"/>
      <c r="E156" s="351"/>
      <c r="F156" s="351"/>
      <c r="G156" s="351"/>
      <c r="H156" s="351"/>
      <c r="I156" s="351"/>
      <c r="J156" s="351"/>
      <c r="K156" s="351"/>
      <c r="N156" s="38"/>
    </row>
  </sheetData>
  <autoFilter ref="A4:V147" xr:uid="{D47F2E79-0EFD-49E8-A513-B07A20AA3B3C}"/>
  <mergeCells count="2">
    <mergeCell ref="B3:D3"/>
    <mergeCell ref="A156:K156"/>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36C7-1E0A-4A0B-A197-04101632EBE5}">
  <sheetPr codeName="Sheet19">
    <pageSetUpPr fitToPage="1"/>
  </sheetPr>
  <dimension ref="A1:V60"/>
  <sheetViews>
    <sheetView zoomScale="85" zoomScaleNormal="85" workbookViewId="0">
      <pane xSplit="1" ySplit="4" topLeftCell="B5" activePane="bottomRight" state="frozen"/>
      <selection activeCell="A2" sqref="A2"/>
      <selection pane="topRight" activeCell="A2" sqref="A2"/>
      <selection pane="bottomLeft" activeCell="A2" sqref="A2"/>
      <selection pane="bottomRight" activeCell="B5" sqref="B5"/>
    </sheetView>
  </sheetViews>
  <sheetFormatPr defaultColWidth="8.7265625" defaultRowHeight="14.5" x14ac:dyDescent="0.35"/>
  <cols>
    <col min="1" max="1" width="22.453125" style="45" customWidth="1"/>
    <col min="2" max="2" width="15.26953125" style="45" bestFit="1" customWidth="1"/>
    <col min="3" max="3" width="14.26953125" style="45" customWidth="1"/>
    <col min="4" max="4" width="13.26953125" style="45" bestFit="1" customWidth="1"/>
    <col min="5" max="5" width="13.453125" style="45" bestFit="1" customWidth="1"/>
    <col min="6" max="6" width="11.54296875" style="45" bestFit="1" customWidth="1"/>
    <col min="7" max="7" width="13.1796875" style="45" customWidth="1"/>
    <col min="8" max="9" width="8.7265625" style="45"/>
    <col min="10" max="10" width="9.453125" style="45" bestFit="1" customWidth="1"/>
    <col min="11" max="11" width="8.7265625" style="45"/>
    <col min="12" max="17" width="10.1796875" style="45" customWidth="1"/>
    <col min="18" max="16384" width="8.7265625" style="45"/>
  </cols>
  <sheetData>
    <row r="1" spans="1:7" x14ac:dyDescent="0.35">
      <c r="A1" s="62" t="str">
        <f>'PTD Cycle 3'!A1</f>
        <v>Evergy Metro, Inc. - DSIM Rider Update Filed 06/02/2025</v>
      </c>
      <c r="E1" s="320"/>
    </row>
    <row r="2" spans="1:7" x14ac:dyDescent="0.35">
      <c r="A2" s="8" t="str">
        <f>+'PPC Cycle 4'!A2</f>
        <v>Projections for Cycle 4 July 2025 - June 2026 DSIM</v>
      </c>
    </row>
    <row r="3" spans="1:7" ht="45.75" customHeight="1" x14ac:dyDescent="0.35">
      <c r="B3" s="349" t="s">
        <v>231</v>
      </c>
      <c r="C3" s="349"/>
      <c r="D3" s="349"/>
    </row>
    <row r="4" spans="1:7" ht="87" x14ac:dyDescent="0.35">
      <c r="B4" s="69" t="s">
        <v>87</v>
      </c>
      <c r="C4" s="69" t="s">
        <v>88</v>
      </c>
      <c r="D4" s="69" t="s">
        <v>91</v>
      </c>
      <c r="E4" s="69" t="s">
        <v>89</v>
      </c>
      <c r="F4" s="69" t="s">
        <v>86</v>
      </c>
      <c r="G4" s="69" t="s">
        <v>148</v>
      </c>
    </row>
    <row r="5" spans="1:7" x14ac:dyDescent="0.35">
      <c r="B5" s="69"/>
      <c r="C5" s="69"/>
      <c r="D5" s="69"/>
      <c r="E5" s="69"/>
      <c r="F5" s="69"/>
      <c r="G5" s="69"/>
    </row>
    <row r="6" spans="1:7" x14ac:dyDescent="0.35">
      <c r="A6" s="235" t="s">
        <v>230</v>
      </c>
      <c r="B6" s="69"/>
      <c r="C6" s="69"/>
      <c r="D6" s="148"/>
    </row>
    <row r="7" spans="1:7" x14ac:dyDescent="0.35">
      <c r="A7" s="19" t="s">
        <v>22</v>
      </c>
      <c r="B7" s="211">
        <f>SUMIFS(B$16:B$54,$A$16:$A$54,$A7)</f>
        <v>0</v>
      </c>
      <c r="C7" s="211">
        <f>SUMIFS(C$16:C$54,$A$16:$A$54,$A7)</f>
        <v>0</v>
      </c>
      <c r="D7" s="211">
        <f>SUMIFS(D$16:D$54,$A$16:$A$54,$A7)</f>
        <v>0</v>
      </c>
      <c r="E7" s="301">
        <f>SUMIFS(E$16:E$54,$A$16:$A$54,$A7)</f>
        <v>0</v>
      </c>
      <c r="F7" s="211">
        <f>SUM(B7:E7)</f>
        <v>0</v>
      </c>
      <c r="G7" s="211">
        <f>SUMIFS(G$16:G$54,$A$16:$A$54,$A7)</f>
        <v>0</v>
      </c>
    </row>
    <row r="8" spans="1:7" x14ac:dyDescent="0.35">
      <c r="A8" s="19" t="s">
        <v>23</v>
      </c>
      <c r="B8" s="211">
        <f>SUM(B11:B14)</f>
        <v>0</v>
      </c>
      <c r="C8" s="211">
        <f t="shared" ref="C8:E8" si="0">SUM(C11:C14)</f>
        <v>0</v>
      </c>
      <c r="D8" s="211">
        <f t="shared" si="0"/>
        <v>0</v>
      </c>
      <c r="E8" s="301">
        <f t="shared" si="0"/>
        <v>0</v>
      </c>
      <c r="F8" s="211">
        <f>SUM(B8:E8)</f>
        <v>0</v>
      </c>
      <c r="G8" s="211">
        <f t="shared" ref="G8" si="1">SUM(G11:G14)</f>
        <v>0</v>
      </c>
    </row>
    <row r="9" spans="1:7" x14ac:dyDescent="0.35">
      <c r="A9" s="19" t="s">
        <v>3</v>
      </c>
      <c r="B9" s="211">
        <f t="shared" ref="B9:G9" si="2">SUM(B7:B8)</f>
        <v>0</v>
      </c>
      <c r="C9" s="211">
        <f t="shared" si="2"/>
        <v>0</v>
      </c>
      <c r="D9" s="211">
        <f t="shared" si="2"/>
        <v>0</v>
      </c>
      <c r="E9" s="301">
        <f t="shared" si="2"/>
        <v>0</v>
      </c>
      <c r="F9" s="211">
        <f t="shared" si="2"/>
        <v>0</v>
      </c>
      <c r="G9" s="211">
        <f t="shared" si="2"/>
        <v>0</v>
      </c>
    </row>
    <row r="10" spans="1:7" x14ac:dyDescent="0.35">
      <c r="E10" s="302"/>
    </row>
    <row r="11" spans="1:7" x14ac:dyDescent="0.35">
      <c r="A11" s="19" t="s">
        <v>94</v>
      </c>
      <c r="B11" s="211">
        <f t="shared" ref="B11:E14" si="3">SUMIFS(B$16:B$54,$A$16:$A$54,$A11)</f>
        <v>0</v>
      </c>
      <c r="C11" s="211">
        <f t="shared" si="3"/>
        <v>0</v>
      </c>
      <c r="D11" s="211">
        <f t="shared" si="3"/>
        <v>0</v>
      </c>
      <c r="E11" s="301">
        <f t="shared" si="3"/>
        <v>0</v>
      </c>
      <c r="F11" s="211">
        <f t="shared" ref="F11:F14" si="4">SUM(B11:E11)</f>
        <v>0</v>
      </c>
      <c r="G11" s="211">
        <f>SUMIFS(G$16:G$54,$A$16:$A$54,$A11)</f>
        <v>0</v>
      </c>
    </row>
    <row r="12" spans="1:7" x14ac:dyDescent="0.35">
      <c r="A12" s="19" t="s">
        <v>95</v>
      </c>
      <c r="B12" s="211">
        <f t="shared" si="3"/>
        <v>0</v>
      </c>
      <c r="C12" s="211">
        <f t="shared" si="3"/>
        <v>0</v>
      </c>
      <c r="D12" s="211">
        <f t="shared" si="3"/>
        <v>0</v>
      </c>
      <c r="E12" s="301">
        <f t="shared" si="3"/>
        <v>0</v>
      </c>
      <c r="F12" s="211">
        <f t="shared" si="4"/>
        <v>0</v>
      </c>
      <c r="G12" s="211">
        <f>SUMIFS(G$16:G$54,$A$16:$A$54,$A12)</f>
        <v>0</v>
      </c>
    </row>
    <row r="13" spans="1:7" x14ac:dyDescent="0.35">
      <c r="A13" s="19" t="s">
        <v>96</v>
      </c>
      <c r="B13" s="211">
        <f t="shared" si="3"/>
        <v>0</v>
      </c>
      <c r="C13" s="211">
        <f t="shared" si="3"/>
        <v>0</v>
      </c>
      <c r="D13" s="211">
        <f t="shared" si="3"/>
        <v>0</v>
      </c>
      <c r="E13" s="301">
        <f t="shared" si="3"/>
        <v>0</v>
      </c>
      <c r="F13" s="211">
        <f t="shared" si="4"/>
        <v>0</v>
      </c>
      <c r="G13" s="211">
        <f>SUMIFS(G$16:G$54,$A$16:$A$54,$A13)</f>
        <v>0</v>
      </c>
    </row>
    <row r="14" spans="1:7" x14ac:dyDescent="0.35">
      <c r="A14" s="19" t="s">
        <v>97</v>
      </c>
      <c r="B14" s="211">
        <f t="shared" si="3"/>
        <v>0</v>
      </c>
      <c r="C14" s="211">
        <f t="shared" si="3"/>
        <v>0</v>
      </c>
      <c r="D14" s="211">
        <f t="shared" si="3"/>
        <v>0</v>
      </c>
      <c r="E14" s="301">
        <f t="shared" si="3"/>
        <v>0</v>
      </c>
      <c r="F14" s="211">
        <f t="shared" si="4"/>
        <v>0</v>
      </c>
      <c r="G14" s="211">
        <f>SUMIFS(G$16:G$54,$A$16:$A$54,$A14)</f>
        <v>0</v>
      </c>
    </row>
    <row r="15" spans="1:7" x14ac:dyDescent="0.35">
      <c r="A15" s="29" t="s">
        <v>98</v>
      </c>
      <c r="B15" s="211">
        <f t="shared" ref="B15:G15" si="5">SUM(B11:B14)</f>
        <v>0</v>
      </c>
      <c r="C15" s="211">
        <f t="shared" si="5"/>
        <v>0</v>
      </c>
      <c r="D15" s="211">
        <f t="shared" si="5"/>
        <v>0</v>
      </c>
      <c r="E15" s="301">
        <f t="shared" si="5"/>
        <v>0</v>
      </c>
      <c r="F15" s="211">
        <f t="shared" si="5"/>
        <v>0</v>
      </c>
      <c r="G15" s="211">
        <f t="shared" si="5"/>
        <v>0</v>
      </c>
    </row>
    <row r="16" spans="1:7" x14ac:dyDescent="0.35">
      <c r="E16" s="302"/>
    </row>
    <row r="17" spans="1:22" x14ac:dyDescent="0.35">
      <c r="A17" s="19"/>
      <c r="B17" s="69"/>
      <c r="C17" s="69"/>
      <c r="D17" s="147"/>
      <c r="E17" s="302"/>
    </row>
    <row r="18" spans="1:22" x14ac:dyDescent="0.35">
      <c r="A18" s="342" t="s">
        <v>301</v>
      </c>
      <c r="B18" s="69"/>
      <c r="C18" s="69"/>
      <c r="D18" s="147"/>
      <c r="E18" s="302"/>
    </row>
    <row r="19" spans="1:22" x14ac:dyDescent="0.35">
      <c r="A19" s="347" t="s">
        <v>22</v>
      </c>
      <c r="B19" s="24"/>
      <c r="C19" s="24"/>
      <c r="D19" s="24"/>
      <c r="E19" s="303"/>
      <c r="F19" s="211">
        <f>SUM(B19:E19)</f>
        <v>0</v>
      </c>
      <c r="G19" s="211">
        <f>ROUND(F19/12*0,2)</f>
        <v>0</v>
      </c>
      <c r="L19" s="181"/>
      <c r="M19" s="181"/>
      <c r="N19" s="181"/>
      <c r="O19" s="181"/>
      <c r="P19" s="181"/>
      <c r="R19" s="4"/>
      <c r="S19" s="4"/>
      <c r="T19" s="4"/>
      <c r="U19" s="4"/>
      <c r="V19" s="4"/>
    </row>
    <row r="20" spans="1:22" x14ac:dyDescent="0.35">
      <c r="A20" s="347" t="s">
        <v>23</v>
      </c>
      <c r="B20" s="210"/>
      <c r="C20" s="210"/>
      <c r="D20" s="210"/>
      <c r="E20" s="304"/>
      <c r="F20" s="211">
        <f>SUM(B20:E20)</f>
        <v>0</v>
      </c>
      <c r="G20" s="211">
        <f t="shared" ref="G20" si="6">SUM(G23:G26)</f>
        <v>0</v>
      </c>
      <c r="L20" s="181"/>
      <c r="M20" s="181"/>
      <c r="N20" s="181"/>
      <c r="O20" s="181"/>
      <c r="P20" s="181"/>
      <c r="R20" s="4"/>
      <c r="S20" s="4"/>
      <c r="T20" s="4"/>
      <c r="U20" s="4"/>
      <c r="V20" s="4"/>
    </row>
    <row r="21" spans="1:22" x14ac:dyDescent="0.35">
      <c r="A21" s="347" t="s">
        <v>3</v>
      </c>
      <c r="B21" s="211">
        <f t="shared" ref="B21:G21" si="7">SUM(B19:B20)</f>
        <v>0</v>
      </c>
      <c r="C21" s="211">
        <f t="shared" si="7"/>
        <v>0</v>
      </c>
      <c r="D21" s="211">
        <f t="shared" si="7"/>
        <v>0</v>
      </c>
      <c r="E21" s="301">
        <f t="shared" si="7"/>
        <v>0</v>
      </c>
      <c r="F21" s="211">
        <f t="shared" si="7"/>
        <v>0</v>
      </c>
      <c r="G21" s="211">
        <f t="shared" si="7"/>
        <v>0</v>
      </c>
      <c r="L21" s="181"/>
      <c r="M21" s="181"/>
      <c r="N21" s="181"/>
      <c r="O21" s="181"/>
      <c r="P21" s="181"/>
      <c r="R21" s="4"/>
      <c r="S21" s="4"/>
      <c r="T21" s="4"/>
      <c r="U21" s="4"/>
      <c r="V21" s="4"/>
    </row>
    <row r="22" spans="1:22" x14ac:dyDescent="0.35">
      <c r="A22" s="38"/>
      <c r="B22" s="208"/>
      <c r="C22" s="208"/>
      <c r="D22" s="209"/>
      <c r="E22" s="302"/>
      <c r="L22" s="181"/>
      <c r="M22" s="181"/>
      <c r="N22" s="181"/>
      <c r="O22" s="181"/>
      <c r="P22" s="181"/>
    </row>
    <row r="23" spans="1:22" x14ac:dyDescent="0.35">
      <c r="A23" s="347" t="s">
        <v>94</v>
      </c>
      <c r="B23" s="24"/>
      <c r="C23" s="24"/>
      <c r="D23" s="24"/>
      <c r="E23" s="304"/>
      <c r="F23" s="211">
        <f t="shared" ref="F23:F26" si="8">SUM(B23:E23)</f>
        <v>0</v>
      </c>
      <c r="G23" s="211">
        <f>ROUND(F23/12*0,2)</f>
        <v>0</v>
      </c>
      <c r="L23" s="181"/>
      <c r="M23" s="181"/>
      <c r="N23" s="181"/>
      <c r="O23" s="181"/>
      <c r="P23" s="181"/>
      <c r="R23" s="4"/>
      <c r="S23" s="4"/>
      <c r="T23" s="4"/>
      <c r="U23" s="4"/>
      <c r="V23" s="4"/>
    </row>
    <row r="24" spans="1:22" x14ac:dyDescent="0.35">
      <c r="A24" s="347" t="s">
        <v>95</v>
      </c>
      <c r="B24" s="210"/>
      <c r="C24" s="210"/>
      <c r="D24" s="210"/>
      <c r="E24" s="304"/>
      <c r="F24" s="211">
        <f t="shared" si="8"/>
        <v>0</v>
      </c>
      <c r="G24" s="211">
        <f t="shared" ref="G24:G26" si="9">ROUND(F24/12*0,2)</f>
        <v>0</v>
      </c>
      <c r="L24" s="181"/>
      <c r="M24" s="181"/>
      <c r="N24" s="181"/>
      <c r="O24" s="181"/>
      <c r="P24" s="181"/>
      <c r="R24" s="4"/>
      <c r="S24" s="4"/>
      <c r="T24" s="4"/>
      <c r="U24" s="4"/>
      <c r="V24" s="4"/>
    </row>
    <row r="25" spans="1:22" x14ac:dyDescent="0.35">
      <c r="A25" s="347" t="s">
        <v>96</v>
      </c>
      <c r="B25" s="24"/>
      <c r="C25" s="24"/>
      <c r="D25" s="24"/>
      <c r="E25" s="303"/>
      <c r="F25" s="211">
        <f t="shared" si="8"/>
        <v>0</v>
      </c>
      <c r="G25" s="211">
        <f t="shared" si="9"/>
        <v>0</v>
      </c>
      <c r="L25" s="181"/>
      <c r="M25" s="181"/>
      <c r="N25" s="181"/>
      <c r="O25" s="181"/>
      <c r="P25" s="181"/>
      <c r="R25" s="4"/>
      <c r="S25" s="4"/>
      <c r="T25" s="4"/>
      <c r="U25" s="4"/>
      <c r="V25" s="4"/>
    </row>
    <row r="26" spans="1:22" x14ac:dyDescent="0.35">
      <c r="A26" s="347" t="s">
        <v>97</v>
      </c>
      <c r="B26" s="210"/>
      <c r="C26" s="210"/>
      <c r="D26" s="210"/>
      <c r="E26" s="304"/>
      <c r="F26" s="211">
        <f t="shared" si="8"/>
        <v>0</v>
      </c>
      <c r="G26" s="211">
        <f t="shared" si="9"/>
        <v>0</v>
      </c>
      <c r="L26" s="181"/>
      <c r="M26" s="181"/>
      <c r="N26" s="181"/>
      <c r="O26" s="181"/>
      <c r="P26" s="181"/>
      <c r="R26" s="4"/>
      <c r="S26" s="4"/>
      <c r="T26" s="4"/>
      <c r="U26" s="4"/>
      <c r="V26" s="4"/>
    </row>
    <row r="27" spans="1:22" x14ac:dyDescent="0.35">
      <c r="A27" s="29" t="s">
        <v>98</v>
      </c>
      <c r="B27" s="211">
        <f>SUM(B23:B26)</f>
        <v>0</v>
      </c>
      <c r="C27" s="211">
        <f>SUM(C23:C26)</f>
        <v>0</v>
      </c>
      <c r="D27" s="211">
        <f t="shared" ref="D27:G27" si="10">SUM(D23:D26)</f>
        <v>0</v>
      </c>
      <c r="E27" s="301">
        <f t="shared" si="10"/>
        <v>0</v>
      </c>
      <c r="F27" s="211">
        <f t="shared" si="10"/>
        <v>0</v>
      </c>
      <c r="G27" s="211">
        <f t="shared" si="10"/>
        <v>0</v>
      </c>
      <c r="L27" s="181"/>
      <c r="M27" s="181"/>
      <c r="N27" s="181"/>
      <c r="O27" s="181"/>
      <c r="P27" s="181"/>
      <c r="R27" s="4"/>
      <c r="S27" s="4"/>
      <c r="T27" s="4"/>
      <c r="U27" s="4"/>
      <c r="V27" s="4"/>
    </row>
    <row r="28" spans="1:22" x14ac:dyDescent="0.35">
      <c r="A28" s="38"/>
      <c r="E28" s="302"/>
    </row>
    <row r="29" spans="1:22" x14ac:dyDescent="0.35">
      <c r="A29" s="38"/>
      <c r="E29" s="302"/>
    </row>
    <row r="30" spans="1:22" x14ac:dyDescent="0.35">
      <c r="A30" s="342" t="s">
        <v>302</v>
      </c>
      <c r="B30" s="69"/>
      <c r="C30" s="69"/>
      <c r="D30" s="147"/>
      <c r="E30" s="302"/>
      <c r="J30" s="283"/>
      <c r="K30" s="283"/>
      <c r="L30" s="283"/>
      <c r="M30" s="283"/>
      <c r="N30" s="283"/>
      <c r="O30" s="283"/>
      <c r="P30" s="283"/>
      <c r="Q30" s="283"/>
    </row>
    <row r="31" spans="1:22" x14ac:dyDescent="0.35">
      <c r="A31" s="347" t="s">
        <v>22</v>
      </c>
      <c r="B31" s="24"/>
      <c r="C31" s="24"/>
      <c r="D31" s="24"/>
      <c r="E31" s="303"/>
      <c r="F31" s="211">
        <f>SUM(B31:E31)</f>
        <v>0</v>
      </c>
      <c r="G31" s="211">
        <f>ROUND(F31/12*0,2)</f>
        <v>0</v>
      </c>
      <c r="J31" s="284"/>
      <c r="K31" s="284"/>
      <c r="L31" s="284"/>
      <c r="M31" s="181"/>
      <c r="N31" s="181"/>
      <c r="O31" s="181"/>
      <c r="P31" s="181"/>
      <c r="R31" s="4"/>
      <c r="S31" s="4"/>
      <c r="T31" s="4"/>
      <c r="U31" s="4"/>
      <c r="V31" s="4"/>
    </row>
    <row r="32" spans="1:22" x14ac:dyDescent="0.35">
      <c r="A32" s="347" t="s">
        <v>23</v>
      </c>
      <c r="B32" s="210"/>
      <c r="C32" s="210"/>
      <c r="D32" s="210"/>
      <c r="E32" s="304"/>
      <c r="F32" s="211">
        <f>SUM(B32:E32)</f>
        <v>0</v>
      </c>
      <c r="G32" s="211">
        <f t="shared" ref="G32" si="11">SUM(G35:G38)</f>
        <v>0</v>
      </c>
      <c r="M32" s="181"/>
      <c r="N32" s="181"/>
      <c r="O32" s="181"/>
      <c r="P32" s="181"/>
      <c r="R32" s="4"/>
      <c r="S32" s="4"/>
      <c r="T32" s="4"/>
      <c r="U32" s="4"/>
      <c r="V32" s="4"/>
    </row>
    <row r="33" spans="1:22" x14ac:dyDescent="0.35">
      <c r="A33" s="347" t="s">
        <v>3</v>
      </c>
      <c r="B33" s="211">
        <f t="shared" ref="B33:G33" si="12">SUM(B31:B32)</f>
        <v>0</v>
      </c>
      <c r="C33" s="211">
        <f t="shared" si="12"/>
        <v>0</v>
      </c>
      <c r="D33" s="211">
        <f t="shared" si="12"/>
        <v>0</v>
      </c>
      <c r="E33" s="301">
        <f t="shared" si="12"/>
        <v>0</v>
      </c>
      <c r="F33" s="211">
        <f t="shared" si="12"/>
        <v>0</v>
      </c>
      <c r="G33" s="211">
        <f t="shared" si="12"/>
        <v>0</v>
      </c>
      <c r="M33" s="181"/>
      <c r="N33" s="181"/>
      <c r="O33" s="181"/>
      <c r="P33" s="181"/>
      <c r="R33" s="4"/>
      <c r="S33" s="4"/>
      <c r="T33" s="4"/>
      <c r="U33" s="4"/>
      <c r="V33" s="4"/>
    </row>
    <row r="34" spans="1:22" x14ac:dyDescent="0.35">
      <c r="A34" s="38"/>
      <c r="B34" s="208"/>
      <c r="C34" s="208"/>
      <c r="D34" s="209"/>
      <c r="E34" s="302"/>
      <c r="M34" s="181"/>
      <c r="N34" s="181"/>
      <c r="O34" s="181"/>
      <c r="P34" s="181"/>
    </row>
    <row r="35" spans="1:22" x14ac:dyDescent="0.35">
      <c r="A35" s="347" t="s">
        <v>94</v>
      </c>
      <c r="B35" s="24"/>
      <c r="C35" s="24"/>
      <c r="D35" s="24"/>
      <c r="E35" s="304"/>
      <c r="F35" s="211">
        <f t="shared" ref="F35:F38" si="13">SUM(B35:E35)</f>
        <v>0</v>
      </c>
      <c r="G35" s="211">
        <f>ROUND(F35/12*0,2)</f>
        <v>0</v>
      </c>
      <c r="J35" s="284"/>
      <c r="K35" s="284"/>
      <c r="L35" s="284"/>
      <c r="M35" s="181"/>
      <c r="N35" s="181"/>
      <c r="O35" s="181"/>
      <c r="P35" s="181"/>
      <c r="R35" s="4"/>
      <c r="S35" s="4"/>
      <c r="T35" s="4"/>
      <c r="U35" s="4"/>
      <c r="V35" s="4"/>
    </row>
    <row r="36" spans="1:22" x14ac:dyDescent="0.35">
      <c r="A36" s="347" t="s">
        <v>95</v>
      </c>
      <c r="B36" s="210"/>
      <c r="C36" s="210"/>
      <c r="D36" s="210"/>
      <c r="E36" s="304"/>
      <c r="F36" s="211">
        <f t="shared" si="13"/>
        <v>0</v>
      </c>
      <c r="G36" s="211">
        <f t="shared" ref="G36:G38" si="14">ROUND(F36/12*0,2)</f>
        <v>0</v>
      </c>
      <c r="J36" s="284"/>
      <c r="K36" s="284"/>
      <c r="L36" s="284"/>
      <c r="M36" s="181"/>
      <c r="N36" s="181"/>
      <c r="O36" s="181"/>
      <c r="P36" s="181"/>
      <c r="R36" s="4"/>
      <c r="S36" s="4"/>
      <c r="T36" s="4"/>
      <c r="U36" s="4"/>
      <c r="V36" s="4"/>
    </row>
    <row r="37" spans="1:22" x14ac:dyDescent="0.35">
      <c r="A37" s="347" t="s">
        <v>96</v>
      </c>
      <c r="B37" s="24"/>
      <c r="C37" s="24"/>
      <c r="D37" s="24"/>
      <c r="E37" s="303"/>
      <c r="F37" s="211">
        <f t="shared" si="13"/>
        <v>0</v>
      </c>
      <c r="G37" s="211">
        <f t="shared" si="14"/>
        <v>0</v>
      </c>
      <c r="J37" s="284"/>
      <c r="K37" s="284"/>
      <c r="L37" s="284"/>
      <c r="M37" s="181"/>
      <c r="N37" s="181"/>
      <c r="O37" s="181"/>
      <c r="P37" s="181"/>
      <c r="R37" s="4"/>
      <c r="S37" s="4"/>
      <c r="T37" s="4"/>
      <c r="U37" s="4"/>
      <c r="V37" s="4"/>
    </row>
    <row r="38" spans="1:22" x14ac:dyDescent="0.35">
      <c r="A38" s="347" t="s">
        <v>97</v>
      </c>
      <c r="B38" s="210"/>
      <c r="C38" s="210"/>
      <c r="D38" s="210"/>
      <c r="E38" s="304"/>
      <c r="F38" s="211">
        <f t="shared" si="13"/>
        <v>0</v>
      </c>
      <c r="G38" s="211">
        <f t="shared" si="14"/>
        <v>0</v>
      </c>
      <c r="J38" s="284"/>
      <c r="K38" s="284"/>
      <c r="L38" s="284"/>
      <c r="M38" s="181"/>
      <c r="N38" s="181"/>
      <c r="O38" s="181"/>
      <c r="P38" s="181"/>
      <c r="R38" s="4"/>
      <c r="S38" s="4"/>
      <c r="T38" s="4"/>
      <c r="U38" s="4"/>
      <c r="V38" s="4"/>
    </row>
    <row r="39" spans="1:22" x14ac:dyDescent="0.35">
      <c r="A39" s="29" t="s">
        <v>98</v>
      </c>
      <c r="B39" s="211">
        <f>SUM(B35:B38)</f>
        <v>0</v>
      </c>
      <c r="C39" s="211">
        <f>SUM(C35:C38)</f>
        <v>0</v>
      </c>
      <c r="D39" s="211">
        <f t="shared" ref="D39:G39" si="15">SUM(D35:D38)</f>
        <v>0</v>
      </c>
      <c r="E39" s="301">
        <f t="shared" si="15"/>
        <v>0</v>
      </c>
      <c r="F39" s="211">
        <f t="shared" si="15"/>
        <v>0</v>
      </c>
      <c r="G39" s="211">
        <f t="shared" si="15"/>
        <v>0</v>
      </c>
      <c r="L39" s="181"/>
      <c r="M39" s="181"/>
      <c r="N39" s="181"/>
      <c r="O39" s="181"/>
      <c r="P39" s="181"/>
      <c r="R39" s="4"/>
      <c r="S39" s="4"/>
      <c r="T39" s="4"/>
      <c r="U39" s="4"/>
      <c r="V39" s="4"/>
    </row>
    <row r="40" spans="1:22" x14ac:dyDescent="0.35">
      <c r="A40" s="38"/>
      <c r="E40" s="302"/>
    </row>
    <row r="41" spans="1:22" x14ac:dyDescent="0.35">
      <c r="A41" s="38"/>
      <c r="E41" s="302"/>
    </row>
    <row r="42" spans="1:22" x14ac:dyDescent="0.35">
      <c r="A42" s="342" t="s">
        <v>303</v>
      </c>
      <c r="B42" s="69"/>
      <c r="C42" s="69"/>
      <c r="D42" s="147"/>
      <c r="E42" s="302"/>
      <c r="J42" s="283"/>
      <c r="K42" s="283"/>
      <c r="L42" s="283"/>
      <c r="M42" s="283"/>
      <c r="N42" s="283"/>
      <c r="O42" s="283"/>
      <c r="P42" s="283"/>
      <c r="Q42" s="283"/>
    </row>
    <row r="43" spans="1:22" x14ac:dyDescent="0.35">
      <c r="A43" s="347" t="s">
        <v>22</v>
      </c>
      <c r="B43" s="24"/>
      <c r="C43" s="24"/>
      <c r="D43" s="24"/>
      <c r="E43" s="303"/>
      <c r="F43" s="211">
        <f>SUM(B43:E43)</f>
        <v>0</v>
      </c>
      <c r="G43" s="211">
        <f>ROUND(F43/12*0,2)</f>
        <v>0</v>
      </c>
      <c r="J43" s="284"/>
      <c r="K43" s="284"/>
      <c r="L43" s="284"/>
      <c r="M43" s="284"/>
      <c r="N43" s="284"/>
      <c r="O43" s="284"/>
      <c r="P43" s="284"/>
      <c r="Q43" s="284"/>
      <c r="R43" s="4"/>
      <c r="S43" s="4"/>
      <c r="T43" s="4"/>
      <c r="U43" s="4"/>
      <c r="V43" s="4"/>
    </row>
    <row r="44" spans="1:22" x14ac:dyDescent="0.35">
      <c r="A44" s="347" t="s">
        <v>23</v>
      </c>
      <c r="B44" s="210"/>
      <c r="C44" s="210"/>
      <c r="D44" s="210"/>
      <c r="E44" s="304"/>
      <c r="F44" s="211">
        <f>SUM(B44:E44)</f>
        <v>0</v>
      </c>
      <c r="G44" s="211">
        <f t="shared" ref="G44" si="16">SUM(G47:G50)</f>
        <v>0</v>
      </c>
      <c r="R44" s="4"/>
      <c r="S44" s="4"/>
      <c r="T44" s="4"/>
      <c r="U44" s="4"/>
      <c r="V44" s="4"/>
    </row>
    <row r="45" spans="1:22" x14ac:dyDescent="0.35">
      <c r="A45" s="347" t="s">
        <v>3</v>
      </c>
      <c r="B45" s="211">
        <f t="shared" ref="B45:G45" si="17">SUM(B43:B44)</f>
        <v>0</v>
      </c>
      <c r="C45" s="211">
        <f t="shared" si="17"/>
        <v>0</v>
      </c>
      <c r="D45" s="211">
        <f t="shared" si="17"/>
        <v>0</v>
      </c>
      <c r="E45" s="301">
        <f t="shared" si="17"/>
        <v>0</v>
      </c>
      <c r="F45" s="211">
        <f t="shared" si="17"/>
        <v>0</v>
      </c>
      <c r="G45" s="211">
        <f t="shared" si="17"/>
        <v>0</v>
      </c>
      <c r="R45" s="4"/>
      <c r="S45" s="4"/>
      <c r="T45" s="4"/>
      <c r="U45" s="4"/>
      <c r="V45" s="4"/>
    </row>
    <row r="46" spans="1:22" x14ac:dyDescent="0.35">
      <c r="A46" s="38"/>
      <c r="B46" s="208"/>
      <c r="C46" s="208"/>
      <c r="D46" s="209"/>
      <c r="E46" s="302"/>
    </row>
    <row r="47" spans="1:22" x14ac:dyDescent="0.35">
      <c r="A47" s="347" t="s">
        <v>94</v>
      </c>
      <c r="B47" s="24"/>
      <c r="C47" s="24"/>
      <c r="D47" s="24"/>
      <c r="E47" s="304"/>
      <c r="F47" s="211">
        <f t="shared" ref="F47:F50" si="18">SUM(B47:E47)</f>
        <v>0</v>
      </c>
      <c r="G47" s="211">
        <f>ROUND(F47/12*0,2)</f>
        <v>0</v>
      </c>
      <c r="J47" s="284"/>
      <c r="K47" s="284"/>
      <c r="L47" s="284"/>
      <c r="M47" s="284"/>
      <c r="N47" s="284"/>
      <c r="O47" s="284"/>
      <c r="P47" s="284"/>
      <c r="Q47" s="284"/>
      <c r="R47" s="4"/>
      <c r="S47" s="4"/>
      <c r="T47" s="4"/>
      <c r="U47" s="4"/>
      <c r="V47" s="4"/>
    </row>
    <row r="48" spans="1:22" x14ac:dyDescent="0.35">
      <c r="A48" s="347" t="s">
        <v>95</v>
      </c>
      <c r="B48" s="210"/>
      <c r="C48" s="210"/>
      <c r="D48" s="210"/>
      <c r="E48" s="304"/>
      <c r="F48" s="211">
        <f t="shared" si="18"/>
        <v>0</v>
      </c>
      <c r="G48" s="211">
        <f t="shared" ref="G48:G50" si="19">ROUND(F48/12*0,2)</f>
        <v>0</v>
      </c>
      <c r="J48" s="284"/>
      <c r="K48" s="284"/>
      <c r="L48" s="284"/>
      <c r="M48" s="284"/>
      <c r="N48" s="284"/>
      <c r="O48" s="284"/>
      <c r="P48" s="284"/>
      <c r="Q48" s="284"/>
      <c r="R48" s="4"/>
      <c r="S48" s="4"/>
      <c r="T48" s="4"/>
      <c r="U48" s="4"/>
      <c r="V48" s="4"/>
    </row>
    <row r="49" spans="1:22" x14ac:dyDescent="0.35">
      <c r="A49" s="347" t="s">
        <v>96</v>
      </c>
      <c r="B49" s="24"/>
      <c r="C49" s="24"/>
      <c r="D49" s="24"/>
      <c r="E49" s="303"/>
      <c r="F49" s="211">
        <f t="shared" si="18"/>
        <v>0</v>
      </c>
      <c r="G49" s="211">
        <f t="shared" si="19"/>
        <v>0</v>
      </c>
      <c r="J49" s="284"/>
      <c r="K49" s="284"/>
      <c r="L49" s="284"/>
      <c r="M49" s="284"/>
      <c r="N49" s="284"/>
      <c r="O49" s="284"/>
      <c r="P49" s="284"/>
      <c r="Q49" s="284"/>
      <c r="R49" s="4"/>
      <c r="S49" s="4"/>
      <c r="T49" s="4"/>
      <c r="U49" s="4"/>
      <c r="V49" s="4"/>
    </row>
    <row r="50" spans="1:22" x14ac:dyDescent="0.35">
      <c r="A50" s="347" t="s">
        <v>97</v>
      </c>
      <c r="B50" s="210"/>
      <c r="C50" s="210"/>
      <c r="D50" s="210"/>
      <c r="E50" s="304"/>
      <c r="F50" s="211">
        <f t="shared" si="18"/>
        <v>0</v>
      </c>
      <c r="G50" s="211">
        <f t="shared" si="19"/>
        <v>0</v>
      </c>
      <c r="J50" s="284"/>
      <c r="K50" s="284"/>
      <c r="L50" s="284"/>
      <c r="M50" s="284"/>
      <c r="N50" s="284"/>
      <c r="O50" s="284"/>
      <c r="P50" s="284"/>
      <c r="Q50" s="284"/>
      <c r="R50" s="4"/>
      <c r="S50" s="4"/>
      <c r="T50" s="4"/>
      <c r="U50" s="4"/>
      <c r="V50" s="4"/>
    </row>
    <row r="51" spans="1:22" x14ac:dyDescent="0.35">
      <c r="A51" s="29" t="s">
        <v>98</v>
      </c>
      <c r="B51" s="211">
        <f>SUM(B47:B50)</f>
        <v>0</v>
      </c>
      <c r="C51" s="211">
        <f>SUM(C47:C50)</f>
        <v>0</v>
      </c>
      <c r="D51" s="211">
        <f t="shared" ref="D51:G51" si="20">SUM(D47:D50)</f>
        <v>0</v>
      </c>
      <c r="E51" s="301">
        <f t="shared" si="20"/>
        <v>0</v>
      </c>
      <c r="F51" s="211">
        <f t="shared" si="20"/>
        <v>0</v>
      </c>
      <c r="G51" s="211">
        <f t="shared" si="20"/>
        <v>0</v>
      </c>
      <c r="L51" s="181"/>
      <c r="M51" s="181"/>
      <c r="N51" s="181"/>
      <c r="O51" s="181"/>
      <c r="P51" s="181"/>
      <c r="R51" s="4"/>
      <c r="S51" s="4"/>
      <c r="T51" s="4"/>
      <c r="U51" s="4"/>
      <c r="V51" s="4"/>
    </row>
    <row r="52" spans="1:22" x14ac:dyDescent="0.35">
      <c r="A52" s="38"/>
      <c r="E52" s="302"/>
    </row>
    <row r="53" spans="1:22" x14ac:dyDescent="0.35">
      <c r="E53" s="302"/>
    </row>
    <row r="54" spans="1:22" x14ac:dyDescent="0.35">
      <c r="A54" s="52" t="s">
        <v>9</v>
      </c>
    </row>
    <row r="55" spans="1:22" x14ac:dyDescent="0.35">
      <c r="A55" s="62" t="s">
        <v>299</v>
      </c>
      <c r="B55" s="38"/>
      <c r="C55" s="38"/>
      <c r="D55" s="38"/>
      <c r="E55" s="38"/>
      <c r="F55" s="38"/>
      <c r="G55" s="38"/>
      <c r="H55" s="38"/>
      <c r="I55" s="38"/>
      <c r="J55" s="38"/>
      <c r="K55" s="38"/>
    </row>
    <row r="56" spans="1:22" x14ac:dyDescent="0.35">
      <c r="A56" s="62" t="s">
        <v>232</v>
      </c>
      <c r="B56" s="38"/>
      <c r="C56" s="38"/>
      <c r="D56" s="38"/>
      <c r="E56" s="38"/>
      <c r="F56" s="38"/>
      <c r="G56" s="38"/>
      <c r="H56" s="38"/>
      <c r="I56" s="38"/>
      <c r="J56" s="38"/>
      <c r="K56" s="38"/>
    </row>
    <row r="57" spans="1:22" x14ac:dyDescent="0.35">
      <c r="A57" s="62" t="s">
        <v>233</v>
      </c>
      <c r="B57" s="38"/>
      <c r="C57" s="38"/>
      <c r="D57" s="38"/>
      <c r="E57" s="38"/>
      <c r="F57" s="38"/>
      <c r="G57" s="38"/>
      <c r="H57" s="38"/>
      <c r="I57" s="38"/>
      <c r="J57" s="38"/>
      <c r="K57" s="38"/>
    </row>
    <row r="58" spans="1:22" x14ac:dyDescent="0.35">
      <c r="A58" s="62" t="s">
        <v>234</v>
      </c>
      <c r="B58" s="38"/>
      <c r="C58" s="38"/>
      <c r="D58" s="38"/>
      <c r="E58" s="38"/>
      <c r="F58" s="38"/>
      <c r="G58" s="38"/>
      <c r="H58" s="38"/>
      <c r="I58" s="38"/>
      <c r="J58" s="38"/>
      <c r="K58" s="38"/>
    </row>
    <row r="59" spans="1:22" s="38" customFormat="1" x14ac:dyDescent="0.35">
      <c r="A59" s="62" t="s">
        <v>144</v>
      </c>
    </row>
    <row r="60" spans="1:22" ht="30.75" customHeight="1" x14ac:dyDescent="0.35">
      <c r="A60" s="351" t="s">
        <v>300</v>
      </c>
      <c r="B60" s="351"/>
      <c r="C60" s="351"/>
      <c r="D60" s="351"/>
      <c r="E60" s="351"/>
      <c r="F60" s="351"/>
      <c r="G60" s="351"/>
      <c r="H60" s="351"/>
      <c r="I60" s="351"/>
      <c r="J60" s="351"/>
      <c r="K60" s="351"/>
    </row>
  </sheetData>
  <mergeCells count="2">
    <mergeCell ref="B3:D3"/>
    <mergeCell ref="A60:K6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codeName="Sheet20">
    <pageSetUpPr fitToPage="1"/>
  </sheetPr>
  <dimension ref="A1:AI71"/>
  <sheetViews>
    <sheetView zoomScale="85" zoomScaleNormal="85" workbookViewId="0"/>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2.453125" style="45" customWidth="1" outlineLevel="1"/>
    <col min="5" max="5" width="15.453125" style="45" customWidth="1"/>
    <col min="6" max="6" width="15.81640625" style="45" bestFit="1" customWidth="1"/>
    <col min="7" max="7" width="12.26953125" style="45" bestFit="1" customWidth="1"/>
    <col min="8" max="9" width="13.26953125" style="45" bestFit="1" customWidth="1"/>
    <col min="10" max="10" width="12.26953125" style="45" bestFit="1" customWidth="1"/>
    <col min="11" max="11" width="12.54296875" style="45" customWidth="1"/>
    <col min="12" max="12" width="12.81640625" style="45" customWidth="1"/>
    <col min="13" max="13" width="16" style="45" customWidth="1"/>
    <col min="14" max="14" width="15" style="45" bestFit="1" customWidth="1"/>
    <col min="15" max="15" width="16" style="45" bestFit="1" customWidth="1"/>
    <col min="16" max="16" width="15.26953125" style="45" hidden="1" customWidth="1" outlineLevel="1"/>
    <col min="17" max="17" width="17.453125" style="45" bestFit="1" customWidth="1" collapsed="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62" t="str">
        <f>'PTD Cycle 3'!A1</f>
        <v>Evergy Metro, Inc. - DSIM Rider Update Filed 06/02/2025</v>
      </c>
      <c r="B1" s="3"/>
      <c r="C1" s="3"/>
      <c r="D1" s="3"/>
    </row>
    <row r="2" spans="1:35" x14ac:dyDescent="0.35">
      <c r="E2" s="3" t="s">
        <v>127</v>
      </c>
    </row>
    <row r="3" spans="1:35" ht="29" x14ac:dyDescent="0.35">
      <c r="E3" s="47" t="s">
        <v>40</v>
      </c>
      <c r="F3" s="69" t="s">
        <v>52</v>
      </c>
      <c r="G3" s="47" t="s">
        <v>1</v>
      </c>
      <c r="H3" s="69" t="s">
        <v>49</v>
      </c>
      <c r="I3" s="47" t="s">
        <v>8</v>
      </c>
      <c r="J3" s="47" t="s">
        <v>53</v>
      </c>
      <c r="S3" s="47"/>
    </row>
    <row r="4" spans="1:35" x14ac:dyDescent="0.35">
      <c r="A4" s="19" t="s">
        <v>22</v>
      </c>
      <c r="B4" s="19"/>
      <c r="C4" s="19"/>
      <c r="D4" s="19"/>
      <c r="E4" s="21">
        <f>SUM(C19:M19)</f>
        <v>-14231.473323292099</v>
      </c>
      <c r="F4" s="21">
        <f>SUM(C26:L26)</f>
        <v>-7952.6799999999985</v>
      </c>
      <c r="G4" s="21">
        <f>F4-E4</f>
        <v>6278.7933232921005</v>
      </c>
      <c r="H4" s="21">
        <f>+B42</f>
        <v>-24606.414860000004</v>
      </c>
      <c r="I4" s="21">
        <f>SUM(C50:L50)</f>
        <v>-666.82</v>
      </c>
      <c r="J4" s="24">
        <f>SUM(G4:I4)</f>
        <v>-18994.441536707905</v>
      </c>
      <c r="K4" s="46">
        <f>+J4-M42</f>
        <v>0</v>
      </c>
      <c r="M4" s="46"/>
      <c r="N4" s="46"/>
    </row>
    <row r="5" spans="1:35" ht="15" thickBot="1" x14ac:dyDescent="0.4">
      <c r="A5" s="19" t="s">
        <v>23</v>
      </c>
      <c r="B5" s="19"/>
      <c r="C5" s="19"/>
      <c r="D5" s="19"/>
      <c r="E5" s="21">
        <f>SUM(C20:M23)</f>
        <v>-6235.5359100000014</v>
      </c>
      <c r="F5" s="21">
        <f>SUM(C27:L30)</f>
        <v>-3131.0799999999977</v>
      </c>
      <c r="G5" s="21">
        <f>F5-E5</f>
        <v>3104.4559100000038</v>
      </c>
      <c r="H5" s="21">
        <f>SUM(B43:B46)</f>
        <v>9423.0394299997861</v>
      </c>
      <c r="I5" s="21">
        <f>SUM(C51:L54)</f>
        <v>293.1400000000009</v>
      </c>
      <c r="J5" s="24">
        <f>SUM(G5:I5)</f>
        <v>12820.635339999792</v>
      </c>
      <c r="K5" s="46">
        <f>+J5-SUM(M43:M46)</f>
        <v>-2.7284841053187847E-11</v>
      </c>
      <c r="N5" s="46"/>
    </row>
    <row r="6" spans="1:35" ht="15.5" thickTop="1" thickBot="1" x14ac:dyDescent="0.4">
      <c r="E6" s="26">
        <f t="shared" ref="E6:J6" si="0">SUM(E4:E5)</f>
        <v>-20467.009233292101</v>
      </c>
      <c r="F6" s="26">
        <f t="shared" si="0"/>
        <v>-11083.759999999997</v>
      </c>
      <c r="G6" s="26">
        <f t="shared" si="0"/>
        <v>9383.2492332921047</v>
      </c>
      <c r="H6" s="26">
        <f t="shared" si="0"/>
        <v>-15183.375430000218</v>
      </c>
      <c r="I6" s="26">
        <f t="shared" si="0"/>
        <v>-373.67999999999915</v>
      </c>
      <c r="J6" s="26">
        <f t="shared" si="0"/>
        <v>-6173.8061967081139</v>
      </c>
      <c r="T6" s="5"/>
    </row>
    <row r="7" spans="1:35" ht="44" thickTop="1" x14ac:dyDescent="0.35">
      <c r="J7" s="217"/>
      <c r="K7" s="216" t="s">
        <v>108</v>
      </c>
    </row>
    <row r="8" spans="1:35" ht="17.25" customHeight="1" x14ac:dyDescent="0.35">
      <c r="A8" s="19" t="s">
        <v>94</v>
      </c>
      <c r="J8" s="24">
        <f>ROUND($J$5*K8,2)</f>
        <v>1740.59</v>
      </c>
      <c r="K8" s="214">
        <f>'TDR Cycle 2'!L8</f>
        <v>0.13576441564001979</v>
      </c>
      <c r="M8" s="46"/>
    </row>
    <row r="9" spans="1:35" ht="17.25" customHeight="1" x14ac:dyDescent="0.35">
      <c r="A9" s="19" t="s">
        <v>95</v>
      </c>
      <c r="J9" s="24">
        <f t="shared" ref="J9:J11" si="1">ROUND($J$5*K9,2)</f>
        <v>4565.63</v>
      </c>
      <c r="K9" s="214">
        <f>'TDR Cycle 2'!L9</f>
        <v>0.35611574316442379</v>
      </c>
      <c r="M9" s="46"/>
    </row>
    <row r="10" spans="1:35" ht="17.25" customHeight="1" x14ac:dyDescent="0.35">
      <c r="A10" s="19" t="s">
        <v>96</v>
      </c>
      <c r="J10" s="24">
        <f t="shared" si="1"/>
        <v>5363.11</v>
      </c>
      <c r="K10" s="214">
        <f>'TDR Cycle 2'!L10</f>
        <v>0.4183185730547726</v>
      </c>
      <c r="M10" s="46"/>
    </row>
    <row r="11" spans="1:35" ht="17.25" customHeight="1" thickBot="1" x14ac:dyDescent="0.4">
      <c r="A11" s="19" t="s">
        <v>97</v>
      </c>
      <c r="J11" s="24">
        <f t="shared" si="1"/>
        <v>1151.31</v>
      </c>
      <c r="K11" s="214">
        <f>'TDR Cycle 2'!L11</f>
        <v>8.9801268140783777E-2</v>
      </c>
      <c r="M11" s="46"/>
    </row>
    <row r="12" spans="1:35" ht="17.25" customHeight="1" thickTop="1" thickBot="1" x14ac:dyDescent="0.4">
      <c r="A12" s="19" t="s">
        <v>98</v>
      </c>
      <c r="J12" s="26">
        <f>SUM(J8:J11)</f>
        <v>12820.64</v>
      </c>
      <c r="K12" s="215">
        <f>SUM(K8:K11)</f>
        <v>1</v>
      </c>
    </row>
    <row r="13" spans="1:35" ht="15.5" thickTop="1" thickBot="1" x14ac:dyDescent="0.4">
      <c r="V13" s="4"/>
      <c r="W13" s="5"/>
    </row>
    <row r="14" spans="1:35" ht="116.5" thickBot="1" x14ac:dyDescent="0.4">
      <c r="B14" s="112" t="str">
        <f>'PCR Cycle 4'!B$11</f>
        <v>Cumulative Over/Under Carryover From 12/01/2024 Filing</v>
      </c>
      <c r="C14" s="256" t="str">
        <f>'PCR Cycle 4'!C$11</f>
        <v>Reverse November 2024 - January 2025 Forecast From 12/01/2024 Filing</v>
      </c>
      <c r="D14" s="256"/>
      <c r="E14" s="357" t="s">
        <v>28</v>
      </c>
      <c r="F14" s="357"/>
      <c r="G14" s="358"/>
      <c r="H14" s="363" t="s">
        <v>28</v>
      </c>
      <c r="I14" s="364"/>
      <c r="J14" s="365"/>
      <c r="K14" s="352" t="s">
        <v>6</v>
      </c>
      <c r="L14" s="353"/>
      <c r="M14" s="354"/>
      <c r="P14" s="274" t="s">
        <v>210</v>
      </c>
    </row>
    <row r="15" spans="1:35" x14ac:dyDescent="0.35">
      <c r="A15" s="45" t="s">
        <v>76</v>
      </c>
      <c r="C15" s="102"/>
      <c r="D15" s="254"/>
      <c r="E15" s="18">
        <f>+'PCR Cycle 4'!E$12</f>
        <v>45626</v>
      </c>
      <c r="F15" s="18">
        <f>+'PCR Cycle 4'!F$12</f>
        <v>45657</v>
      </c>
      <c r="G15" s="18">
        <f>+'PCR Cycle 4'!G$12</f>
        <v>45688</v>
      </c>
      <c r="H15" s="13">
        <f>+'PCR Cycle 4'!H$12</f>
        <v>45716</v>
      </c>
      <c r="I15" s="18">
        <f>+'PCR Cycle 4'!I$12</f>
        <v>45747</v>
      </c>
      <c r="J15" s="14">
        <f>+'PCR Cycle 4'!J$12</f>
        <v>45777</v>
      </c>
      <c r="K15" s="18">
        <f>+'PCR Cycle 4'!K$12</f>
        <v>45808</v>
      </c>
      <c r="L15" s="18">
        <f>+'PCR Cycle 4'!L$12</f>
        <v>45838</v>
      </c>
      <c r="M15" s="93">
        <f>+'PCR Cycle 4'!M$12</f>
        <v>45869</v>
      </c>
      <c r="P15" s="181"/>
      <c r="Z15" s="1"/>
      <c r="AA15" s="1"/>
      <c r="AB15" s="1"/>
      <c r="AC15" s="1"/>
      <c r="AD15" s="1"/>
      <c r="AE15" s="1"/>
      <c r="AF15" s="1"/>
      <c r="AG15" s="1"/>
      <c r="AH15" s="1"/>
      <c r="AI15" s="1"/>
    </row>
    <row r="16" spans="1:35" x14ac:dyDescent="0.35">
      <c r="A16" s="45" t="s">
        <v>3</v>
      </c>
      <c r="C16" s="95">
        <v>5233.7199999999993</v>
      </c>
      <c r="D16" s="95"/>
      <c r="E16" s="106">
        <f t="shared" ref="E16:L16" si="2">SUM(E26:E30)</f>
        <v>-2616.8599999999997</v>
      </c>
      <c r="F16" s="106">
        <f t="shared" si="2"/>
        <v>-2616.8599999999997</v>
      </c>
      <c r="G16" s="107">
        <f t="shared" si="2"/>
        <v>-2616.8599999999997</v>
      </c>
      <c r="H16" s="15">
        <f t="shared" si="2"/>
        <v>-1693.38</v>
      </c>
      <c r="I16" s="54">
        <f t="shared" si="2"/>
        <v>-1693.38</v>
      </c>
      <c r="J16" s="159">
        <f t="shared" si="2"/>
        <v>-1693.38</v>
      </c>
      <c r="K16" s="152">
        <f t="shared" si="2"/>
        <v>-1693.38</v>
      </c>
      <c r="L16" s="76">
        <f t="shared" si="2"/>
        <v>-1693.38</v>
      </c>
      <c r="M16" s="77"/>
      <c r="P16" s="181">
        <f>-SUM(K16:M16)</f>
        <v>3386.76</v>
      </c>
    </row>
    <row r="17" spans="1:16" x14ac:dyDescent="0.35">
      <c r="C17" s="97"/>
      <c r="D17" s="97"/>
      <c r="E17" s="16"/>
      <c r="F17" s="16"/>
      <c r="G17" s="16"/>
      <c r="H17" s="9"/>
      <c r="I17" s="16"/>
      <c r="J17" s="10"/>
      <c r="K17" s="30"/>
      <c r="L17" s="30"/>
      <c r="M17" s="28"/>
      <c r="P17" s="181"/>
    </row>
    <row r="18" spans="1:16" x14ac:dyDescent="0.35">
      <c r="A18" s="45" t="s">
        <v>77</v>
      </c>
      <c r="C18" s="97"/>
      <c r="D18" s="97"/>
      <c r="E18" s="17"/>
      <c r="F18" s="17"/>
      <c r="G18" s="17"/>
      <c r="H18" s="89"/>
      <c r="I18" s="17"/>
      <c r="J18" s="160"/>
      <c r="K18" s="30"/>
      <c r="L18" s="30"/>
      <c r="M18" s="28"/>
      <c r="N18" s="62" t="s">
        <v>44</v>
      </c>
      <c r="O18" s="38"/>
      <c r="P18" s="181"/>
    </row>
    <row r="19" spans="1:16" x14ac:dyDescent="0.35">
      <c r="A19" s="45" t="s">
        <v>22</v>
      </c>
      <c r="C19" s="95">
        <v>13496.435140000001</v>
      </c>
      <c r="D19" s="95"/>
      <c r="E19" s="129">
        <f>'[10]November 2024'!$G70</f>
        <v>-2993.05</v>
      </c>
      <c r="F19" s="129">
        <f>'[10]December 2024'!$G70</f>
        <v>-4269.0600000000004</v>
      </c>
      <c r="G19" s="129">
        <f>'[10]January 2025'!$G70</f>
        <v>-5219.78</v>
      </c>
      <c r="H19" s="178">
        <f>'[10]February 2025'!$G70</f>
        <v>-4733.92</v>
      </c>
      <c r="I19" s="115">
        <f>'[10]March 2025'!$G70</f>
        <v>-2342.77</v>
      </c>
      <c r="J19" s="161">
        <f>'[10]April 2025'!$G70</f>
        <v>-1519.07</v>
      </c>
      <c r="K19" s="117">
        <f>'PCR Cycle 4'!K22*$N19</f>
        <v>-1576.09478176679</v>
      </c>
      <c r="L19" s="40">
        <f>'PCR Cycle 4'!L22*$N19</f>
        <v>-2059.0665391496236</v>
      </c>
      <c r="M19" s="60">
        <f>'PCR Cycle 4'!M22*$N19</f>
        <v>-3015.0971423756882</v>
      </c>
      <c r="N19" s="71">
        <v>-1.0000000000000001E-5</v>
      </c>
      <c r="O19" s="4"/>
      <c r="P19" s="181">
        <f t="shared" ref="P19:P23" si="3">-SUM(K19:M19)</f>
        <v>6650.2584632921016</v>
      </c>
    </row>
    <row r="20" spans="1:16" x14ac:dyDescent="0.35">
      <c r="A20" s="45" t="s">
        <v>120</v>
      </c>
      <c r="C20" s="95">
        <v>0</v>
      </c>
      <c r="D20" s="95"/>
      <c r="E20" s="129">
        <f>'[10]November 2024'!$G71</f>
        <v>3.69</v>
      </c>
      <c r="F20" s="129">
        <f>'[10]December 2024'!$G71</f>
        <v>-0.06</v>
      </c>
      <c r="G20" s="129">
        <f>'[10]January 2025'!$G71</f>
        <v>9.65</v>
      </c>
      <c r="H20" s="178">
        <f>'[10]February 2025'!$G71</f>
        <v>-228.77</v>
      </c>
      <c r="I20" s="115">
        <f>'[10]March 2025'!$G71</f>
        <v>-877.39</v>
      </c>
      <c r="J20" s="161">
        <f>'[10]April 2025'!$G71</f>
        <v>-431.11</v>
      </c>
      <c r="K20" s="117">
        <f>'PCR Cycle 4'!K23*$N20</f>
        <v>-491.23963000000003</v>
      </c>
      <c r="L20" s="40">
        <f>'PCR Cycle 4'!L23*$N20</f>
        <v>-543.44539000000009</v>
      </c>
      <c r="M20" s="60">
        <f>'PCR Cycle 4'!M23*$N20</f>
        <v>-609.6303200000001</v>
      </c>
      <c r="N20" s="71">
        <v>-1.0000000000000001E-5</v>
      </c>
      <c r="O20" s="4"/>
      <c r="P20" s="181">
        <f t="shared" si="3"/>
        <v>1644.3153400000001</v>
      </c>
    </row>
    <row r="21" spans="1:16" x14ac:dyDescent="0.35">
      <c r="A21" s="45" t="s">
        <v>121</v>
      </c>
      <c r="C21" s="95">
        <v>-2820.2056900000002</v>
      </c>
      <c r="D21" s="95"/>
      <c r="E21" s="129">
        <f>'[10]November 2024'!$G72</f>
        <v>805.72</v>
      </c>
      <c r="F21" s="129">
        <f>'[10]December 2024'!$G72</f>
        <v>902.5</v>
      </c>
      <c r="G21" s="129">
        <f>'[10]January 2025'!$G72</f>
        <v>960.78</v>
      </c>
      <c r="H21" s="178">
        <f>'[10]February 2025'!$G72</f>
        <v>709.08</v>
      </c>
      <c r="I21" s="115">
        <f>'[10]March 2025'!$G72</f>
        <v>-1850.21</v>
      </c>
      <c r="J21" s="161">
        <f>'[10]April 2025'!$G72</f>
        <v>-297.82</v>
      </c>
      <c r="K21" s="117">
        <f>'PCR Cycle 4'!K24*$N21</f>
        <v>0</v>
      </c>
      <c r="L21" s="40">
        <f>'PCR Cycle 4'!L24*$N21</f>
        <v>0</v>
      </c>
      <c r="M21" s="60">
        <f>'PCR Cycle 4'!M24*$N21</f>
        <v>0</v>
      </c>
      <c r="N21" s="71">
        <v>0</v>
      </c>
      <c r="O21" s="4"/>
      <c r="P21" s="181">
        <f t="shared" si="3"/>
        <v>0</v>
      </c>
    </row>
    <row r="22" spans="1:16" x14ac:dyDescent="0.35">
      <c r="A22" s="45" t="s">
        <v>122</v>
      </c>
      <c r="C22" s="95">
        <v>-4571.6748400000006</v>
      </c>
      <c r="D22" s="95"/>
      <c r="E22" s="129">
        <f>'[10]November 2024'!$G73</f>
        <v>1377.59</v>
      </c>
      <c r="F22" s="129">
        <f>'[10]December 2024'!$G73</f>
        <v>1544.14</v>
      </c>
      <c r="G22" s="129">
        <f>'[10]January 2025'!$G73</f>
        <v>1589.99</v>
      </c>
      <c r="H22" s="178">
        <f>'[10]February 2025'!$G73</f>
        <v>1089.17</v>
      </c>
      <c r="I22" s="115">
        <f>'[10]March 2025'!$G73</f>
        <v>-938.87</v>
      </c>
      <c r="J22" s="161">
        <f>'[10]April 2025'!$G73</f>
        <v>-9.69</v>
      </c>
      <c r="K22" s="117">
        <f>'PCR Cycle 4'!K25*$N22</f>
        <v>0</v>
      </c>
      <c r="L22" s="40">
        <f>'PCR Cycle 4'!L25*$N22</f>
        <v>0</v>
      </c>
      <c r="M22" s="60">
        <f>'PCR Cycle 4'!M25*$N22</f>
        <v>0</v>
      </c>
      <c r="N22" s="71">
        <v>0</v>
      </c>
      <c r="O22" s="4"/>
      <c r="P22" s="181">
        <f t="shared" si="3"/>
        <v>0</v>
      </c>
    </row>
    <row r="23" spans="1:16" x14ac:dyDescent="0.35">
      <c r="A23" s="45" t="s">
        <v>123</v>
      </c>
      <c r="C23" s="95">
        <v>-2569.9100399999998</v>
      </c>
      <c r="D23" s="95"/>
      <c r="E23" s="129">
        <f>'[10]November 2024'!$G74</f>
        <v>757.46</v>
      </c>
      <c r="F23" s="129">
        <f>'[10]December 2024'!$G74</f>
        <v>569.77</v>
      </c>
      <c r="G23" s="129">
        <f>'[10]January 2025'!$G74</f>
        <v>729.55</v>
      </c>
      <c r="H23" s="178">
        <f>'[10]February 2025'!$G74</f>
        <v>579.08000000000004</v>
      </c>
      <c r="I23" s="115">
        <f>'[10]March 2025'!$G74</f>
        <v>-1623.68</v>
      </c>
      <c r="J23" s="161">
        <f>'[10]April 2025'!$G74</f>
        <v>0</v>
      </c>
      <c r="K23" s="117">
        <f>'PCR Cycle 4'!K26*$N23</f>
        <v>0</v>
      </c>
      <c r="L23" s="40">
        <f>'PCR Cycle 4'!L26*$N23</f>
        <v>0</v>
      </c>
      <c r="M23" s="60">
        <f>'PCR Cycle 4'!M26*$N23</f>
        <v>0</v>
      </c>
      <c r="N23" s="71">
        <v>0</v>
      </c>
      <c r="O23" s="4"/>
      <c r="P23" s="181">
        <f t="shared" si="3"/>
        <v>0</v>
      </c>
    </row>
    <row r="24" spans="1:16" x14ac:dyDescent="0.35">
      <c r="C24" s="66"/>
      <c r="D24" s="66"/>
      <c r="E24" s="67"/>
      <c r="F24" s="67"/>
      <c r="G24" s="67"/>
      <c r="H24" s="66"/>
      <c r="I24" s="67"/>
      <c r="J24" s="162"/>
      <c r="K24" s="55"/>
      <c r="L24" s="55"/>
      <c r="M24" s="12"/>
      <c r="O24" s="4"/>
    </row>
    <row r="25" spans="1:16" x14ac:dyDescent="0.35">
      <c r="A25" s="45" t="s">
        <v>78</v>
      </c>
      <c r="C25" s="35"/>
      <c r="D25" s="35"/>
      <c r="E25" s="36"/>
      <c r="F25" s="36"/>
      <c r="G25" s="36"/>
      <c r="H25" s="35"/>
      <c r="I25" s="36"/>
      <c r="J25" s="165"/>
      <c r="K25" s="51"/>
      <c r="L25" s="51"/>
      <c r="M25" s="37"/>
    </row>
    <row r="26" spans="1:16" x14ac:dyDescent="0.35">
      <c r="A26" s="45" t="s">
        <v>22</v>
      </c>
      <c r="C26" s="95">
        <v>3618.86</v>
      </c>
      <c r="D26" s="95"/>
      <c r="E26" s="106">
        <f>ROUND(+'EO Cycle 2'!$F$76/24+'EO Cycle 2'!$F$87/24,2)</f>
        <v>-1809.43</v>
      </c>
      <c r="F26" s="106">
        <f>ROUND(+'EO Cycle 2'!$F$76/24+'EO Cycle 2'!$F$87/24,2)</f>
        <v>-1809.43</v>
      </c>
      <c r="G26" s="106">
        <f>ROUND(+'EO Cycle 2'!$F$76/24+'EO Cycle 2'!$F$87/24,2)</f>
        <v>-1809.43</v>
      </c>
      <c r="H26" s="178">
        <f>ROUND(+'EO Cycle 2'!$F$87/24,2)</f>
        <v>-1228.6500000000001</v>
      </c>
      <c r="I26" s="115">
        <f>ROUND(+'EO Cycle 2'!$F$87/24,2)</f>
        <v>-1228.6500000000001</v>
      </c>
      <c r="J26" s="161">
        <f>ROUND(+'EO Cycle 2'!$F$87/24,2)</f>
        <v>-1228.6500000000001</v>
      </c>
      <c r="K26" s="136">
        <f>ROUND(+'EO Cycle 2'!$F$87/24,2)</f>
        <v>-1228.6500000000001</v>
      </c>
      <c r="L26" s="136">
        <f>ROUND(+'EO Cycle 2'!$F$87/24,2)</f>
        <v>-1228.6500000000001</v>
      </c>
      <c r="M26" s="77"/>
      <c r="P26" s="181">
        <f t="shared" ref="P26:P32" si="4">-SUM(K26:M26)</f>
        <v>2457.3000000000002</v>
      </c>
    </row>
    <row r="27" spans="1:16" x14ac:dyDescent="0.35">
      <c r="A27" s="45" t="s">
        <v>120</v>
      </c>
      <c r="C27" s="95">
        <v>1479.56</v>
      </c>
      <c r="D27" s="95"/>
      <c r="E27" s="106">
        <f>ROUND(+'EO Cycle 2'!$F80/24+'EO Cycle 2'!$F91/24,2)</f>
        <v>-739.78</v>
      </c>
      <c r="F27" s="106">
        <f>ROUND(+'EO Cycle 2'!$F80/24+'EO Cycle 2'!$F91/24,2)</f>
        <v>-739.78</v>
      </c>
      <c r="G27" s="106">
        <f>ROUND(+'EO Cycle 2'!$F80/24+'EO Cycle 2'!$F91/24,2)</f>
        <v>-739.78</v>
      </c>
      <c r="H27" s="178">
        <f>ROUND(+'EO Cycle 2'!$F91/24,2)</f>
        <v>-556.37</v>
      </c>
      <c r="I27" s="115">
        <f>ROUND(+'EO Cycle 2'!$F91/24,2)</f>
        <v>-556.37</v>
      </c>
      <c r="J27" s="161">
        <f>ROUND(+'EO Cycle 2'!$F91/24,2)</f>
        <v>-556.37</v>
      </c>
      <c r="K27" s="136">
        <f>ROUND(+'EO Cycle 2'!$F91/24,2)</f>
        <v>-556.37</v>
      </c>
      <c r="L27" s="136">
        <f>ROUND(+'EO Cycle 2'!$F91/24,2)</f>
        <v>-556.37</v>
      </c>
      <c r="M27" s="77"/>
      <c r="P27" s="181">
        <f t="shared" si="4"/>
        <v>1112.74</v>
      </c>
    </row>
    <row r="28" spans="1:16" x14ac:dyDescent="0.35">
      <c r="A28" s="45" t="s">
        <v>121</v>
      </c>
      <c r="C28" s="95">
        <v>22</v>
      </c>
      <c r="D28" s="95"/>
      <c r="E28" s="106">
        <f>ROUND(+'EO Cycle 2'!$F81/24+'EO Cycle 2'!$F92/24,2)</f>
        <v>-11</v>
      </c>
      <c r="F28" s="106">
        <f>ROUND(+'EO Cycle 2'!$F81/24+'EO Cycle 2'!$F92/24,2)</f>
        <v>-11</v>
      </c>
      <c r="G28" s="106">
        <f>ROUND(+'EO Cycle 2'!$F81/24+'EO Cycle 2'!$F92/24,2)</f>
        <v>-11</v>
      </c>
      <c r="H28" s="178">
        <f>ROUND(+'EO Cycle 2'!$F92/24,2)</f>
        <v>69.569999999999993</v>
      </c>
      <c r="I28" s="115">
        <f>ROUND(+'EO Cycle 2'!$F92/24,2)</f>
        <v>69.569999999999993</v>
      </c>
      <c r="J28" s="161">
        <f>ROUND(+'EO Cycle 2'!$F92/24,2)</f>
        <v>69.569999999999993</v>
      </c>
      <c r="K28" s="136">
        <f>ROUND(+'EO Cycle 2'!$F92/24,2)</f>
        <v>69.569999999999993</v>
      </c>
      <c r="L28" s="136">
        <f>ROUND(+'EO Cycle 2'!$F92/24,2)</f>
        <v>69.569999999999993</v>
      </c>
      <c r="M28" s="77"/>
      <c r="P28" s="181">
        <f t="shared" si="4"/>
        <v>-139.13999999999999</v>
      </c>
    </row>
    <row r="29" spans="1:16" x14ac:dyDescent="0.35">
      <c r="A29" s="45" t="s">
        <v>122</v>
      </c>
      <c r="C29" s="95">
        <v>690.86</v>
      </c>
      <c r="D29" s="95"/>
      <c r="E29" s="106">
        <f>ROUND(+'EO Cycle 2'!$F82/24+'EO Cycle 2'!$F93/24,2)</f>
        <v>-345.43</v>
      </c>
      <c r="F29" s="106">
        <f>ROUND(+'EO Cycle 2'!$F82/24+'EO Cycle 2'!$F93/24,2)</f>
        <v>-345.43</v>
      </c>
      <c r="G29" s="106">
        <f>ROUND(+'EO Cycle 2'!$F82/24+'EO Cycle 2'!$F93/24,2)</f>
        <v>-345.43</v>
      </c>
      <c r="H29" s="178">
        <f>ROUND(+'EO Cycle 2'!$F93/24,2)</f>
        <v>-212.2</v>
      </c>
      <c r="I29" s="115">
        <f>ROUND(+'EO Cycle 2'!$F93/24,2)</f>
        <v>-212.2</v>
      </c>
      <c r="J29" s="161">
        <f>ROUND(+'EO Cycle 2'!$F93/24,2)</f>
        <v>-212.2</v>
      </c>
      <c r="K29" s="136">
        <f>ROUND(+'EO Cycle 2'!$F93/24,2)</f>
        <v>-212.2</v>
      </c>
      <c r="L29" s="136">
        <f>ROUND(+'EO Cycle 2'!$F93/24,2)</f>
        <v>-212.2</v>
      </c>
      <c r="M29" s="77"/>
      <c r="P29" s="181">
        <f t="shared" si="4"/>
        <v>424.4</v>
      </c>
    </row>
    <row r="30" spans="1:16" x14ac:dyDescent="0.35">
      <c r="A30" s="45" t="s">
        <v>123</v>
      </c>
      <c r="C30" s="95">
        <v>-577.55999999999995</v>
      </c>
      <c r="D30" s="95"/>
      <c r="E30" s="106">
        <f>ROUND(+'EO Cycle 2'!$F83/24+'EO Cycle 2'!$F94/24,2)</f>
        <v>288.77999999999997</v>
      </c>
      <c r="F30" s="106">
        <f>ROUND(+'EO Cycle 2'!$F83/24+'EO Cycle 2'!$F94/24,2)</f>
        <v>288.77999999999997</v>
      </c>
      <c r="G30" s="106">
        <f>ROUND(+'EO Cycle 2'!$F83/24+'EO Cycle 2'!$F94/24,2)</f>
        <v>288.77999999999997</v>
      </c>
      <c r="H30" s="178">
        <f>ROUND(+'EO Cycle 2'!$F94/24,2)</f>
        <v>234.27</v>
      </c>
      <c r="I30" s="115">
        <f>ROUND(+'EO Cycle 2'!$F94/24,2)</f>
        <v>234.27</v>
      </c>
      <c r="J30" s="161">
        <f>ROUND(+'EO Cycle 2'!$F94/24,2)</f>
        <v>234.27</v>
      </c>
      <c r="K30" s="136">
        <f>ROUND(+'EO Cycle 2'!$F94/24,2)</f>
        <v>234.27</v>
      </c>
      <c r="L30" s="136">
        <f>ROUND(+'EO Cycle 2'!$F94/24,2)</f>
        <v>234.27</v>
      </c>
      <c r="M30" s="77"/>
      <c r="O30" s="46"/>
      <c r="P30" s="181">
        <f t="shared" si="4"/>
        <v>-468.54</v>
      </c>
    </row>
    <row r="31" spans="1:16" x14ac:dyDescent="0.35">
      <c r="C31" s="97"/>
      <c r="D31" s="97"/>
      <c r="E31" s="17"/>
      <c r="F31" s="17"/>
      <c r="G31" s="17"/>
      <c r="H31" s="89"/>
      <c r="I31" s="17"/>
      <c r="J31" s="160"/>
      <c r="K31" s="55"/>
      <c r="L31" s="55"/>
      <c r="M31" s="12"/>
    </row>
    <row r="32" spans="1:16" ht="15" thickBot="1" x14ac:dyDescent="0.4">
      <c r="A32" s="3" t="s">
        <v>12</v>
      </c>
      <c r="B32" s="3"/>
      <c r="C32" s="100">
        <v>154.54</v>
      </c>
      <c r="D32" s="100"/>
      <c r="E32" s="129">
        <v>-70.97</v>
      </c>
      <c r="F32" s="129">
        <f>-78.06-0.02</f>
        <v>-78.08</v>
      </c>
      <c r="G32" s="130">
        <v>-81.86999999999999</v>
      </c>
      <c r="H32" s="25">
        <v>-81.890000000000015</v>
      </c>
      <c r="I32" s="116">
        <v>-66.550000000000011</v>
      </c>
      <c r="J32" s="166">
        <f>-51.83+0.01</f>
        <v>-51.82</v>
      </c>
      <c r="K32" s="155">
        <f>ROUND((SUM(J42:J46)+SUM(J50:J54)+SUM(K35:K39)/2)*K$48,2)</f>
        <v>-49.89</v>
      </c>
      <c r="L32" s="138">
        <f>ROUND((SUM(K42:K46)+SUM(K50:K54)+SUM(L35:L39)/2)*L$48,2)+0.01</f>
        <v>-47.15</v>
      </c>
      <c r="M32" s="80"/>
      <c r="P32" s="181">
        <f t="shared" si="4"/>
        <v>97.039999999999992</v>
      </c>
    </row>
    <row r="33" spans="1:16" x14ac:dyDescent="0.35">
      <c r="C33" s="63"/>
      <c r="D33" s="63"/>
      <c r="E33" s="142"/>
      <c r="F33" s="142"/>
      <c r="G33" s="143"/>
      <c r="H33" s="63"/>
      <c r="I33" s="32"/>
      <c r="J33" s="167"/>
      <c r="K33" s="33"/>
      <c r="L33" s="33"/>
      <c r="M33" s="59"/>
    </row>
    <row r="34" spans="1:16" x14ac:dyDescent="0.35">
      <c r="A34" s="45" t="s">
        <v>46</v>
      </c>
      <c r="C34" s="64"/>
      <c r="D34" s="64"/>
      <c r="E34" s="143"/>
      <c r="F34" s="143"/>
      <c r="G34" s="143"/>
      <c r="H34" s="64"/>
      <c r="I34" s="34"/>
      <c r="J34" s="168"/>
      <c r="K34" s="33"/>
      <c r="L34" s="33"/>
      <c r="M34" s="59"/>
    </row>
    <row r="35" spans="1:16" x14ac:dyDescent="0.35">
      <c r="A35" s="45" t="s">
        <v>22</v>
      </c>
      <c r="C35" s="98">
        <f t="shared" ref="C35:M35" si="5">C26-C19</f>
        <v>-9877.5751400000008</v>
      </c>
      <c r="D35" s="98"/>
      <c r="E35" s="40">
        <f t="shared" si="5"/>
        <v>1183.6200000000001</v>
      </c>
      <c r="F35" s="40">
        <f t="shared" si="5"/>
        <v>2459.63</v>
      </c>
      <c r="G35" s="105">
        <f t="shared" si="5"/>
        <v>3410.3499999999995</v>
      </c>
      <c r="H35" s="39">
        <f t="shared" si="5"/>
        <v>3505.27</v>
      </c>
      <c r="I35" s="40">
        <f t="shared" si="5"/>
        <v>1114.1199999999999</v>
      </c>
      <c r="J35" s="60">
        <f t="shared" si="5"/>
        <v>290.41999999999985</v>
      </c>
      <c r="K35" s="117">
        <f t="shared" si="5"/>
        <v>347.4447817667899</v>
      </c>
      <c r="L35" s="40">
        <f t="shared" si="5"/>
        <v>830.41653914962353</v>
      </c>
      <c r="M35" s="60">
        <f t="shared" si="5"/>
        <v>3015.0971423756882</v>
      </c>
    </row>
    <row r="36" spans="1:16" x14ac:dyDescent="0.35">
      <c r="A36" s="45" t="s">
        <v>120</v>
      </c>
      <c r="C36" s="98">
        <f t="shared" ref="C36:M36" si="6">C27-C20</f>
        <v>1479.56</v>
      </c>
      <c r="D36" s="98"/>
      <c r="E36" s="40">
        <f t="shared" si="6"/>
        <v>-743.47</v>
      </c>
      <c r="F36" s="40">
        <f t="shared" si="6"/>
        <v>-739.72</v>
      </c>
      <c r="G36" s="105">
        <f t="shared" si="6"/>
        <v>-749.43</v>
      </c>
      <c r="H36" s="39">
        <f t="shared" si="6"/>
        <v>-327.60000000000002</v>
      </c>
      <c r="I36" s="40">
        <f t="shared" si="6"/>
        <v>321.02</v>
      </c>
      <c r="J36" s="60">
        <f t="shared" si="6"/>
        <v>-125.25999999999999</v>
      </c>
      <c r="K36" s="117">
        <f t="shared" si="6"/>
        <v>-65.130369999999971</v>
      </c>
      <c r="L36" s="40">
        <f t="shared" si="6"/>
        <v>-12.924609999999916</v>
      </c>
      <c r="M36" s="60">
        <f t="shared" si="6"/>
        <v>609.6303200000001</v>
      </c>
    </row>
    <row r="37" spans="1:16" x14ac:dyDescent="0.35">
      <c r="A37" s="45" t="s">
        <v>121</v>
      </c>
      <c r="C37" s="98">
        <f t="shared" ref="C37:M37" si="7">C28-C21</f>
        <v>2842.2056900000002</v>
      </c>
      <c r="D37" s="98"/>
      <c r="E37" s="40">
        <f t="shared" si="7"/>
        <v>-816.72</v>
      </c>
      <c r="F37" s="40">
        <f t="shared" si="7"/>
        <v>-913.5</v>
      </c>
      <c r="G37" s="105">
        <f t="shared" si="7"/>
        <v>-971.78</v>
      </c>
      <c r="H37" s="39">
        <f t="shared" si="7"/>
        <v>-639.51</v>
      </c>
      <c r="I37" s="40">
        <f t="shared" si="7"/>
        <v>1919.78</v>
      </c>
      <c r="J37" s="60">
        <f t="shared" si="7"/>
        <v>367.39</v>
      </c>
      <c r="K37" s="117">
        <f t="shared" si="7"/>
        <v>69.569999999999993</v>
      </c>
      <c r="L37" s="40">
        <f t="shared" si="7"/>
        <v>69.569999999999993</v>
      </c>
      <c r="M37" s="60">
        <f t="shared" si="7"/>
        <v>0</v>
      </c>
    </row>
    <row r="38" spans="1:16" x14ac:dyDescent="0.35">
      <c r="A38" s="45" t="s">
        <v>122</v>
      </c>
      <c r="C38" s="98">
        <f t="shared" ref="C38:M38" si="8">C29-C22</f>
        <v>5262.5348400000003</v>
      </c>
      <c r="D38" s="98"/>
      <c r="E38" s="40">
        <f t="shared" si="8"/>
        <v>-1723.02</v>
      </c>
      <c r="F38" s="40">
        <f t="shared" si="8"/>
        <v>-1889.5700000000002</v>
      </c>
      <c r="G38" s="105">
        <f t="shared" si="8"/>
        <v>-1935.42</v>
      </c>
      <c r="H38" s="39">
        <f t="shared" si="8"/>
        <v>-1301.3700000000001</v>
      </c>
      <c r="I38" s="40">
        <f t="shared" si="8"/>
        <v>726.67000000000007</v>
      </c>
      <c r="J38" s="60">
        <f t="shared" si="8"/>
        <v>-202.51</v>
      </c>
      <c r="K38" s="117">
        <f t="shared" si="8"/>
        <v>-212.2</v>
      </c>
      <c r="L38" s="40">
        <f t="shared" si="8"/>
        <v>-212.2</v>
      </c>
      <c r="M38" s="60">
        <f t="shared" si="8"/>
        <v>0</v>
      </c>
    </row>
    <row r="39" spans="1:16" x14ac:dyDescent="0.35">
      <c r="A39" s="45" t="s">
        <v>123</v>
      </c>
      <c r="C39" s="98">
        <f t="shared" ref="C39:M39" si="9">C30-C23</f>
        <v>1992.3500399999998</v>
      </c>
      <c r="D39" s="98"/>
      <c r="E39" s="40">
        <f t="shared" si="9"/>
        <v>-468.68000000000006</v>
      </c>
      <c r="F39" s="40">
        <f t="shared" si="9"/>
        <v>-280.99</v>
      </c>
      <c r="G39" s="105">
        <f t="shared" si="9"/>
        <v>-440.77</v>
      </c>
      <c r="H39" s="39">
        <f t="shared" si="9"/>
        <v>-344.81000000000006</v>
      </c>
      <c r="I39" s="40">
        <f t="shared" si="9"/>
        <v>1857.95</v>
      </c>
      <c r="J39" s="60">
        <f t="shared" si="9"/>
        <v>234.27</v>
      </c>
      <c r="K39" s="117">
        <f t="shared" si="9"/>
        <v>234.27</v>
      </c>
      <c r="L39" s="40">
        <f t="shared" si="9"/>
        <v>234.27</v>
      </c>
      <c r="M39" s="60">
        <f t="shared" si="9"/>
        <v>0</v>
      </c>
    </row>
    <row r="40" spans="1:16" x14ac:dyDescent="0.35">
      <c r="C40" s="97"/>
      <c r="D40" s="97"/>
      <c r="E40" s="16"/>
      <c r="F40" s="16"/>
      <c r="G40" s="16"/>
      <c r="H40" s="9"/>
      <c r="I40" s="16"/>
      <c r="J40" s="10"/>
      <c r="K40" s="16"/>
      <c r="L40" s="16"/>
      <c r="M40" s="10"/>
    </row>
    <row r="41" spans="1:16" x14ac:dyDescent="0.35">
      <c r="A41" s="45" t="s">
        <v>47</v>
      </c>
      <c r="C41" s="97"/>
      <c r="D41" s="97"/>
      <c r="E41" s="16"/>
      <c r="F41" s="16"/>
      <c r="G41" s="16"/>
      <c r="H41" s="9"/>
      <c r="I41" s="16"/>
      <c r="J41" s="10"/>
      <c r="K41" s="16"/>
      <c r="L41" s="16"/>
      <c r="M41" s="10"/>
    </row>
    <row r="42" spans="1:16" x14ac:dyDescent="0.35">
      <c r="A42" s="45" t="s">
        <v>22</v>
      </c>
      <c r="B42" s="288">
        <v>-24606.414860000004</v>
      </c>
      <c r="C42" s="98">
        <f>B42+C35+B50</f>
        <v>-34483.990000000005</v>
      </c>
      <c r="D42" s="98"/>
      <c r="E42" s="40">
        <f>C42+E35+C50+D50</f>
        <v>-32977.100000000006</v>
      </c>
      <c r="F42" s="40">
        <f t="shared" ref="F42:M42" si="10">E42+F35+E50</f>
        <v>-30680.500000000004</v>
      </c>
      <c r="G42" s="105">
        <f t="shared" si="10"/>
        <v>-27419.780000000006</v>
      </c>
      <c r="H42" s="39">
        <f t="shared" si="10"/>
        <v>-24048.800000000007</v>
      </c>
      <c r="I42" s="40">
        <f t="shared" si="10"/>
        <v>-23053.820000000007</v>
      </c>
      <c r="J42" s="60">
        <f t="shared" si="10"/>
        <v>-22872.520000000008</v>
      </c>
      <c r="K42" s="117">
        <f t="shared" si="10"/>
        <v>-22631.435218233219</v>
      </c>
      <c r="L42" s="40">
        <f t="shared" si="10"/>
        <v>-21906.398679083595</v>
      </c>
      <c r="M42" s="60">
        <f t="shared" si="10"/>
        <v>-18994.441536707905</v>
      </c>
      <c r="P42" s="181"/>
    </row>
    <row r="43" spans="1:16" x14ac:dyDescent="0.35">
      <c r="A43" s="45" t="s">
        <v>120</v>
      </c>
      <c r="B43" s="288">
        <v>-212936.0100000001</v>
      </c>
      <c r="C43" s="98">
        <f t="shared" ref="C43:M43" si="11">B43+C36+B51</f>
        <v>-211456.4500000001</v>
      </c>
      <c r="D43" s="98"/>
      <c r="E43" s="40">
        <f t="shared" ref="E43:E46" si="12">C43+E36+C51+D51</f>
        <v>-210095.3900000001</v>
      </c>
      <c r="F43" s="40">
        <f t="shared" si="11"/>
        <v>-211853.6400000001</v>
      </c>
      <c r="G43" s="105">
        <f t="shared" si="11"/>
        <v>-213594.72000000009</v>
      </c>
      <c r="H43" s="39">
        <f t="shared" si="11"/>
        <v>-214905.4500000001</v>
      </c>
      <c r="I43" s="40">
        <f t="shared" si="11"/>
        <v>-215576.0500000001</v>
      </c>
      <c r="J43" s="60">
        <f t="shared" si="11"/>
        <v>-216698.3300000001</v>
      </c>
      <c r="K43" s="117">
        <f t="shared" si="11"/>
        <v>-217764.48037000009</v>
      </c>
      <c r="L43" s="40">
        <f t="shared" si="11"/>
        <v>-218783.48498000007</v>
      </c>
      <c r="M43" s="60">
        <f t="shared" si="11"/>
        <v>-219184.76466000007</v>
      </c>
      <c r="P43" s="181"/>
    </row>
    <row r="44" spans="1:16" x14ac:dyDescent="0.35">
      <c r="A44" s="45" t="s">
        <v>121</v>
      </c>
      <c r="B44" s="288">
        <v>116045.86430999984</v>
      </c>
      <c r="C44" s="98">
        <f t="shared" ref="C44:M44" si="13">B44+C37+B52</f>
        <v>118888.06999999985</v>
      </c>
      <c r="D44" s="98"/>
      <c r="E44" s="40">
        <f t="shared" si="12"/>
        <v>116901.26999999984</v>
      </c>
      <c r="F44" s="40">
        <f t="shared" si="13"/>
        <v>116557.48999999985</v>
      </c>
      <c r="G44" s="105">
        <f t="shared" si="13"/>
        <v>116134.38999999984</v>
      </c>
      <c r="H44" s="39">
        <f t="shared" si="13"/>
        <v>116032.59999999985</v>
      </c>
      <c r="I44" s="40">
        <f t="shared" si="13"/>
        <v>118489.65999999984</v>
      </c>
      <c r="J44" s="60">
        <f t="shared" si="13"/>
        <v>119400.20999999985</v>
      </c>
      <c r="K44" s="117">
        <f t="shared" si="13"/>
        <v>120020.64999999985</v>
      </c>
      <c r="L44" s="40">
        <f t="shared" si="13"/>
        <v>120644.63999999985</v>
      </c>
      <c r="M44" s="60">
        <f t="shared" si="13"/>
        <v>121201.94999999985</v>
      </c>
      <c r="P44" s="181"/>
    </row>
    <row r="45" spans="1:16" x14ac:dyDescent="0.35">
      <c r="A45" s="45" t="s">
        <v>122</v>
      </c>
      <c r="B45" s="288">
        <v>-1597.3248399999186</v>
      </c>
      <c r="C45" s="98">
        <f t="shared" ref="C45:M45" si="14">B45+C38+B53</f>
        <v>3665.2100000000819</v>
      </c>
      <c r="D45" s="98"/>
      <c r="E45" s="40">
        <f t="shared" si="12"/>
        <v>1923.7400000000819</v>
      </c>
      <c r="F45" s="40">
        <f t="shared" si="14"/>
        <v>47.700000000081701</v>
      </c>
      <c r="G45" s="105">
        <f t="shared" si="14"/>
        <v>-1883.0699999999183</v>
      </c>
      <c r="H45" s="39">
        <f t="shared" si="14"/>
        <v>-3188.6599999999185</v>
      </c>
      <c r="I45" s="40">
        <f t="shared" si="14"/>
        <v>-2473.7099999999182</v>
      </c>
      <c r="J45" s="60">
        <f t="shared" si="14"/>
        <v>-2689.3299999999185</v>
      </c>
      <c r="K45" s="117">
        <f t="shared" si="14"/>
        <v>-2913.4899999999184</v>
      </c>
      <c r="L45" s="40">
        <f t="shared" si="14"/>
        <v>-3138.659999999918</v>
      </c>
      <c r="M45" s="60">
        <f t="shared" si="14"/>
        <v>-3152.6699999999182</v>
      </c>
      <c r="P45" s="181"/>
    </row>
    <row r="46" spans="1:16" x14ac:dyDescent="0.35">
      <c r="A46" s="45" t="s">
        <v>123</v>
      </c>
      <c r="B46" s="288">
        <v>107910.50995999995</v>
      </c>
      <c r="C46" s="98">
        <f>B46+C39+B54</f>
        <v>109902.85999999996</v>
      </c>
      <c r="D46" s="98"/>
      <c r="E46" s="40">
        <f t="shared" si="12"/>
        <v>108349.44999999997</v>
      </c>
      <c r="F46" s="40">
        <f t="shared" ref="F46:M46" si="15">E46+F39+E54</f>
        <v>108595.79999999996</v>
      </c>
      <c r="G46" s="105">
        <f t="shared" si="15"/>
        <v>108664.89999999995</v>
      </c>
      <c r="H46" s="39">
        <f t="shared" si="15"/>
        <v>108822.13999999996</v>
      </c>
      <c r="I46" s="40">
        <f t="shared" si="15"/>
        <v>111183.39999999995</v>
      </c>
      <c r="J46" s="60">
        <f t="shared" si="15"/>
        <v>111927.20999999995</v>
      </c>
      <c r="K46" s="117">
        <f t="shared" si="15"/>
        <v>112678.12999999995</v>
      </c>
      <c r="L46" s="40">
        <f t="shared" si="15"/>
        <v>113432.51999999995</v>
      </c>
      <c r="M46" s="60">
        <f t="shared" si="15"/>
        <v>113956.11999999995</v>
      </c>
      <c r="P46" s="181"/>
    </row>
    <row r="47" spans="1:16" x14ac:dyDescent="0.35">
      <c r="C47" s="97"/>
      <c r="D47" s="97"/>
      <c r="E47" s="16"/>
      <c r="F47" s="16"/>
      <c r="G47" s="16"/>
      <c r="H47" s="9"/>
      <c r="I47" s="16"/>
      <c r="J47" s="10"/>
      <c r="K47" s="16"/>
      <c r="L47" s="16"/>
      <c r="M47" s="10"/>
    </row>
    <row r="48" spans="1:16" x14ac:dyDescent="0.35">
      <c r="A48" s="38" t="s">
        <v>43</v>
      </c>
      <c r="B48" s="38"/>
      <c r="C48" s="101"/>
      <c r="D48" s="101"/>
      <c r="E48" s="81">
        <f>'PCR Cycle 3'!E$51</f>
        <v>4.8565300000000004E-3</v>
      </c>
      <c r="F48" s="81">
        <f>'PCR Cycle 3'!F$51</f>
        <v>4.6890200000000003E-3</v>
      </c>
      <c r="G48" s="81">
        <f>'PCR Cycle 3'!G$51</f>
        <v>4.6108499999999997E-3</v>
      </c>
      <c r="H48" s="82">
        <f>'PCR Cycle 3'!H$51</f>
        <v>4.6177400000000004E-3</v>
      </c>
      <c r="I48" s="81">
        <f>'PCR Cycle 3'!I$51</f>
        <v>4.62145E-3</v>
      </c>
      <c r="J48" s="90">
        <f>'PCR Cycle 3'!J$51</f>
        <v>4.6207399999999999E-3</v>
      </c>
      <c r="K48" s="81">
        <f>'PCR Cycle 3'!K$51</f>
        <v>4.6207399999999999E-3</v>
      </c>
      <c r="L48" s="81">
        <f>'PCR Cycle 3'!L$51</f>
        <v>4.6207399999999999E-3</v>
      </c>
      <c r="M48" s="83"/>
    </row>
    <row r="49" spans="1:16" x14ac:dyDescent="0.35">
      <c r="A49" s="38" t="s">
        <v>31</v>
      </c>
      <c r="B49" s="38"/>
      <c r="C49" s="103"/>
      <c r="D49" s="103"/>
      <c r="E49" s="81"/>
      <c r="F49" s="81"/>
      <c r="G49" s="81"/>
      <c r="H49" s="82"/>
      <c r="I49" s="81"/>
      <c r="J49" s="83"/>
      <c r="K49" s="81"/>
      <c r="L49" s="81"/>
      <c r="M49" s="83"/>
    </row>
    <row r="50" spans="1:16" x14ac:dyDescent="0.35">
      <c r="A50" s="45" t="s">
        <v>22</v>
      </c>
      <c r="C50" s="289">
        <v>323.27</v>
      </c>
      <c r="D50" s="98"/>
      <c r="E50" s="40">
        <f>ROUND((C42+C50+D50+E35/2)*E$48,2)</f>
        <v>-163.03</v>
      </c>
      <c r="F50" s="40">
        <f t="shared" ref="F50:M50" si="16">ROUND((E42+E50+F35/2)*F$48,2)</f>
        <v>-149.63</v>
      </c>
      <c r="G50" s="105">
        <f t="shared" si="16"/>
        <v>-134.29</v>
      </c>
      <c r="H50" s="39">
        <f t="shared" si="16"/>
        <v>-119.14</v>
      </c>
      <c r="I50" s="117">
        <f t="shared" si="16"/>
        <v>-109.12</v>
      </c>
      <c r="J50" s="48">
        <f t="shared" si="16"/>
        <v>-106.36</v>
      </c>
      <c r="K50" s="156">
        <f t="shared" si="16"/>
        <v>-105.38</v>
      </c>
      <c r="L50" s="105">
        <f t="shared" si="16"/>
        <v>-103.14</v>
      </c>
      <c r="M50" s="60">
        <f t="shared" si="16"/>
        <v>0</v>
      </c>
      <c r="P50" s="181">
        <f t="shared" ref="P50:P54" si="17">-SUM(K50:M50)</f>
        <v>208.51999999999998</v>
      </c>
    </row>
    <row r="51" spans="1:16" x14ac:dyDescent="0.35">
      <c r="A51" s="45" t="s">
        <v>120</v>
      </c>
      <c r="C51" s="289">
        <v>2104.5299999999997</v>
      </c>
      <c r="D51" s="98"/>
      <c r="E51" s="40">
        <f t="shared" ref="E51:E54" si="18">ROUND((C43+C51+D51+E36/2)*E$48,2)</f>
        <v>-1018.53</v>
      </c>
      <c r="F51" s="40">
        <f t="shared" ref="F51:M51" si="19">ROUND((E43+E51+F36/2)*F$48,2)</f>
        <v>-991.65</v>
      </c>
      <c r="G51" s="105">
        <f t="shared" si="19"/>
        <v>-983.13</v>
      </c>
      <c r="H51" s="39">
        <f t="shared" si="19"/>
        <v>-991.62</v>
      </c>
      <c r="I51" s="117">
        <f t="shared" si="19"/>
        <v>-997.02</v>
      </c>
      <c r="J51" s="48">
        <f t="shared" si="19"/>
        <v>-1001.02</v>
      </c>
      <c r="K51" s="156">
        <f t="shared" si="19"/>
        <v>-1006.08</v>
      </c>
      <c r="L51" s="105">
        <f t="shared" si="19"/>
        <v>-1010.91</v>
      </c>
      <c r="M51" s="60">
        <f t="shared" si="19"/>
        <v>0</v>
      </c>
      <c r="P51" s="181">
        <f t="shared" si="17"/>
        <v>2016.99</v>
      </c>
    </row>
    <row r="52" spans="1:16" x14ac:dyDescent="0.35">
      <c r="A52" s="45" t="s">
        <v>121</v>
      </c>
      <c r="C52" s="289">
        <v>-1170.08</v>
      </c>
      <c r="D52" s="98"/>
      <c r="E52" s="40">
        <f t="shared" si="18"/>
        <v>569.72</v>
      </c>
      <c r="F52" s="40">
        <f>ROUND((E44+E52+F37/2)*F$48,2)</f>
        <v>548.67999999999995</v>
      </c>
      <c r="G52" s="105">
        <f t="shared" ref="G52:M52" si="20">ROUND((F44+F52+G37/2)*G$48,2)</f>
        <v>537.72</v>
      </c>
      <c r="H52" s="39">
        <f t="shared" si="20"/>
        <v>537.28</v>
      </c>
      <c r="I52" s="117">
        <f t="shared" si="20"/>
        <v>543.16</v>
      </c>
      <c r="J52" s="48">
        <f t="shared" si="20"/>
        <v>550.87</v>
      </c>
      <c r="K52" s="156">
        <f t="shared" si="20"/>
        <v>554.41999999999996</v>
      </c>
      <c r="L52" s="105">
        <f t="shared" si="20"/>
        <v>557.30999999999995</v>
      </c>
      <c r="M52" s="60">
        <f t="shared" si="20"/>
        <v>0</v>
      </c>
      <c r="P52" s="181">
        <f t="shared" si="17"/>
        <v>-1111.73</v>
      </c>
    </row>
    <row r="53" spans="1:16" x14ac:dyDescent="0.35">
      <c r="A53" s="45" t="s">
        <v>122</v>
      </c>
      <c r="C53" s="289">
        <v>-18.45</v>
      </c>
      <c r="D53" s="98"/>
      <c r="E53" s="40">
        <f t="shared" si="18"/>
        <v>13.53</v>
      </c>
      <c r="F53" s="40">
        <f t="shared" ref="F53:M53" si="21">ROUND((E45+E53+F38/2)*F$48,2)</f>
        <v>4.6500000000000004</v>
      </c>
      <c r="G53" s="105">
        <f t="shared" si="21"/>
        <v>-4.22</v>
      </c>
      <c r="H53" s="39">
        <f t="shared" si="21"/>
        <v>-11.72</v>
      </c>
      <c r="I53" s="117">
        <f t="shared" si="21"/>
        <v>-13.11</v>
      </c>
      <c r="J53" s="48">
        <f t="shared" si="21"/>
        <v>-11.96</v>
      </c>
      <c r="K53" s="156">
        <f t="shared" si="21"/>
        <v>-12.97</v>
      </c>
      <c r="L53" s="105">
        <f t="shared" si="21"/>
        <v>-14.01</v>
      </c>
      <c r="M53" s="60">
        <f t="shared" si="21"/>
        <v>0</v>
      </c>
      <c r="P53" s="181">
        <f t="shared" si="17"/>
        <v>26.98</v>
      </c>
    </row>
    <row r="54" spans="1:16" ht="15" thickBot="1" x14ac:dyDescent="0.4">
      <c r="A54" s="45" t="s">
        <v>123</v>
      </c>
      <c r="C54" s="289">
        <v>-1084.73</v>
      </c>
      <c r="D54" s="98"/>
      <c r="E54" s="40">
        <f t="shared" si="18"/>
        <v>527.34</v>
      </c>
      <c r="F54" s="40">
        <f t="shared" ref="F54:M54" si="22">ROUND((E46+E54+F39/2)*F$48,2)</f>
        <v>509.87</v>
      </c>
      <c r="G54" s="105">
        <f t="shared" si="22"/>
        <v>502.05</v>
      </c>
      <c r="H54" s="39">
        <f t="shared" si="22"/>
        <v>503.31</v>
      </c>
      <c r="I54" s="117">
        <f t="shared" si="22"/>
        <v>509.54</v>
      </c>
      <c r="J54" s="48">
        <f t="shared" si="22"/>
        <v>516.65</v>
      </c>
      <c r="K54" s="156">
        <f t="shared" si="22"/>
        <v>520.12</v>
      </c>
      <c r="L54" s="105">
        <f t="shared" si="22"/>
        <v>523.6</v>
      </c>
      <c r="M54" s="60">
        <f t="shared" si="22"/>
        <v>0</v>
      </c>
      <c r="P54" s="181">
        <f t="shared" si="17"/>
        <v>-1043.72</v>
      </c>
    </row>
    <row r="55" spans="1:16" ht="15.5" thickTop="1" thickBot="1" x14ac:dyDescent="0.4">
      <c r="A55" s="53" t="s">
        <v>20</v>
      </c>
      <c r="B55" s="53"/>
      <c r="C55" s="104">
        <v>0</v>
      </c>
      <c r="D55" s="104"/>
      <c r="E55" s="41">
        <f t="shared" ref="E55:J55" si="23">SUM(E50:E54)+SUM(E42:E46)-E58</f>
        <v>0</v>
      </c>
      <c r="F55" s="41">
        <f t="shared" si="23"/>
        <v>0</v>
      </c>
      <c r="G55" s="49">
        <f t="shared" ref="G55:I55" si="24">SUM(G50:G54)+SUM(G42:G46)-G58</f>
        <v>0</v>
      </c>
      <c r="H55" s="140">
        <f t="shared" si="24"/>
        <v>-2.9103830456733704E-11</v>
      </c>
      <c r="I55" s="49">
        <f t="shared" si="24"/>
        <v>-3.4560798667371273E-11</v>
      </c>
      <c r="J55" s="61">
        <f t="shared" si="23"/>
        <v>-4.0017766878008842E-11</v>
      </c>
      <c r="K55" s="157">
        <f t="shared" ref="K55:M55" si="25">SUM(K50:K54)+SUM(K42:K46)-K58</f>
        <v>0</v>
      </c>
      <c r="L55" s="49">
        <f t="shared" si="25"/>
        <v>0</v>
      </c>
      <c r="M55" s="61">
        <f t="shared" si="25"/>
        <v>2.6375346351414919E-11</v>
      </c>
    </row>
    <row r="56" spans="1:16" ht="15.5" thickTop="1" thickBot="1" x14ac:dyDescent="0.4">
      <c r="A56" s="53" t="s">
        <v>21</v>
      </c>
      <c r="B56" s="53"/>
      <c r="C56" s="104">
        <v>0</v>
      </c>
      <c r="D56" s="104"/>
      <c r="E56" s="41">
        <f t="shared" ref="E56:J56" si="26">SUM(E50:E54)-E32</f>
        <v>0</v>
      </c>
      <c r="F56" s="41">
        <f t="shared" si="26"/>
        <v>0</v>
      </c>
      <c r="G56" s="49">
        <f t="shared" ref="G56:I56" si="27">SUM(G50:G54)-G32</f>
        <v>0</v>
      </c>
      <c r="H56" s="140">
        <f t="shared" si="27"/>
        <v>0</v>
      </c>
      <c r="I56" s="49">
        <f t="shared" si="27"/>
        <v>1.1368683772161603E-13</v>
      </c>
      <c r="J56" s="61">
        <f t="shared" si="26"/>
        <v>6.3948846218409017E-14</v>
      </c>
      <c r="K56" s="158">
        <f t="shared" ref="K56:M56" si="28">SUM(K50:K54)-K32</f>
        <v>-9.9475983006414026E-14</v>
      </c>
      <c r="L56" s="41">
        <f t="shared" si="28"/>
        <v>0</v>
      </c>
      <c r="M56" s="41">
        <f t="shared" si="28"/>
        <v>0</v>
      </c>
    </row>
    <row r="57" spans="1:16" ht="15.5" thickTop="1" thickBot="1" x14ac:dyDescent="0.4">
      <c r="C57" s="97"/>
      <c r="D57" s="97"/>
      <c r="E57" s="16"/>
      <c r="F57" s="16"/>
      <c r="G57" s="16"/>
      <c r="H57" s="9"/>
      <c r="I57" s="16"/>
      <c r="J57" s="10"/>
      <c r="K57" s="16"/>
      <c r="L57" s="16"/>
      <c r="M57" s="10"/>
    </row>
    <row r="58" spans="1:16" ht="15" thickBot="1" x14ac:dyDescent="0.4">
      <c r="A58" s="45" t="s">
        <v>30</v>
      </c>
      <c r="B58" s="113">
        <f>SUM(B42:B46)</f>
        <v>-15183.375430000204</v>
      </c>
      <c r="C58" s="98">
        <f t="shared" ref="C58:M58" si="29">(C16-SUM(C19:C23))+SUM(C50:C54)+B58</f>
        <v>-13329.760000000206</v>
      </c>
      <c r="D58" s="98"/>
      <c r="E58" s="40">
        <f>(E16-SUM(E19:E23))+SUM(D50:E54)+C58</f>
        <v>-15969.000000000206</v>
      </c>
      <c r="F58" s="40">
        <f t="shared" si="29"/>
        <v>-17411.230000000203</v>
      </c>
      <c r="G58" s="105">
        <f t="shared" si="29"/>
        <v>-18180.150000000202</v>
      </c>
      <c r="H58" s="39">
        <f t="shared" si="29"/>
        <v>-17370.060000000201</v>
      </c>
      <c r="I58" s="40">
        <f t="shared" si="29"/>
        <v>-11497.070000000202</v>
      </c>
      <c r="J58" s="60">
        <f t="shared" si="29"/>
        <v>-10984.580000000202</v>
      </c>
      <c r="K58" s="156">
        <f t="shared" si="29"/>
        <v>-10660.515588233411</v>
      </c>
      <c r="L58" s="105">
        <f t="shared" si="29"/>
        <v>-9798.5336590837869</v>
      </c>
      <c r="M58" s="60">
        <f t="shared" si="29"/>
        <v>-6173.8061967080985</v>
      </c>
    </row>
    <row r="59" spans="1:16" x14ac:dyDescent="0.35">
      <c r="A59" s="45" t="s">
        <v>10</v>
      </c>
      <c r="C59" s="114"/>
      <c r="D59" s="16"/>
      <c r="E59" s="16"/>
      <c r="F59" s="16"/>
      <c r="G59" s="16"/>
      <c r="H59" s="9"/>
      <c r="I59" s="16"/>
      <c r="J59" s="10"/>
      <c r="K59" s="16"/>
      <c r="L59" s="16"/>
      <c r="M59" s="10"/>
    </row>
    <row r="60" spans="1:16" ht="15" thickBot="1" x14ac:dyDescent="0.4">
      <c r="A60" s="36"/>
      <c r="B60" s="36"/>
      <c r="C60" s="141"/>
      <c r="D60" s="255"/>
      <c r="E60" s="43"/>
      <c r="F60" s="43"/>
      <c r="G60" s="43"/>
      <c r="H60" s="42"/>
      <c r="I60" s="43"/>
      <c r="J60" s="44"/>
      <c r="K60" s="43"/>
      <c r="L60" s="43"/>
      <c r="M60" s="44"/>
    </row>
    <row r="62" spans="1:16" x14ac:dyDescent="0.35">
      <c r="A62" s="68" t="s">
        <v>9</v>
      </c>
      <c r="B62" s="68"/>
      <c r="C62" s="68"/>
      <c r="D62" s="68"/>
    </row>
    <row r="63" spans="1:16" ht="31.5" customHeight="1" x14ac:dyDescent="0.35">
      <c r="A63" s="355" t="s">
        <v>145</v>
      </c>
      <c r="B63" s="355"/>
      <c r="C63" s="355"/>
      <c r="D63" s="355"/>
      <c r="E63" s="355"/>
      <c r="F63" s="355"/>
      <c r="G63" s="355"/>
      <c r="H63" s="355"/>
      <c r="I63" s="355"/>
      <c r="J63" s="355"/>
      <c r="K63" s="343"/>
      <c r="L63" s="221"/>
      <c r="M63" s="221"/>
    </row>
    <row r="64" spans="1:16" ht="63" customHeight="1" x14ac:dyDescent="0.35">
      <c r="A64" s="355" t="s">
        <v>248</v>
      </c>
      <c r="B64" s="355"/>
      <c r="C64" s="355"/>
      <c r="D64" s="355"/>
      <c r="E64" s="355"/>
      <c r="F64" s="355"/>
      <c r="G64" s="355"/>
      <c r="H64" s="355"/>
      <c r="I64" s="355"/>
      <c r="J64" s="355"/>
      <c r="K64" s="355"/>
      <c r="L64" s="221"/>
    </row>
    <row r="65" spans="1:13" ht="18.75" customHeight="1" x14ac:dyDescent="0.35">
      <c r="A65" s="355" t="s">
        <v>170</v>
      </c>
      <c r="B65" s="355"/>
      <c r="C65" s="355"/>
      <c r="D65" s="355"/>
      <c r="E65" s="355"/>
      <c r="F65" s="355"/>
      <c r="G65" s="355"/>
      <c r="H65" s="355"/>
      <c r="I65" s="355"/>
      <c r="J65" s="355"/>
      <c r="K65" s="343"/>
      <c r="L65" s="221"/>
      <c r="M65" s="221"/>
    </row>
    <row r="66" spans="1:13" x14ac:dyDescent="0.35">
      <c r="A66" s="355" t="s">
        <v>224</v>
      </c>
      <c r="B66" s="355"/>
      <c r="C66" s="355"/>
      <c r="D66" s="355"/>
      <c r="E66" s="355"/>
      <c r="F66" s="355"/>
      <c r="G66" s="355"/>
      <c r="H66" s="355"/>
      <c r="I66" s="355"/>
      <c r="J66" s="355"/>
      <c r="K66" s="38"/>
    </row>
    <row r="67" spans="1:13" x14ac:dyDescent="0.35">
      <c r="A67" s="62" t="s">
        <v>250</v>
      </c>
      <c r="B67" s="62"/>
      <c r="C67" s="62"/>
      <c r="D67" s="62"/>
      <c r="E67" s="38"/>
      <c r="F67" s="38"/>
      <c r="G67" s="38"/>
      <c r="H67" s="38"/>
      <c r="I67" s="38"/>
      <c r="J67" s="38"/>
      <c r="K67" s="38"/>
    </row>
    <row r="68" spans="1:13" x14ac:dyDescent="0.35">
      <c r="A68" s="62" t="s">
        <v>84</v>
      </c>
      <c r="B68" s="62"/>
      <c r="C68" s="62"/>
      <c r="D68" s="62"/>
      <c r="E68" s="38"/>
      <c r="F68" s="38"/>
      <c r="G68" s="38"/>
      <c r="H68" s="38"/>
      <c r="I68" s="38"/>
      <c r="J68" s="38"/>
      <c r="K68" s="38"/>
    </row>
    <row r="69" spans="1:13" x14ac:dyDescent="0.35">
      <c r="A69" s="62" t="s">
        <v>168</v>
      </c>
      <c r="B69" s="62"/>
      <c r="C69" s="62"/>
      <c r="D69" s="62"/>
      <c r="E69" s="38"/>
      <c r="F69" s="38"/>
      <c r="G69" s="38"/>
      <c r="H69" s="38"/>
      <c r="I69" s="38"/>
      <c r="J69" s="38"/>
      <c r="K69" s="38"/>
    </row>
    <row r="71" spans="1:13" ht="36" customHeight="1" x14ac:dyDescent="0.35">
      <c r="A71" s="356"/>
      <c r="B71" s="356"/>
      <c r="C71" s="356"/>
      <c r="D71" s="356"/>
      <c r="E71" s="356"/>
      <c r="F71" s="356"/>
      <c r="G71" s="356"/>
    </row>
  </sheetData>
  <mergeCells count="8">
    <mergeCell ref="A71:G71"/>
    <mergeCell ref="A65:J65"/>
    <mergeCell ref="E14:G14"/>
    <mergeCell ref="H14:J14"/>
    <mergeCell ref="K14:M14"/>
    <mergeCell ref="A63:J63"/>
    <mergeCell ref="A64:K64"/>
    <mergeCell ref="A66:J66"/>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codeName="Sheet21">
    <pageSetUpPr fitToPage="1"/>
  </sheetPr>
  <dimension ref="A1:AI68"/>
  <sheetViews>
    <sheetView zoomScale="85" zoomScaleNormal="85" workbookViewId="0"/>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2.453125" style="45" customWidth="1" outlineLevel="1"/>
    <col min="5" max="5" width="15.453125" style="45" customWidth="1"/>
    <col min="6" max="6" width="15.81640625" style="45" bestFit="1" customWidth="1"/>
    <col min="7" max="7" width="12.26953125" style="45" bestFit="1" customWidth="1"/>
    <col min="8" max="9" width="13.26953125" style="45" bestFit="1" customWidth="1"/>
    <col min="10" max="10" width="12.26953125" style="45" bestFit="1" customWidth="1"/>
    <col min="11" max="11" width="12.54296875" style="45" customWidth="1"/>
    <col min="12" max="12" width="12.81640625" style="45" customWidth="1"/>
    <col min="13" max="13" width="16" style="45" customWidth="1"/>
    <col min="14" max="14" width="15" style="45" bestFit="1" customWidth="1"/>
    <col min="15" max="15" width="16" style="45" bestFit="1" customWidth="1"/>
    <col min="16" max="16" width="15.26953125" style="45" hidden="1" customWidth="1" outlineLevel="1"/>
    <col min="17" max="17" width="17.453125" style="45" bestFit="1" customWidth="1" collapsed="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62" t="str">
        <f>'PTD Cycle 3'!A1</f>
        <v>Evergy Metro, Inc. - DSIM Rider Update Filed 06/02/2025</v>
      </c>
      <c r="B1" s="3"/>
      <c r="C1" s="3"/>
      <c r="D1" s="3"/>
    </row>
    <row r="2" spans="1:35" x14ac:dyDescent="0.35">
      <c r="E2" s="3" t="s">
        <v>154</v>
      </c>
    </row>
    <row r="3" spans="1:35" ht="29" x14ac:dyDescent="0.35">
      <c r="E3" s="47" t="s">
        <v>40</v>
      </c>
      <c r="F3" s="69" t="s">
        <v>52</v>
      </c>
      <c r="G3" s="47" t="s">
        <v>1</v>
      </c>
      <c r="H3" s="69" t="s">
        <v>49</v>
      </c>
      <c r="I3" s="47" t="s">
        <v>8</v>
      </c>
      <c r="J3" s="47" t="s">
        <v>53</v>
      </c>
      <c r="S3" s="47"/>
    </row>
    <row r="4" spans="1:35" x14ac:dyDescent="0.35">
      <c r="A4" s="19" t="s">
        <v>22</v>
      </c>
      <c r="B4" s="19"/>
      <c r="C4" s="19"/>
      <c r="D4" s="19"/>
      <c r="E4" s="21">
        <f>SUM(C16:M16)</f>
        <v>510760.5072085156</v>
      </c>
      <c r="F4" s="21">
        <f>SUM(C23:L23)</f>
        <v>616932.35999999987</v>
      </c>
      <c r="G4" s="21">
        <f>F4-E4</f>
        <v>106171.85279148427</v>
      </c>
      <c r="H4" s="21">
        <f>+B39</f>
        <v>330022.75253000006</v>
      </c>
      <c r="I4" s="21">
        <f>SUM(C47:L47)</f>
        <v>14181.369999999999</v>
      </c>
      <c r="J4" s="24">
        <f>SUM(G4:I4)</f>
        <v>450375.97532148432</v>
      </c>
      <c r="K4" s="46">
        <f>+J4-M39</f>
        <v>0</v>
      </c>
      <c r="N4" s="46"/>
    </row>
    <row r="5" spans="1:35" x14ac:dyDescent="0.35">
      <c r="A5" s="19" t="s">
        <v>94</v>
      </c>
      <c r="B5" s="19"/>
      <c r="C5" s="19"/>
      <c r="D5" s="19"/>
      <c r="E5" s="21">
        <f t="shared" ref="E5:E8" si="0">SUM(C17:M17)</f>
        <v>73892.374819999997</v>
      </c>
      <c r="F5" s="21">
        <f t="shared" ref="F5:F8" si="1">SUM(C24:L24)</f>
        <v>86868.180000000008</v>
      </c>
      <c r="G5" s="21">
        <f t="shared" ref="G5:G8" si="2">F5-E5</f>
        <v>12975.80518000001</v>
      </c>
      <c r="H5" s="21">
        <f t="shared" ref="H5:H8" si="3">+B40</f>
        <v>34948.342679999987</v>
      </c>
      <c r="I5" s="21">
        <f t="shared" ref="I5:I8" si="4">SUM(C48:L48)</f>
        <v>1583.61</v>
      </c>
      <c r="J5" s="24">
        <f t="shared" ref="J5:J8" si="5">SUM(G5:I5)</f>
        <v>49507.757859999998</v>
      </c>
      <c r="K5" s="46">
        <f>+J5-M40</f>
        <v>0</v>
      </c>
      <c r="N5" s="46"/>
    </row>
    <row r="6" spans="1:35" x14ac:dyDescent="0.35">
      <c r="A6" s="19" t="s">
        <v>95</v>
      </c>
      <c r="B6" s="19"/>
      <c r="C6" s="19"/>
      <c r="D6" s="19"/>
      <c r="E6" s="21">
        <f t="shared" si="0"/>
        <v>131411.25400000002</v>
      </c>
      <c r="F6" s="21">
        <f t="shared" si="1"/>
        <v>163736.23000000001</v>
      </c>
      <c r="G6" s="21">
        <f t="shared" si="2"/>
        <v>32324.975999999995</v>
      </c>
      <c r="H6" s="21">
        <f t="shared" si="3"/>
        <v>87394.699639999963</v>
      </c>
      <c r="I6" s="21">
        <f t="shared" si="4"/>
        <v>3818.83</v>
      </c>
      <c r="J6" s="24">
        <f t="shared" si="5"/>
        <v>123538.50563999996</v>
      </c>
      <c r="K6" s="46">
        <f>+J6-M41</f>
        <v>0</v>
      </c>
      <c r="N6" s="46"/>
    </row>
    <row r="7" spans="1:35" x14ac:dyDescent="0.35">
      <c r="A7" s="19" t="s">
        <v>96</v>
      </c>
      <c r="B7" s="19"/>
      <c r="C7" s="19"/>
      <c r="D7" s="19"/>
      <c r="E7" s="21">
        <f t="shared" si="0"/>
        <v>230116.57054000002</v>
      </c>
      <c r="F7" s="21">
        <f t="shared" si="1"/>
        <v>273496.68</v>
      </c>
      <c r="G7" s="21">
        <f t="shared" si="2"/>
        <v>43380.109459999978</v>
      </c>
      <c r="H7" s="21">
        <f t="shared" si="3"/>
        <v>168285.44736000011</v>
      </c>
      <c r="I7" s="21">
        <f t="shared" si="4"/>
        <v>6778.4599999999991</v>
      </c>
      <c r="J7" s="24">
        <f t="shared" si="5"/>
        <v>218444.01682000008</v>
      </c>
      <c r="K7" s="46">
        <f>+J7-M42</f>
        <v>0</v>
      </c>
      <c r="N7" s="46"/>
    </row>
    <row r="8" spans="1:35" ht="15" thickBot="1" x14ac:dyDescent="0.4">
      <c r="A8" s="19" t="s">
        <v>97</v>
      </c>
      <c r="B8" s="19"/>
      <c r="C8" s="19"/>
      <c r="D8" s="19"/>
      <c r="E8" s="21">
        <f t="shared" si="0"/>
        <v>20549.31562999999</v>
      </c>
      <c r="F8" s="21">
        <f t="shared" si="1"/>
        <v>71442.399999999994</v>
      </c>
      <c r="G8" s="21">
        <f t="shared" si="2"/>
        <v>50893.084370000004</v>
      </c>
      <c r="H8" s="21">
        <f t="shared" si="3"/>
        <v>25738.449320000014</v>
      </c>
      <c r="I8" s="21">
        <f t="shared" si="4"/>
        <v>1869.0300000000002</v>
      </c>
      <c r="J8" s="24">
        <f t="shared" si="5"/>
        <v>78500.56369000001</v>
      </c>
      <c r="K8" s="46">
        <f>+J8-M43</f>
        <v>0</v>
      </c>
      <c r="N8" s="46"/>
    </row>
    <row r="9" spans="1:35" ht="15.5" thickTop="1" thickBot="1" x14ac:dyDescent="0.4">
      <c r="E9" s="26">
        <f t="shared" ref="E9:J9" si="6">SUM(E4:E8)</f>
        <v>966730.02219851559</v>
      </c>
      <c r="F9" s="26">
        <f t="shared" si="6"/>
        <v>1212475.8499999999</v>
      </c>
      <c r="G9" s="26">
        <f t="shared" si="6"/>
        <v>245745.82780148424</v>
      </c>
      <c r="H9" s="26">
        <f t="shared" si="6"/>
        <v>646389.69153000007</v>
      </c>
      <c r="I9" s="26">
        <f t="shared" si="6"/>
        <v>28231.299999999996</v>
      </c>
      <c r="J9" s="26">
        <f t="shared" si="6"/>
        <v>920366.81933148438</v>
      </c>
      <c r="T9" s="5"/>
    </row>
    <row r="10" spans="1:35" ht="15.5" thickTop="1" thickBot="1" x14ac:dyDescent="0.4">
      <c r="V10" s="4"/>
      <c r="W10" s="5"/>
    </row>
    <row r="11" spans="1:35" ht="116.5" thickBot="1" x14ac:dyDescent="0.4">
      <c r="B11" s="112" t="str">
        <f>'PCR Cycle 4'!B$11</f>
        <v>Cumulative Over/Under Carryover From 12/01/2024 Filing</v>
      </c>
      <c r="C11" s="256" t="str">
        <f>'PCR Cycle 4'!C$11</f>
        <v>Reverse November 2024 - January 2025 Forecast From 12/01/2024 Filing</v>
      </c>
      <c r="D11" s="330"/>
      <c r="E11" s="357" t="s">
        <v>28</v>
      </c>
      <c r="F11" s="357"/>
      <c r="G11" s="358"/>
      <c r="H11" s="363" t="s">
        <v>28</v>
      </c>
      <c r="I11" s="364"/>
      <c r="J11" s="365"/>
      <c r="K11" s="352" t="s">
        <v>6</v>
      </c>
      <c r="L11" s="353"/>
      <c r="M11" s="354"/>
      <c r="P11" s="274" t="s">
        <v>210</v>
      </c>
    </row>
    <row r="12" spans="1:35" x14ac:dyDescent="0.35">
      <c r="A12" s="45" t="s">
        <v>76</v>
      </c>
      <c r="C12" s="102"/>
      <c r="D12" s="254"/>
      <c r="E12" s="18">
        <f>+'PCR Cycle 4'!E$12</f>
        <v>45626</v>
      </c>
      <c r="F12" s="18">
        <f>+'PCR Cycle 4'!F$12</f>
        <v>45657</v>
      </c>
      <c r="G12" s="18">
        <f>+'PCR Cycle 4'!G$12</f>
        <v>45688</v>
      </c>
      <c r="H12" s="13">
        <f>+'PCR Cycle 4'!H$12</f>
        <v>45716</v>
      </c>
      <c r="I12" s="18">
        <f>+'PCR Cycle 4'!I$12</f>
        <v>45747</v>
      </c>
      <c r="J12" s="14">
        <f>+'PCR Cycle 4'!J$12</f>
        <v>45777</v>
      </c>
      <c r="K12" s="18">
        <f>+'PCR Cycle 4'!K$12</f>
        <v>45808</v>
      </c>
      <c r="L12" s="18">
        <f>+'PCR Cycle 4'!L$12</f>
        <v>45838</v>
      </c>
      <c r="M12" s="93">
        <f>+'PCR Cycle 4'!M$12</f>
        <v>45869</v>
      </c>
      <c r="P12" s="181"/>
      <c r="Z12" s="1"/>
      <c r="AA12" s="1"/>
      <c r="AB12" s="1"/>
      <c r="AC12" s="1"/>
      <c r="AD12" s="1"/>
      <c r="AE12" s="1"/>
      <c r="AF12" s="1"/>
      <c r="AG12" s="1"/>
      <c r="AH12" s="1"/>
      <c r="AI12" s="1"/>
    </row>
    <row r="13" spans="1:35" x14ac:dyDescent="0.35">
      <c r="A13" s="45" t="s">
        <v>3</v>
      </c>
      <c r="C13" s="95">
        <v>-691027</v>
      </c>
      <c r="D13" s="95"/>
      <c r="E13" s="106">
        <f t="shared" ref="E13:L13" si="7">SUM(E23:E27)</f>
        <v>345513.5</v>
      </c>
      <c r="F13" s="106">
        <f t="shared" si="7"/>
        <v>345513.5</v>
      </c>
      <c r="G13" s="107">
        <f t="shared" si="7"/>
        <v>345513.5</v>
      </c>
      <c r="H13" s="15">
        <f t="shared" si="7"/>
        <v>173392.47</v>
      </c>
      <c r="I13" s="54">
        <f t="shared" si="7"/>
        <v>173392.47</v>
      </c>
      <c r="J13" s="159">
        <f t="shared" si="7"/>
        <v>173392.47</v>
      </c>
      <c r="K13" s="152">
        <f t="shared" si="7"/>
        <v>173392.47</v>
      </c>
      <c r="L13" s="76">
        <f t="shared" si="7"/>
        <v>173392.47</v>
      </c>
      <c r="M13" s="77"/>
      <c r="P13" s="181">
        <f>-SUM(K13:M13)</f>
        <v>-346784.94</v>
      </c>
    </row>
    <row r="14" spans="1:35" x14ac:dyDescent="0.35">
      <c r="C14" s="97"/>
      <c r="D14" s="97"/>
      <c r="E14" s="16"/>
      <c r="F14" s="16"/>
      <c r="G14" s="16"/>
      <c r="H14" s="9"/>
      <c r="I14" s="16"/>
      <c r="J14" s="10"/>
      <c r="K14" s="30"/>
      <c r="L14" s="30"/>
      <c r="M14" s="28"/>
      <c r="P14" s="181"/>
    </row>
    <row r="15" spans="1:35" x14ac:dyDescent="0.35">
      <c r="A15" s="45" t="s">
        <v>77</v>
      </c>
      <c r="C15" s="97"/>
      <c r="D15" s="97"/>
      <c r="E15" s="17"/>
      <c r="F15" s="17"/>
      <c r="G15" s="17"/>
      <c r="H15" s="89"/>
      <c r="I15" s="17"/>
      <c r="J15" s="160"/>
      <c r="K15" s="30"/>
      <c r="L15" s="30"/>
      <c r="M15" s="28"/>
      <c r="N15" s="62" t="s">
        <v>44</v>
      </c>
      <c r="O15" s="38"/>
      <c r="P15" s="181"/>
    </row>
    <row r="16" spans="1:35" x14ac:dyDescent="0.35">
      <c r="A16" s="45" t="s">
        <v>22</v>
      </c>
      <c r="C16" s="95">
        <v>-479123.44747000001</v>
      </c>
      <c r="D16" s="95"/>
      <c r="E16" s="129">
        <f>'[10]November 2024'!$G128</f>
        <v>106250.17</v>
      </c>
      <c r="F16" s="129">
        <f>'[10]December 2024'!$G128</f>
        <v>151548.46</v>
      </c>
      <c r="G16" s="129">
        <f>'[10]January 2025'!$G128</f>
        <v>185330.3</v>
      </c>
      <c r="H16" s="178">
        <f>'[10]February 2025'!$G128</f>
        <v>168553.69</v>
      </c>
      <c r="I16" s="115">
        <f>'[10]March 2025'!$G128</f>
        <v>84253.36</v>
      </c>
      <c r="J16" s="161">
        <f>'[10]April 2025'!$G128</f>
        <v>54538.67</v>
      </c>
      <c r="K16" s="117">
        <f>'PCR Cycle 4'!K22*$N16</f>
        <v>56739.412143604437</v>
      </c>
      <c r="L16" s="40">
        <f>'PCR Cycle 4'!L22*$N16</f>
        <v>74126.395409386445</v>
      </c>
      <c r="M16" s="60">
        <f>'PCR Cycle 4'!M22*$N16</f>
        <v>108543.49712552478</v>
      </c>
      <c r="N16" s="71">
        <v>3.6000000000000002E-4</v>
      </c>
      <c r="O16" s="4"/>
      <c r="P16" s="181">
        <f t="shared" ref="P16:P20" si="8">-SUM(K16:M16)</f>
        <v>-239409.30467851565</v>
      </c>
    </row>
    <row r="17" spans="1:16" x14ac:dyDescent="0.35">
      <c r="A17" s="45" t="s">
        <v>120</v>
      </c>
      <c r="C17" s="95">
        <v>-60515.91732</v>
      </c>
      <c r="D17" s="95"/>
      <c r="E17" s="129">
        <f>'[10]November 2024'!$G129</f>
        <v>17953.02</v>
      </c>
      <c r="F17" s="129">
        <f>'[10]December 2024'!$G129</f>
        <v>21326.06</v>
      </c>
      <c r="G17" s="129">
        <f>'[10]January 2025'!$G129</f>
        <v>22213.9</v>
      </c>
      <c r="H17" s="178">
        <f>'[10]February 2025'!$G129</f>
        <v>21169.03</v>
      </c>
      <c r="I17" s="115">
        <f>'[10]March 2025'!$G129</f>
        <v>7612.63</v>
      </c>
      <c r="J17" s="161">
        <f>'[10]April 2025'!$G129</f>
        <v>9603.0300000000007</v>
      </c>
      <c r="K17" s="117">
        <f>'PCR Cycle 4'!K23*$N17</f>
        <v>10316.032229999999</v>
      </c>
      <c r="L17" s="40">
        <f>'PCR Cycle 4'!L23*$N17</f>
        <v>11412.35319</v>
      </c>
      <c r="M17" s="60">
        <f>'PCR Cycle 4'!M23*$N17</f>
        <v>12802.236719999999</v>
      </c>
      <c r="N17" s="71">
        <v>2.0999999999999998E-4</v>
      </c>
      <c r="O17" s="4"/>
      <c r="P17" s="181">
        <f t="shared" si="8"/>
        <v>-34530.622139999999</v>
      </c>
    </row>
    <row r="18" spans="1:16" x14ac:dyDescent="0.35">
      <c r="A18" s="45" t="s">
        <v>121</v>
      </c>
      <c r="C18" s="95">
        <v>-124089.05035999999</v>
      </c>
      <c r="D18" s="95"/>
      <c r="E18" s="129">
        <f>'[10]November 2024'!$G130</f>
        <v>35414.79</v>
      </c>
      <c r="F18" s="129">
        <f>'[10]December 2024'!$G130</f>
        <v>39710.160000000003</v>
      </c>
      <c r="G18" s="129">
        <f>'[10]January 2025'!$G130</f>
        <v>41553.040000000001</v>
      </c>
      <c r="H18" s="178">
        <f>'[10]February 2025'!$G130</f>
        <v>38693.14</v>
      </c>
      <c r="I18" s="115">
        <f>'[10]March 2025'!$G130</f>
        <v>17922.09</v>
      </c>
      <c r="J18" s="161">
        <f>'[10]April 2025'!$G130</f>
        <v>17444.849999999999</v>
      </c>
      <c r="K18" s="117">
        <f>'PCR Cycle 4'!K24*$N18</f>
        <v>19347.73432</v>
      </c>
      <c r="L18" s="40">
        <f>'PCR Cycle 4'!L24*$N18</f>
        <v>21403.88579</v>
      </c>
      <c r="M18" s="60">
        <f>'PCR Cycle 4'!M24*$N18</f>
        <v>24010.614250000002</v>
      </c>
      <c r="N18" s="71">
        <v>2.3000000000000001E-4</v>
      </c>
      <c r="O18" s="4"/>
      <c r="P18" s="181">
        <f t="shared" si="8"/>
        <v>-64762.234360000002</v>
      </c>
    </row>
    <row r="19" spans="1:16" x14ac:dyDescent="0.35">
      <c r="A19" s="45" t="s">
        <v>122</v>
      </c>
      <c r="C19" s="95">
        <v>-210297.04264</v>
      </c>
      <c r="D19" s="95"/>
      <c r="E19" s="129">
        <f>'[10]November 2024'!$G131</f>
        <v>63369.26</v>
      </c>
      <c r="F19" s="129">
        <f>'[10]December 2024'!$G131</f>
        <v>71030.25</v>
      </c>
      <c r="G19" s="129">
        <f>'[10]January 2025'!$G131</f>
        <v>72459.12</v>
      </c>
      <c r="H19" s="178">
        <f>'[10]February 2025'!$G131</f>
        <v>65768.94</v>
      </c>
      <c r="I19" s="115">
        <f>'[10]March 2025'!$G131</f>
        <v>15610.15</v>
      </c>
      <c r="J19" s="161">
        <f>'[10]April 2025'!$G131</f>
        <v>32645.51</v>
      </c>
      <c r="K19" s="117">
        <f>'PCR Cycle 4'!K25*$N19</f>
        <v>35709.733020000007</v>
      </c>
      <c r="L19" s="40">
        <f>'PCR Cycle 4'!L25*$N19</f>
        <v>39504.731240000008</v>
      </c>
      <c r="M19" s="60">
        <f>'PCR Cycle 4'!M25*$N19</f>
        <v>44315.918920000004</v>
      </c>
      <c r="N19" s="71">
        <v>2.6000000000000003E-4</v>
      </c>
      <c r="O19" s="4"/>
      <c r="P19" s="181">
        <f t="shared" si="8"/>
        <v>-119530.38318</v>
      </c>
    </row>
    <row r="20" spans="1:16" x14ac:dyDescent="0.35">
      <c r="A20" s="45" t="s">
        <v>123</v>
      </c>
      <c r="C20" s="95">
        <v>-43688.470680000006</v>
      </c>
      <c r="D20" s="95"/>
      <c r="E20" s="129">
        <f>'[10]November 2024'!$G132</f>
        <v>12876.85</v>
      </c>
      <c r="F20" s="129">
        <f>'[10]December 2024'!$G132</f>
        <v>9686.14</v>
      </c>
      <c r="G20" s="129">
        <f>'[10]January 2025'!$G132</f>
        <v>12402.43</v>
      </c>
      <c r="H20" s="178">
        <f>'[10]February 2025'!$G132</f>
        <v>13231.66</v>
      </c>
      <c r="I20" s="115">
        <f>'[10]March 2025'!$G132</f>
        <v>-13084.45</v>
      </c>
      <c r="J20" s="161">
        <f>'[10]April 2025'!$G132</f>
        <v>6364.64</v>
      </c>
      <c r="K20" s="117">
        <f>'PCR Cycle 4'!K26*$N20</f>
        <v>6799.7101200000006</v>
      </c>
      <c r="L20" s="40">
        <f>'PCR Cycle 4'!L26*$N20</f>
        <v>7522.3392300000005</v>
      </c>
      <c r="M20" s="60">
        <f>'PCR Cycle 4'!M26*$N20</f>
        <v>8438.4669599999997</v>
      </c>
      <c r="N20" s="71">
        <v>2.1000000000000001E-4</v>
      </c>
      <c r="O20" s="4"/>
      <c r="P20" s="181">
        <f t="shared" si="8"/>
        <v>-22760.516309999999</v>
      </c>
    </row>
    <row r="21" spans="1:16" x14ac:dyDescent="0.35">
      <c r="C21" s="66"/>
      <c r="D21" s="66"/>
      <c r="E21" s="67"/>
      <c r="F21" s="67"/>
      <c r="G21" s="67"/>
      <c r="H21" s="66"/>
      <c r="I21" s="67"/>
      <c r="J21" s="162"/>
      <c r="K21" s="55"/>
      <c r="L21" s="55"/>
      <c r="M21" s="12"/>
      <c r="O21" s="4"/>
    </row>
    <row r="22" spans="1:16" x14ac:dyDescent="0.35">
      <c r="A22" s="45" t="s">
        <v>78</v>
      </c>
      <c r="C22" s="35"/>
      <c r="D22" s="35"/>
      <c r="E22" s="36"/>
      <c r="F22" s="36"/>
      <c r="G22" s="36"/>
      <c r="H22" s="35"/>
      <c r="I22" s="36"/>
      <c r="J22" s="165"/>
      <c r="K22" s="51"/>
      <c r="L22" s="51"/>
      <c r="M22" s="37"/>
      <c r="O22" s="4"/>
    </row>
    <row r="23" spans="1:16" x14ac:dyDescent="0.35">
      <c r="A23" s="45" t="s">
        <v>22</v>
      </c>
      <c r="C23" s="95">
        <v>-357778.82</v>
      </c>
      <c r="D23" s="95"/>
      <c r="E23" s="129">
        <f>ROUND(+'EO Cycle 3'!$F55/12+'EO Cycle 3'!$F79/12+'EO Cycle 3'!$F91/12+'EO Cycle 3'!$F127/12,2)</f>
        <v>178889.41</v>
      </c>
      <c r="F23" s="129">
        <f>ROUND(+'EO Cycle 3'!$F55/12+'EO Cycle 3'!$F79/12+'EO Cycle 3'!$F91/12+'EO Cycle 3'!$F127/12,2)</f>
        <v>178889.41</v>
      </c>
      <c r="G23" s="129">
        <f>ROUND(+'EO Cycle 3'!$F55/12+'EO Cycle 3'!$F79/12+'EO Cycle 3'!$F91/12+'EO Cycle 3'!$F127/12,2)</f>
        <v>178889.41</v>
      </c>
      <c r="H23" s="178">
        <f>ROUND(+'EO Cycle 3'!$F91/12+'EO Cycle 3'!$F103/12+'EO Cycle 3'!$F127/12,2)</f>
        <v>87608.59</v>
      </c>
      <c r="I23" s="115">
        <f>ROUND(+'EO Cycle 3'!$F91/12+'EO Cycle 3'!$F103/12+'EO Cycle 3'!$F127/12,2)</f>
        <v>87608.59</v>
      </c>
      <c r="J23" s="161">
        <f>ROUND(+'EO Cycle 3'!$F91/12+'EO Cycle 3'!$F103/12+'EO Cycle 3'!$F127/12,2)</f>
        <v>87608.59</v>
      </c>
      <c r="K23" s="136">
        <f>ROUND(+'EO Cycle 3'!$F91/12+'EO Cycle 3'!$F103/12+'EO Cycle 3'!$F127/12,2)</f>
        <v>87608.59</v>
      </c>
      <c r="L23" s="136">
        <f>ROUND(+'EO Cycle 3'!$F91/12+'EO Cycle 3'!$F103/12+'EO Cycle 3'!$F127/12,2)</f>
        <v>87608.59</v>
      </c>
      <c r="M23" s="77"/>
      <c r="O23" s="4"/>
      <c r="P23" s="181">
        <f t="shared" ref="P23:P29" si="9">-SUM(K23:M23)</f>
        <v>-175217.18</v>
      </c>
    </row>
    <row r="24" spans="1:16" x14ac:dyDescent="0.35">
      <c r="A24" s="45" t="s">
        <v>120</v>
      </c>
      <c r="C24" s="95">
        <v>-51883.360000000001</v>
      </c>
      <c r="D24" s="95"/>
      <c r="E24" s="129">
        <f>ROUND(+'EO Cycle 3'!$F59/12+'EO Cycle 3'!$F83/12+'EO Cycle 3'!$F95/12+'EO Cycle 3'!$F131/12,2)</f>
        <v>25941.68</v>
      </c>
      <c r="F24" s="129">
        <f>ROUND(+'EO Cycle 3'!$F59/12+'EO Cycle 3'!$F83/12+'EO Cycle 3'!$F95/12+'EO Cycle 3'!$F131/12,2)</f>
        <v>25941.68</v>
      </c>
      <c r="G24" s="129">
        <f>ROUND(+'EO Cycle 3'!$F59/12+'EO Cycle 3'!$F83/12+'EO Cycle 3'!$F95/12+'EO Cycle 3'!$F131/12,2)</f>
        <v>25941.68</v>
      </c>
      <c r="H24" s="178">
        <f>ROUND(+'EO Cycle 3'!$F95/12+'EO Cycle 3'!$F107/12+'EO Cycle 3'!$F131/12,2)</f>
        <v>12185.3</v>
      </c>
      <c r="I24" s="115">
        <f>ROUND(+'EO Cycle 3'!$F95/12+'EO Cycle 3'!$F107/12+'EO Cycle 3'!$F131/12,2)</f>
        <v>12185.3</v>
      </c>
      <c r="J24" s="161">
        <f>ROUND(+'EO Cycle 3'!$F95/12+'EO Cycle 3'!$F107/12+'EO Cycle 3'!$F131/12,2)</f>
        <v>12185.3</v>
      </c>
      <c r="K24" s="136">
        <f>ROUND(+'EO Cycle 3'!$F95/12+'EO Cycle 3'!$F107/12+'EO Cycle 3'!$F131/12,2)</f>
        <v>12185.3</v>
      </c>
      <c r="L24" s="136">
        <f>ROUND(+'EO Cycle 3'!$F95/12+'EO Cycle 3'!$F107/12+'EO Cycle 3'!$F131/12,2)</f>
        <v>12185.3</v>
      </c>
      <c r="M24" s="77"/>
      <c r="O24" s="4"/>
      <c r="P24" s="181">
        <f t="shared" si="9"/>
        <v>-24370.6</v>
      </c>
    </row>
    <row r="25" spans="1:16" x14ac:dyDescent="0.35">
      <c r="A25" s="45" t="s">
        <v>121</v>
      </c>
      <c r="C25" s="95">
        <v>-96138.66</v>
      </c>
      <c r="D25" s="95"/>
      <c r="E25" s="129">
        <f>ROUND(+'EO Cycle 3'!$F60/12+'EO Cycle 3'!$F84/12+'EO Cycle 3'!$F96/12+'EO Cycle 3'!$F132/12,2)</f>
        <v>48069.33</v>
      </c>
      <c r="F25" s="129">
        <f>ROUND(+'EO Cycle 3'!$F60/12+'EO Cycle 3'!$F84/12+'EO Cycle 3'!$F96/12+'EO Cycle 3'!$F132/12,2)</f>
        <v>48069.33</v>
      </c>
      <c r="G25" s="129">
        <f>ROUND(+'EO Cycle 3'!$F60/12+'EO Cycle 3'!$F84/12+'EO Cycle 3'!$F96/12+'EO Cycle 3'!$F132/12,2)</f>
        <v>48069.33</v>
      </c>
      <c r="H25" s="178">
        <f>ROUND(+'EO Cycle 3'!$F96/12+'EO Cycle 3'!$F108/12+'EO Cycle 3'!$F132/12,2)</f>
        <v>23133.38</v>
      </c>
      <c r="I25" s="115">
        <f>ROUND(+'EO Cycle 3'!$F96/12+'EO Cycle 3'!$F108/12+'EO Cycle 3'!$F132/12,2)</f>
        <v>23133.38</v>
      </c>
      <c r="J25" s="161">
        <f>ROUND(+'EO Cycle 3'!$F96/12+'EO Cycle 3'!$F108/12+'EO Cycle 3'!$F132/12,2)</f>
        <v>23133.38</v>
      </c>
      <c r="K25" s="136">
        <f>ROUND(+'EO Cycle 3'!$F96/12+'EO Cycle 3'!$F108/12+'EO Cycle 3'!$F132/12,2)</f>
        <v>23133.38</v>
      </c>
      <c r="L25" s="136">
        <f>ROUND(+'EO Cycle 3'!$F96/12+'EO Cycle 3'!$F108/12+'EO Cycle 3'!$F132/12,2)</f>
        <v>23133.38</v>
      </c>
      <c r="M25" s="77"/>
      <c r="O25" s="4"/>
      <c r="P25" s="181">
        <f t="shared" si="9"/>
        <v>-46266.76</v>
      </c>
    </row>
    <row r="26" spans="1:16" x14ac:dyDescent="0.35">
      <c r="A26" s="45" t="s">
        <v>122</v>
      </c>
      <c r="C26" s="95">
        <v>-150233.76</v>
      </c>
      <c r="D26" s="95"/>
      <c r="E26" s="129">
        <f>ROUND(+'EO Cycle 3'!$F61/12+'EO Cycle 3'!$F85/12+'EO Cycle 3'!$F97/12+'EO Cycle 3'!$F133/12,2)</f>
        <v>75116.88</v>
      </c>
      <c r="F26" s="129">
        <f>ROUND(+'EO Cycle 3'!$F61/12+'EO Cycle 3'!$F85/12+'EO Cycle 3'!$F97/12+'EO Cycle 3'!$F133/12,2)</f>
        <v>75116.88</v>
      </c>
      <c r="G26" s="129">
        <f>ROUND(+'EO Cycle 3'!$F61/12+'EO Cycle 3'!$F85/12+'EO Cycle 3'!$F97/12+'EO Cycle 3'!$F133/12,2)</f>
        <v>75116.88</v>
      </c>
      <c r="H26" s="178">
        <f>ROUND(+'EO Cycle 3'!$F97/12+'EO Cycle 3'!$F109/12+'EO Cycle 3'!$F133/12,2)</f>
        <v>39675.96</v>
      </c>
      <c r="I26" s="115">
        <f>ROUND(+'EO Cycle 3'!$F97/12+'EO Cycle 3'!$F109/12+'EO Cycle 3'!$F133/12,2)</f>
        <v>39675.96</v>
      </c>
      <c r="J26" s="161">
        <f>ROUND(+'EO Cycle 3'!$F97/12+'EO Cycle 3'!$F109/12+'EO Cycle 3'!$F133/12,2)</f>
        <v>39675.96</v>
      </c>
      <c r="K26" s="136">
        <f>ROUND(+'EO Cycle 3'!$F97/12+'EO Cycle 3'!$F109/12+'EO Cycle 3'!$F133/12,2)</f>
        <v>39675.96</v>
      </c>
      <c r="L26" s="136">
        <f>ROUND(+'EO Cycle 3'!$F97/12+'EO Cycle 3'!$F109/12+'EO Cycle 3'!$F133/12,2)</f>
        <v>39675.96</v>
      </c>
      <c r="M26" s="77"/>
      <c r="O26" s="4"/>
      <c r="P26" s="181">
        <f t="shared" si="9"/>
        <v>-79351.92</v>
      </c>
    </row>
    <row r="27" spans="1:16" x14ac:dyDescent="0.35">
      <c r="A27" s="45" t="s">
        <v>123</v>
      </c>
      <c r="C27" s="95">
        <v>-34992.400000000001</v>
      </c>
      <c r="D27" s="95"/>
      <c r="E27" s="129">
        <f>ROUND(+'EO Cycle 3'!$F62/12+'EO Cycle 3'!$F86/12+'EO Cycle 3'!$F98/12+'EO Cycle 3'!$F134/12,2)</f>
        <v>17496.2</v>
      </c>
      <c r="F27" s="129">
        <f>ROUND(+'EO Cycle 3'!$F62/12+'EO Cycle 3'!$F86/12+'EO Cycle 3'!$F98/12+'EO Cycle 3'!$F134/12,2)</f>
        <v>17496.2</v>
      </c>
      <c r="G27" s="129">
        <f>ROUND(+'EO Cycle 3'!$F62/12+'EO Cycle 3'!$F86/12+'EO Cycle 3'!$F98/12+'EO Cycle 3'!$F134/12,2)</f>
        <v>17496.2</v>
      </c>
      <c r="H27" s="178">
        <f>ROUND(+'EO Cycle 3'!$F98/12+'EO Cycle 3'!$F110/12+'EO Cycle 3'!$F134/12,2)</f>
        <v>10789.24</v>
      </c>
      <c r="I27" s="115">
        <f>ROUND(+'EO Cycle 3'!$F98/12+'EO Cycle 3'!$F110/12+'EO Cycle 3'!$F134/12,2)</f>
        <v>10789.24</v>
      </c>
      <c r="J27" s="161">
        <f>ROUND(+'EO Cycle 3'!$F98/12+'EO Cycle 3'!$F110/12+'EO Cycle 3'!$F134/12,2)</f>
        <v>10789.24</v>
      </c>
      <c r="K27" s="136">
        <f>ROUND(+'EO Cycle 3'!$F98/12+'EO Cycle 3'!$F110/12+'EO Cycle 3'!$F134/12,2)</f>
        <v>10789.24</v>
      </c>
      <c r="L27" s="136">
        <f>ROUND(+'EO Cycle 3'!$F98/12+'EO Cycle 3'!$F110/12+'EO Cycle 3'!$F134/12,2)</f>
        <v>10789.24</v>
      </c>
      <c r="M27" s="77"/>
      <c r="O27" s="4"/>
      <c r="P27" s="181">
        <f t="shared" si="9"/>
        <v>-21578.48</v>
      </c>
    </row>
    <row r="28" spans="1:16" x14ac:dyDescent="0.35">
      <c r="C28" s="35"/>
      <c r="D28" s="35"/>
      <c r="E28" s="327"/>
      <c r="F28" s="327"/>
      <c r="G28" s="327"/>
      <c r="H28" s="328"/>
      <c r="I28" s="327"/>
      <c r="J28" s="329"/>
      <c r="K28" s="51"/>
      <c r="L28" s="51"/>
      <c r="M28" s="12"/>
    </row>
    <row r="29" spans="1:16" ht="15" thickBot="1" x14ac:dyDescent="0.4">
      <c r="A29" s="3" t="s">
        <v>12</v>
      </c>
      <c r="B29" s="3"/>
      <c r="C29" s="100">
        <v>-9390.75</v>
      </c>
      <c r="D29" s="100"/>
      <c r="E29" s="129">
        <v>4460.7700000000004</v>
      </c>
      <c r="F29" s="129">
        <v>4707.3099999999995</v>
      </c>
      <c r="G29" s="130">
        <f>4797.57-0.01</f>
        <v>4797.5599999999995</v>
      </c>
      <c r="H29" s="25">
        <v>4544.12</v>
      </c>
      <c r="I29" s="116">
        <v>4400.21</v>
      </c>
      <c r="J29" s="166">
        <f>4682.96+0.01</f>
        <v>4682.97</v>
      </c>
      <c r="K29" s="155">
        <f>ROUND((SUM(J39:J43)+SUM(J47:J51)+SUM(K32:K36)/2)*K$45,2)+0.01</f>
        <v>4929.3500000000004</v>
      </c>
      <c r="L29" s="138">
        <f>ROUND((SUM(K39:K43)+SUM(K47:K51)+SUM(L32:L36)/2)*L$45,2)</f>
        <v>5099.76</v>
      </c>
      <c r="M29" s="80"/>
      <c r="P29" s="181">
        <f t="shared" si="9"/>
        <v>-10029.11</v>
      </c>
    </row>
    <row r="30" spans="1:16" x14ac:dyDescent="0.35">
      <c r="C30" s="63"/>
      <c r="D30" s="63"/>
      <c r="E30" s="142"/>
      <c r="F30" s="142"/>
      <c r="G30" s="143"/>
      <c r="H30" s="63"/>
      <c r="I30" s="32"/>
      <c r="J30" s="167"/>
      <c r="K30" s="33"/>
      <c r="L30" s="33"/>
      <c r="M30" s="59"/>
    </row>
    <row r="31" spans="1:16" x14ac:dyDescent="0.35">
      <c r="A31" s="45" t="s">
        <v>46</v>
      </c>
      <c r="C31" s="64"/>
      <c r="D31" s="64"/>
      <c r="E31" s="143"/>
      <c r="F31" s="143"/>
      <c r="G31" s="143"/>
      <c r="H31" s="64"/>
      <c r="I31" s="34"/>
      <c r="J31" s="168"/>
      <c r="K31" s="33"/>
      <c r="L31" s="33"/>
      <c r="M31" s="59"/>
    </row>
    <row r="32" spans="1:16" x14ac:dyDescent="0.35">
      <c r="A32" s="45" t="s">
        <v>22</v>
      </c>
      <c r="C32" s="98">
        <f t="shared" ref="C32:M36" si="10">C23-C16</f>
        <v>121344.62747000001</v>
      </c>
      <c r="D32" s="98"/>
      <c r="E32" s="40">
        <f t="shared" si="10"/>
        <v>72639.240000000005</v>
      </c>
      <c r="F32" s="40">
        <f t="shared" si="10"/>
        <v>27340.950000000012</v>
      </c>
      <c r="G32" s="105">
        <f t="shared" si="10"/>
        <v>-6440.8899999999849</v>
      </c>
      <c r="H32" s="39">
        <f t="shared" si="10"/>
        <v>-80945.100000000006</v>
      </c>
      <c r="I32" s="40">
        <f t="shared" si="10"/>
        <v>3355.2299999999959</v>
      </c>
      <c r="J32" s="60">
        <f t="shared" si="10"/>
        <v>33069.919999999998</v>
      </c>
      <c r="K32" s="117">
        <f t="shared" si="10"/>
        <v>30869.17785639556</v>
      </c>
      <c r="L32" s="40">
        <f t="shared" si="10"/>
        <v>13482.194590613552</v>
      </c>
      <c r="M32" s="60">
        <f t="shared" si="10"/>
        <v>-108543.49712552478</v>
      </c>
    </row>
    <row r="33" spans="1:16" x14ac:dyDescent="0.35">
      <c r="A33" s="45" t="s">
        <v>120</v>
      </c>
      <c r="C33" s="98">
        <f t="shared" si="10"/>
        <v>8632.5573199999999</v>
      </c>
      <c r="D33" s="98"/>
      <c r="E33" s="40">
        <f t="shared" si="10"/>
        <v>7988.66</v>
      </c>
      <c r="F33" s="40">
        <f t="shared" si="10"/>
        <v>4615.619999999999</v>
      </c>
      <c r="G33" s="105">
        <f t="shared" si="10"/>
        <v>3727.7799999999988</v>
      </c>
      <c r="H33" s="39">
        <f t="shared" si="10"/>
        <v>-8983.73</v>
      </c>
      <c r="I33" s="40">
        <f t="shared" si="10"/>
        <v>4572.6699999999992</v>
      </c>
      <c r="J33" s="60">
        <f t="shared" si="10"/>
        <v>2582.2699999999986</v>
      </c>
      <c r="K33" s="117">
        <f t="shared" si="10"/>
        <v>1869.2677700000004</v>
      </c>
      <c r="L33" s="40">
        <f t="shared" si="10"/>
        <v>772.94680999999946</v>
      </c>
      <c r="M33" s="60">
        <f t="shared" si="10"/>
        <v>-12802.236719999999</v>
      </c>
    </row>
    <row r="34" spans="1:16" x14ac:dyDescent="0.35">
      <c r="A34" s="45" t="s">
        <v>121</v>
      </c>
      <c r="C34" s="98">
        <f t="shared" si="10"/>
        <v>27950.39035999999</v>
      </c>
      <c r="D34" s="98"/>
      <c r="E34" s="40">
        <f t="shared" si="10"/>
        <v>12654.54</v>
      </c>
      <c r="F34" s="40">
        <f t="shared" si="10"/>
        <v>8359.1699999999983</v>
      </c>
      <c r="G34" s="105">
        <f t="shared" si="10"/>
        <v>6516.2900000000009</v>
      </c>
      <c r="H34" s="39">
        <f t="shared" si="10"/>
        <v>-15559.759999999998</v>
      </c>
      <c r="I34" s="40">
        <f t="shared" si="10"/>
        <v>5211.2900000000009</v>
      </c>
      <c r="J34" s="60">
        <f t="shared" si="10"/>
        <v>5688.5300000000025</v>
      </c>
      <c r="K34" s="117">
        <f t="shared" si="10"/>
        <v>3785.6456800000014</v>
      </c>
      <c r="L34" s="40">
        <f t="shared" si="10"/>
        <v>1729.4942100000007</v>
      </c>
      <c r="M34" s="60">
        <f t="shared" si="10"/>
        <v>-24010.614250000002</v>
      </c>
    </row>
    <row r="35" spans="1:16" x14ac:dyDescent="0.35">
      <c r="A35" s="45" t="s">
        <v>122</v>
      </c>
      <c r="C35" s="98">
        <f t="shared" si="10"/>
        <v>60063.28263999999</v>
      </c>
      <c r="D35" s="98"/>
      <c r="E35" s="40">
        <f t="shared" si="10"/>
        <v>11747.620000000003</v>
      </c>
      <c r="F35" s="40">
        <f t="shared" si="10"/>
        <v>4086.6300000000047</v>
      </c>
      <c r="G35" s="105">
        <f t="shared" si="10"/>
        <v>2657.7600000000093</v>
      </c>
      <c r="H35" s="39">
        <f t="shared" si="10"/>
        <v>-26092.980000000003</v>
      </c>
      <c r="I35" s="40">
        <f t="shared" si="10"/>
        <v>24065.809999999998</v>
      </c>
      <c r="J35" s="60">
        <f t="shared" si="10"/>
        <v>7030.4500000000007</v>
      </c>
      <c r="K35" s="117">
        <f t="shared" si="10"/>
        <v>3966.2269799999922</v>
      </c>
      <c r="L35" s="40">
        <f t="shared" si="10"/>
        <v>171.22875999999087</v>
      </c>
      <c r="M35" s="60">
        <f t="shared" si="10"/>
        <v>-44315.918920000004</v>
      </c>
    </row>
    <row r="36" spans="1:16" x14ac:dyDescent="0.35">
      <c r="A36" s="45" t="s">
        <v>123</v>
      </c>
      <c r="C36" s="98">
        <f t="shared" si="10"/>
        <v>8696.0706800000044</v>
      </c>
      <c r="D36" s="98"/>
      <c r="E36" s="40">
        <f t="shared" si="10"/>
        <v>4619.3500000000004</v>
      </c>
      <c r="F36" s="40">
        <f t="shared" si="10"/>
        <v>7810.0600000000013</v>
      </c>
      <c r="G36" s="105">
        <f t="shared" si="10"/>
        <v>5093.7700000000004</v>
      </c>
      <c r="H36" s="39">
        <f t="shared" si="10"/>
        <v>-2442.42</v>
      </c>
      <c r="I36" s="40">
        <f t="shared" si="10"/>
        <v>23873.690000000002</v>
      </c>
      <c r="J36" s="60">
        <f t="shared" si="10"/>
        <v>4424.5999999999995</v>
      </c>
      <c r="K36" s="117">
        <f t="shared" si="10"/>
        <v>3989.5298799999991</v>
      </c>
      <c r="L36" s="40">
        <f t="shared" si="10"/>
        <v>3266.9007699999993</v>
      </c>
      <c r="M36" s="60">
        <f t="shared" si="10"/>
        <v>-8438.4669599999997</v>
      </c>
    </row>
    <row r="37" spans="1:16" x14ac:dyDescent="0.35">
      <c r="C37" s="97"/>
      <c r="D37" s="97"/>
      <c r="E37" s="16"/>
      <c r="F37" s="16"/>
      <c r="G37" s="16"/>
      <c r="H37" s="9"/>
      <c r="I37" s="16"/>
      <c r="J37" s="28"/>
      <c r="K37" s="16"/>
      <c r="L37" s="16"/>
      <c r="M37" s="10"/>
    </row>
    <row r="38" spans="1:16" x14ac:dyDescent="0.35">
      <c r="A38" s="45" t="s">
        <v>47</v>
      </c>
      <c r="C38" s="97"/>
      <c r="D38" s="97"/>
      <c r="E38" s="16"/>
      <c r="F38" s="16"/>
      <c r="G38" s="16"/>
      <c r="H38" s="9"/>
      <c r="I38" s="16"/>
      <c r="J38" s="10"/>
      <c r="K38" s="16"/>
      <c r="L38" s="16"/>
      <c r="M38" s="10"/>
    </row>
    <row r="39" spans="1:16" x14ac:dyDescent="0.35">
      <c r="A39" s="45" t="s">
        <v>22</v>
      </c>
      <c r="B39" s="288">
        <v>330022.75253000006</v>
      </c>
      <c r="C39" s="98">
        <f t="shared" ref="C39:M43" si="11">B39+C32+B47</f>
        <v>451367.38000000006</v>
      </c>
      <c r="D39" s="98"/>
      <c r="E39" s="40">
        <f>C39+E32+C47+D47+D32</f>
        <v>519059.45000000007</v>
      </c>
      <c r="F39" s="40">
        <f t="shared" si="11"/>
        <v>548744.84000000008</v>
      </c>
      <c r="G39" s="105">
        <f t="shared" si="11"/>
        <v>544812.92000000004</v>
      </c>
      <c r="H39" s="39">
        <f t="shared" si="11"/>
        <v>466394.72000000009</v>
      </c>
      <c r="I39" s="40">
        <f t="shared" si="11"/>
        <v>472090.53000000009</v>
      </c>
      <c r="J39" s="60">
        <f t="shared" si="11"/>
        <v>507334.44000000006</v>
      </c>
      <c r="K39" s="117">
        <f t="shared" si="11"/>
        <v>540471.47785639565</v>
      </c>
      <c r="L39" s="40">
        <f t="shared" si="11"/>
        <v>556379.7324470093</v>
      </c>
      <c r="M39" s="60">
        <f t="shared" si="11"/>
        <v>450375.9753214845</v>
      </c>
      <c r="P39" s="181"/>
    </row>
    <row r="40" spans="1:16" x14ac:dyDescent="0.35">
      <c r="A40" s="45" t="s">
        <v>120</v>
      </c>
      <c r="B40" s="288">
        <v>34948.342679999987</v>
      </c>
      <c r="C40" s="98">
        <f t="shared" si="11"/>
        <v>43580.899999999987</v>
      </c>
      <c r="D40" s="98"/>
      <c r="E40" s="40">
        <f t="shared" ref="E40:E43" si="12">C40+E33+C48+D48+D33</f>
        <v>51072.069999999985</v>
      </c>
      <c r="F40" s="40">
        <f t="shared" si="11"/>
        <v>55916.319999999985</v>
      </c>
      <c r="G40" s="105">
        <f t="shared" si="11"/>
        <v>59895.469999999987</v>
      </c>
      <c r="H40" s="39">
        <f t="shared" si="11"/>
        <v>51179.30999999999</v>
      </c>
      <c r="I40" s="40">
        <f t="shared" si="11"/>
        <v>56009.05999999999</v>
      </c>
      <c r="J40" s="60">
        <f t="shared" si="11"/>
        <v>58839.609999999986</v>
      </c>
      <c r="K40" s="117">
        <f t="shared" si="11"/>
        <v>60974.797769999983</v>
      </c>
      <c r="L40" s="40">
        <f t="shared" si="11"/>
        <v>62025.174579999984</v>
      </c>
      <c r="M40" s="60">
        <f t="shared" si="11"/>
        <v>49507.757859999983</v>
      </c>
      <c r="P40" s="181"/>
    </row>
    <row r="41" spans="1:16" x14ac:dyDescent="0.35">
      <c r="A41" s="45" t="s">
        <v>121</v>
      </c>
      <c r="B41" s="288">
        <v>87394.699639999963</v>
      </c>
      <c r="C41" s="98">
        <f t="shared" si="11"/>
        <v>115345.08999999995</v>
      </c>
      <c r="D41" s="98"/>
      <c r="E41" s="40">
        <f t="shared" si="12"/>
        <v>126772.58999999995</v>
      </c>
      <c r="F41" s="40">
        <f t="shared" si="11"/>
        <v>135716.70999999996</v>
      </c>
      <c r="G41" s="105">
        <f t="shared" si="11"/>
        <v>142849.77999999997</v>
      </c>
      <c r="H41" s="39">
        <f t="shared" si="11"/>
        <v>127933.65999999997</v>
      </c>
      <c r="I41" s="40">
        <f t="shared" si="11"/>
        <v>133771.63999999998</v>
      </c>
      <c r="J41" s="60">
        <f t="shared" si="11"/>
        <v>140066.34999999998</v>
      </c>
      <c r="K41" s="117">
        <f t="shared" si="11"/>
        <v>144486.06568</v>
      </c>
      <c r="L41" s="40">
        <f t="shared" si="11"/>
        <v>146874.44989000002</v>
      </c>
      <c r="M41" s="60">
        <f t="shared" si="11"/>
        <v>123538.50564000002</v>
      </c>
      <c r="P41" s="181"/>
    </row>
    <row r="42" spans="1:16" x14ac:dyDescent="0.35">
      <c r="A42" s="45" t="s">
        <v>122</v>
      </c>
      <c r="B42" s="288">
        <v>168285.44736000011</v>
      </c>
      <c r="C42" s="98">
        <f t="shared" si="11"/>
        <v>228348.7300000001</v>
      </c>
      <c r="D42" s="98"/>
      <c r="E42" s="40">
        <f t="shared" si="12"/>
        <v>237753.7300000001</v>
      </c>
      <c r="F42" s="40">
        <f t="shared" si="11"/>
        <v>242966.49000000011</v>
      </c>
      <c r="G42" s="105">
        <f t="shared" si="11"/>
        <v>246753.94000000012</v>
      </c>
      <c r="H42" s="39">
        <f t="shared" si="11"/>
        <v>221792.5800000001</v>
      </c>
      <c r="I42" s="40">
        <f t="shared" si="11"/>
        <v>246942.82000000009</v>
      </c>
      <c r="J42" s="60">
        <f t="shared" si="11"/>
        <v>255058.8900000001</v>
      </c>
      <c r="K42" s="117">
        <f t="shared" si="11"/>
        <v>260187.43698000011</v>
      </c>
      <c r="L42" s="40">
        <f t="shared" si="11"/>
        <v>261551.76574000012</v>
      </c>
      <c r="M42" s="60">
        <f t="shared" si="11"/>
        <v>218444.01682000014</v>
      </c>
      <c r="P42" s="181"/>
    </row>
    <row r="43" spans="1:16" x14ac:dyDescent="0.35">
      <c r="A43" s="45" t="s">
        <v>123</v>
      </c>
      <c r="B43" s="288">
        <v>25738.449320000014</v>
      </c>
      <c r="C43" s="98">
        <f>B43+C36+B51</f>
        <v>34434.520000000019</v>
      </c>
      <c r="D43" s="98"/>
      <c r="E43" s="40">
        <f t="shared" si="12"/>
        <v>38677.440000000017</v>
      </c>
      <c r="F43" s="40">
        <f t="shared" si="11"/>
        <v>46664.120000000017</v>
      </c>
      <c r="G43" s="105">
        <f t="shared" si="11"/>
        <v>51958.390000000014</v>
      </c>
      <c r="H43" s="39">
        <f t="shared" si="11"/>
        <v>49743.800000000017</v>
      </c>
      <c r="I43" s="40">
        <f t="shared" si="11"/>
        <v>73852.830000000016</v>
      </c>
      <c r="J43" s="60">
        <f t="shared" si="11"/>
        <v>78563.570000000022</v>
      </c>
      <c r="K43" s="117">
        <f t="shared" si="11"/>
        <v>82905.899880000026</v>
      </c>
      <c r="L43" s="40">
        <f t="shared" si="11"/>
        <v>86546.670650000015</v>
      </c>
      <c r="M43" s="60">
        <f t="shared" si="11"/>
        <v>78500.56369000001</v>
      </c>
      <c r="P43" s="181"/>
    </row>
    <row r="44" spans="1:16" x14ac:dyDescent="0.35">
      <c r="C44" s="97"/>
      <c r="D44" s="97"/>
      <c r="E44" s="16"/>
      <c r="F44" s="16"/>
      <c r="G44" s="16"/>
      <c r="H44" s="9"/>
      <c r="I44" s="16"/>
      <c r="J44" s="10"/>
      <c r="K44" s="16"/>
      <c r="L44" s="16"/>
      <c r="M44" s="10"/>
    </row>
    <row r="45" spans="1:16" x14ac:dyDescent="0.35">
      <c r="A45" s="38" t="s">
        <v>43</v>
      </c>
      <c r="B45" s="38"/>
      <c r="C45" s="101"/>
      <c r="D45" s="101"/>
      <c r="E45" s="81">
        <f>'PCR Cycle 3'!E$51</f>
        <v>4.8565300000000004E-3</v>
      </c>
      <c r="F45" s="81">
        <f>'PCR Cycle 3'!F$51</f>
        <v>4.6890200000000003E-3</v>
      </c>
      <c r="G45" s="81">
        <f>'PCR Cycle 3'!G$51</f>
        <v>4.6108499999999997E-3</v>
      </c>
      <c r="H45" s="82">
        <f>'PCR Cycle 3'!H$51</f>
        <v>4.6177400000000004E-3</v>
      </c>
      <c r="I45" s="81">
        <f>'PCR Cycle 3'!I$51</f>
        <v>4.62145E-3</v>
      </c>
      <c r="J45" s="90">
        <f>'PCR Cycle 3'!J$51</f>
        <v>4.6207399999999999E-3</v>
      </c>
      <c r="K45" s="81">
        <f>'PCR Cycle 3'!K$51</f>
        <v>4.6207399999999999E-3</v>
      </c>
      <c r="L45" s="81">
        <f>'PCR Cycle 3'!L$51</f>
        <v>4.6207399999999999E-3</v>
      </c>
      <c r="M45" s="83"/>
    </row>
    <row r="46" spans="1:16" x14ac:dyDescent="0.35">
      <c r="A46" s="38" t="s">
        <v>31</v>
      </c>
      <c r="B46" s="38"/>
      <c r="C46" s="103"/>
      <c r="D46" s="103"/>
      <c r="E46" s="81"/>
      <c r="F46" s="81"/>
      <c r="G46" s="81"/>
      <c r="H46" s="82"/>
      <c r="I46" s="81"/>
      <c r="J46" s="83"/>
      <c r="K46" s="81"/>
      <c r="L46" s="81"/>
      <c r="M46" s="83"/>
    </row>
    <row r="47" spans="1:16" x14ac:dyDescent="0.35">
      <c r="A47" s="45" t="s">
        <v>22</v>
      </c>
      <c r="C47" s="289">
        <v>-4947.17</v>
      </c>
      <c r="D47" s="98"/>
      <c r="E47" s="40">
        <f>ROUND((C39+C47+D47+E32/2)*E$45,2)</f>
        <v>2344.44</v>
      </c>
      <c r="F47" s="40">
        <f t="shared" ref="F47:M51" si="13">ROUND((E39+E47+F32/2)*F$45,2)</f>
        <v>2508.9699999999998</v>
      </c>
      <c r="G47" s="105">
        <f t="shared" si="13"/>
        <v>2526.9</v>
      </c>
      <c r="H47" s="39">
        <f t="shared" si="13"/>
        <v>2340.58</v>
      </c>
      <c r="I47" s="117">
        <f t="shared" si="13"/>
        <v>2173.9899999999998</v>
      </c>
      <c r="J47" s="48">
        <f t="shared" si="13"/>
        <v>2267.86</v>
      </c>
      <c r="K47" s="156">
        <f t="shared" si="13"/>
        <v>2426.06</v>
      </c>
      <c r="L47" s="105">
        <f t="shared" si="13"/>
        <v>2539.7399999999998</v>
      </c>
      <c r="M47" s="60">
        <f t="shared" si="13"/>
        <v>0</v>
      </c>
      <c r="P47" s="181">
        <f t="shared" ref="P47:P51" si="14">-SUM(K47:M47)</f>
        <v>-4965.7999999999993</v>
      </c>
    </row>
    <row r="48" spans="1:16" x14ac:dyDescent="0.35">
      <c r="A48" s="45" t="s">
        <v>120</v>
      </c>
      <c r="C48" s="289">
        <v>-497.49</v>
      </c>
      <c r="D48" s="98"/>
      <c r="E48" s="40">
        <f t="shared" ref="E48:E51" si="15">ROUND((C40+C48+D48+E33/2)*E$45,2)</f>
        <v>228.63</v>
      </c>
      <c r="F48" s="40">
        <f t="shared" si="13"/>
        <v>251.37</v>
      </c>
      <c r="G48" s="105">
        <f t="shared" si="13"/>
        <v>267.57</v>
      </c>
      <c r="H48" s="39">
        <f t="shared" si="13"/>
        <v>257.08</v>
      </c>
      <c r="I48" s="117">
        <f t="shared" si="13"/>
        <v>248.28</v>
      </c>
      <c r="J48" s="48">
        <f t="shared" si="13"/>
        <v>265.92</v>
      </c>
      <c r="K48" s="156">
        <f t="shared" si="13"/>
        <v>277.43</v>
      </c>
      <c r="L48" s="105">
        <f t="shared" si="13"/>
        <v>284.82</v>
      </c>
      <c r="M48" s="60">
        <f t="shared" si="13"/>
        <v>0</v>
      </c>
      <c r="P48" s="181">
        <f t="shared" si="14"/>
        <v>-562.25</v>
      </c>
    </row>
    <row r="49" spans="1:16" x14ac:dyDescent="0.35">
      <c r="A49" s="45" t="s">
        <v>121</v>
      </c>
      <c r="C49" s="289">
        <v>-1227.04</v>
      </c>
      <c r="D49" s="98"/>
      <c r="E49" s="40">
        <f t="shared" si="15"/>
        <v>584.95000000000005</v>
      </c>
      <c r="F49" s="40">
        <f t="shared" si="13"/>
        <v>616.78</v>
      </c>
      <c r="G49" s="105">
        <f t="shared" si="13"/>
        <v>643.64</v>
      </c>
      <c r="H49" s="39">
        <f t="shared" si="13"/>
        <v>626.69000000000005</v>
      </c>
      <c r="I49" s="117">
        <f t="shared" si="13"/>
        <v>606.17999999999995</v>
      </c>
      <c r="J49" s="48">
        <f t="shared" si="13"/>
        <v>634.07000000000005</v>
      </c>
      <c r="K49" s="156">
        <f t="shared" si="13"/>
        <v>658.89</v>
      </c>
      <c r="L49" s="105">
        <f t="shared" si="13"/>
        <v>674.67</v>
      </c>
      <c r="M49" s="60">
        <f t="shared" si="13"/>
        <v>0</v>
      </c>
      <c r="P49" s="181">
        <f t="shared" si="14"/>
        <v>-1333.56</v>
      </c>
    </row>
    <row r="50" spans="1:16" x14ac:dyDescent="0.35">
      <c r="A50" s="45" t="s">
        <v>122</v>
      </c>
      <c r="C50" s="289">
        <v>-2342.62</v>
      </c>
      <c r="D50" s="98"/>
      <c r="E50" s="40">
        <f t="shared" si="15"/>
        <v>1126.1300000000001</v>
      </c>
      <c r="F50" s="40">
        <f t="shared" si="13"/>
        <v>1129.69</v>
      </c>
      <c r="G50" s="105">
        <f t="shared" si="13"/>
        <v>1131.6199999999999</v>
      </c>
      <c r="H50" s="39">
        <f t="shared" si="13"/>
        <v>1084.43</v>
      </c>
      <c r="I50" s="117">
        <f t="shared" si="13"/>
        <v>1085.6199999999999</v>
      </c>
      <c r="J50" s="48">
        <f t="shared" si="13"/>
        <v>1162.32</v>
      </c>
      <c r="K50" s="156">
        <f t="shared" si="13"/>
        <v>1193.0999999999999</v>
      </c>
      <c r="L50" s="105">
        <f t="shared" si="13"/>
        <v>1208.17</v>
      </c>
      <c r="M50" s="60">
        <f t="shared" si="13"/>
        <v>0</v>
      </c>
      <c r="P50" s="181">
        <f t="shared" si="14"/>
        <v>-2401.27</v>
      </c>
    </row>
    <row r="51" spans="1:16" ht="15" thickBot="1" x14ac:dyDescent="0.4">
      <c r="A51" s="45" t="s">
        <v>123</v>
      </c>
      <c r="C51" s="289">
        <v>-376.43</v>
      </c>
      <c r="D51" s="98"/>
      <c r="E51" s="40">
        <f t="shared" si="15"/>
        <v>176.62</v>
      </c>
      <c r="F51" s="40">
        <f t="shared" si="13"/>
        <v>200.5</v>
      </c>
      <c r="G51" s="105">
        <f t="shared" si="13"/>
        <v>227.83</v>
      </c>
      <c r="H51" s="39">
        <f t="shared" si="13"/>
        <v>235.34</v>
      </c>
      <c r="I51" s="117">
        <f t="shared" si="13"/>
        <v>286.14</v>
      </c>
      <c r="J51" s="48">
        <f t="shared" si="13"/>
        <v>352.8</v>
      </c>
      <c r="K51" s="156">
        <f t="shared" si="13"/>
        <v>373.87</v>
      </c>
      <c r="L51" s="105">
        <f t="shared" si="13"/>
        <v>392.36</v>
      </c>
      <c r="M51" s="60">
        <f t="shared" si="13"/>
        <v>0</v>
      </c>
      <c r="P51" s="181">
        <f t="shared" si="14"/>
        <v>-766.23</v>
      </c>
    </row>
    <row r="52" spans="1:16" ht="15.5" thickTop="1" thickBot="1" x14ac:dyDescent="0.4">
      <c r="A52" s="53" t="s">
        <v>20</v>
      </c>
      <c r="B52" s="53"/>
      <c r="C52" s="104">
        <v>0</v>
      </c>
      <c r="D52" s="104"/>
      <c r="E52" s="41">
        <f t="shared" ref="E52:J52" si="16">SUM(E47:E51)+SUM(E39:E43)-E55</f>
        <v>0</v>
      </c>
      <c r="F52" s="41">
        <f t="shared" si="16"/>
        <v>0</v>
      </c>
      <c r="G52" s="49">
        <f t="shared" ref="G52:I52" si="17">SUM(G47:G51)+SUM(G39:G43)-G55</f>
        <v>0</v>
      </c>
      <c r="H52" s="140">
        <f t="shared" si="17"/>
        <v>0</v>
      </c>
      <c r="I52" s="49">
        <f t="shared" si="17"/>
        <v>0</v>
      </c>
      <c r="J52" s="61">
        <f t="shared" si="16"/>
        <v>0</v>
      </c>
      <c r="K52" s="157">
        <f t="shared" ref="K52:M52" si="18">SUM(K47:K51)+SUM(K39:K43)-K55</f>
        <v>0</v>
      </c>
      <c r="L52" s="49">
        <f t="shared" si="18"/>
        <v>0</v>
      </c>
      <c r="M52" s="61">
        <f t="shared" si="18"/>
        <v>0</v>
      </c>
    </row>
    <row r="53" spans="1:16" ht="15.5" thickTop="1" thickBot="1" x14ac:dyDescent="0.4">
      <c r="A53" s="53" t="s">
        <v>21</v>
      </c>
      <c r="B53" s="53"/>
      <c r="C53" s="104">
        <v>0</v>
      </c>
      <c r="D53" s="104"/>
      <c r="E53" s="41">
        <f t="shared" ref="E53:J53" si="19">SUM(E47:E51)-E29</f>
        <v>0</v>
      </c>
      <c r="F53" s="41">
        <f t="shared" si="19"/>
        <v>0</v>
      </c>
      <c r="G53" s="49">
        <f t="shared" ref="G53:I53" si="20">SUM(G47:G51)-G29</f>
        <v>0</v>
      </c>
      <c r="H53" s="140">
        <f t="shared" si="20"/>
        <v>0</v>
      </c>
      <c r="I53" s="49">
        <f t="shared" si="20"/>
        <v>0</v>
      </c>
      <c r="J53" s="61">
        <f t="shared" si="19"/>
        <v>0</v>
      </c>
      <c r="K53" s="158">
        <f t="shared" ref="K53:M53" si="21">SUM(K47:K51)-K29</f>
        <v>0</v>
      </c>
      <c r="L53" s="41">
        <f t="shared" si="21"/>
        <v>0</v>
      </c>
      <c r="M53" s="41">
        <f t="shared" si="21"/>
        <v>0</v>
      </c>
    </row>
    <row r="54" spans="1:16" ht="15.5" thickTop="1" thickBot="1" x14ac:dyDescent="0.4">
      <c r="C54" s="97"/>
      <c r="D54" s="97"/>
      <c r="E54" s="16"/>
      <c r="F54" s="16"/>
      <c r="G54" s="16"/>
      <c r="H54" s="9"/>
      <c r="I54" s="16"/>
      <c r="J54" s="10"/>
      <c r="K54" s="16"/>
      <c r="L54" s="16"/>
      <c r="M54" s="10"/>
    </row>
    <row r="55" spans="1:16" ht="15" thickBot="1" x14ac:dyDescent="0.4">
      <c r="A55" s="45" t="s">
        <v>30</v>
      </c>
      <c r="B55" s="113">
        <f>SUM(B39:B43)</f>
        <v>646389.69153000007</v>
      </c>
      <c r="C55" s="98">
        <f t="shared" ref="C55:M55" si="22">(C13-SUM(C16:C20))+SUM(C47:C51)+B55</f>
        <v>863685.87000000011</v>
      </c>
      <c r="D55" s="98"/>
      <c r="E55" s="40">
        <f>(E13-SUM(E16:E20))+SUM(D47:E51)+C55+SUM(D32:D36)</f>
        <v>977796.05</v>
      </c>
      <c r="F55" s="40">
        <f t="shared" si="22"/>
        <v>1034715.79</v>
      </c>
      <c r="G55" s="105">
        <f t="shared" si="22"/>
        <v>1051068.06</v>
      </c>
      <c r="H55" s="39">
        <f t="shared" si="22"/>
        <v>921588.19000000006</v>
      </c>
      <c r="I55" s="40">
        <f t="shared" si="22"/>
        <v>987067.09000000008</v>
      </c>
      <c r="J55" s="60">
        <f t="shared" si="22"/>
        <v>1044545.8300000001</v>
      </c>
      <c r="K55" s="156">
        <f t="shared" si="22"/>
        <v>1093955.0281663956</v>
      </c>
      <c r="L55" s="105">
        <f t="shared" si="22"/>
        <v>1118477.5533070092</v>
      </c>
      <c r="M55" s="60">
        <f t="shared" si="22"/>
        <v>920366.81933148438</v>
      </c>
    </row>
    <row r="56" spans="1:16" x14ac:dyDescent="0.35">
      <c r="A56" s="45" t="s">
        <v>10</v>
      </c>
      <c r="C56" s="114"/>
      <c r="D56" s="16"/>
      <c r="E56" s="16"/>
      <c r="F56" s="16"/>
      <c r="G56" s="16"/>
      <c r="H56" s="9"/>
      <c r="I56" s="16"/>
      <c r="J56" s="28"/>
      <c r="K56" s="16"/>
      <c r="L56" s="16"/>
      <c r="M56" s="10"/>
    </row>
    <row r="57" spans="1:16" ht="15" thickBot="1" x14ac:dyDescent="0.4">
      <c r="A57" s="36"/>
      <c r="B57" s="36"/>
      <c r="C57" s="141"/>
      <c r="D57" s="255"/>
      <c r="E57" s="43"/>
      <c r="F57" s="43"/>
      <c r="G57" s="43"/>
      <c r="H57" s="42"/>
      <c r="I57" s="43"/>
      <c r="J57" s="44"/>
      <c r="K57" s="43"/>
      <c r="L57" s="43"/>
      <c r="M57" s="44"/>
    </row>
    <row r="58" spans="1:16" x14ac:dyDescent="0.35">
      <c r="E58"/>
      <c r="F58"/>
      <c r="G58"/>
      <c r="H58"/>
      <c r="I58"/>
      <c r="J58"/>
      <c r="K58"/>
      <c r="L58"/>
      <c r="M58"/>
    </row>
    <row r="59" spans="1:16" x14ac:dyDescent="0.35">
      <c r="A59" s="68" t="s">
        <v>9</v>
      </c>
      <c r="B59" s="68"/>
      <c r="C59" s="68"/>
      <c r="D59" s="68"/>
      <c r="E59"/>
      <c r="F59"/>
      <c r="G59"/>
      <c r="H59"/>
      <c r="I59"/>
      <c r="J59"/>
      <c r="K59"/>
      <c r="L59"/>
      <c r="M59"/>
    </row>
    <row r="60" spans="1:16" ht="31.5" customHeight="1" x14ac:dyDescent="0.35">
      <c r="A60" s="355" t="s">
        <v>145</v>
      </c>
      <c r="B60" s="355"/>
      <c r="C60" s="355"/>
      <c r="D60" s="355"/>
      <c r="E60" s="355"/>
      <c r="F60" s="355"/>
      <c r="G60" s="355"/>
      <c r="H60" s="355"/>
      <c r="I60" s="355"/>
      <c r="J60" s="355"/>
      <c r="K60" s="265"/>
      <c r="L60" s="265"/>
      <c r="M60" s="265"/>
    </row>
    <row r="61" spans="1:16" ht="57.75" customHeight="1" x14ac:dyDescent="0.35">
      <c r="A61" s="355" t="s">
        <v>263</v>
      </c>
      <c r="B61" s="355"/>
      <c r="C61" s="355"/>
      <c r="D61" s="355"/>
      <c r="E61" s="355"/>
      <c r="F61" s="355"/>
      <c r="G61" s="355"/>
      <c r="H61" s="355"/>
      <c r="I61" s="355"/>
      <c r="J61" s="355"/>
      <c r="K61" s="355"/>
      <c r="L61" s="265"/>
    </row>
    <row r="62" spans="1:16" x14ac:dyDescent="0.35">
      <c r="A62" s="355" t="s">
        <v>171</v>
      </c>
      <c r="B62" s="355"/>
      <c r="C62" s="355"/>
      <c r="D62" s="355"/>
      <c r="E62" s="355"/>
      <c r="F62" s="355"/>
      <c r="G62" s="355"/>
      <c r="H62" s="355"/>
      <c r="I62" s="355"/>
      <c r="J62" s="355"/>
      <c r="K62" s="343"/>
      <c r="L62" s="265"/>
      <c r="M62" s="265"/>
    </row>
    <row r="63" spans="1:16" x14ac:dyDescent="0.35">
      <c r="A63" s="355" t="s">
        <v>224</v>
      </c>
      <c r="B63" s="355"/>
      <c r="C63" s="355"/>
      <c r="D63" s="355"/>
      <c r="E63" s="355"/>
      <c r="F63" s="355"/>
      <c r="G63" s="355"/>
      <c r="H63" s="355"/>
      <c r="I63" s="355"/>
      <c r="J63" s="355"/>
      <c r="K63" s="355"/>
    </row>
    <row r="64" spans="1:16" x14ac:dyDescent="0.35">
      <c r="A64" s="62" t="s">
        <v>250</v>
      </c>
      <c r="B64" s="62"/>
      <c r="C64" s="62"/>
      <c r="D64" s="62"/>
      <c r="E64" s="38"/>
      <c r="F64" s="38"/>
      <c r="G64" s="38"/>
      <c r="H64" s="38"/>
      <c r="I64" s="38"/>
      <c r="J64" s="38"/>
      <c r="K64" s="38"/>
    </row>
    <row r="65" spans="1:7" s="38" customFormat="1" x14ac:dyDescent="0.35">
      <c r="A65" s="62" t="s">
        <v>84</v>
      </c>
      <c r="B65" s="62"/>
      <c r="C65" s="62"/>
      <c r="D65" s="62"/>
    </row>
    <row r="66" spans="1:7" x14ac:dyDescent="0.35">
      <c r="A66" s="317"/>
      <c r="B66" s="3"/>
      <c r="C66" s="3"/>
      <c r="D66" s="3"/>
    </row>
    <row r="68" spans="1:7" ht="36" customHeight="1" x14ac:dyDescent="0.35">
      <c r="A68" s="356"/>
      <c r="B68" s="356"/>
      <c r="C68" s="356"/>
      <c r="D68" s="356"/>
      <c r="E68" s="356"/>
      <c r="F68" s="356"/>
      <c r="G68" s="356"/>
    </row>
  </sheetData>
  <mergeCells count="8">
    <mergeCell ref="A68:G68"/>
    <mergeCell ref="E11:G11"/>
    <mergeCell ref="H11:J11"/>
    <mergeCell ref="K11:M11"/>
    <mergeCell ref="A60:J60"/>
    <mergeCell ref="A62:J62"/>
    <mergeCell ref="A61:K61"/>
    <mergeCell ref="A63:K63"/>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codeName="Sheet23">
    <pageSetUpPr fitToPage="1"/>
  </sheetPr>
  <dimension ref="A1:E35"/>
  <sheetViews>
    <sheetView workbookViewId="0"/>
  </sheetViews>
  <sheetFormatPr defaultColWidth="9.1796875" defaultRowHeight="14.5" x14ac:dyDescent="0.35"/>
  <cols>
    <col min="1" max="1" width="43.1796875" style="45" customWidth="1"/>
    <col min="2" max="2" width="14.26953125" style="45" bestFit="1" customWidth="1"/>
    <col min="3" max="3" width="14.26953125" style="45" customWidth="1"/>
    <col min="4" max="4" width="13.54296875" style="45" bestFit="1" customWidth="1"/>
    <col min="5" max="5" width="13.453125" style="45" bestFit="1" customWidth="1"/>
    <col min="6" max="6" width="13.54296875" style="45" bestFit="1" customWidth="1"/>
    <col min="7" max="16384" width="9.1796875" style="45"/>
  </cols>
  <sheetData>
    <row r="1" spans="1:5" x14ac:dyDescent="0.35">
      <c r="A1" s="62" t="str">
        <f>'PTD Cycle 3'!A1</f>
        <v>Evergy Metro, Inc. - DSIM Rider Update Filed 06/02/2025</v>
      </c>
    </row>
    <row r="2" spans="1:5" x14ac:dyDescent="0.35">
      <c r="A2" s="8" t="str">
        <f>+'PTD Cycle 3'!A2</f>
        <v>Projections for Cycle 3 July 2025 - June 2026 DSIM</v>
      </c>
    </row>
    <row r="3" spans="1:5" ht="45.75" customHeight="1" x14ac:dyDescent="0.35">
      <c r="B3" s="349" t="s">
        <v>158</v>
      </c>
      <c r="C3" s="349"/>
      <c r="D3" s="349"/>
    </row>
    <row r="4" spans="1:5" x14ac:dyDescent="0.35">
      <c r="B4" s="47" t="s">
        <v>15</v>
      </c>
    </row>
    <row r="5" spans="1:5" x14ac:dyDescent="0.35">
      <c r="A5" s="19" t="s">
        <v>160</v>
      </c>
      <c r="B5" s="268">
        <f>+B11</f>
        <v>0</v>
      </c>
    </row>
    <row r="6" spans="1:5" x14ac:dyDescent="0.35">
      <c r="A6" s="19" t="s">
        <v>161</v>
      </c>
      <c r="B6" s="268">
        <f>+C11</f>
        <v>0</v>
      </c>
    </row>
    <row r="7" spans="1:5" x14ac:dyDescent="0.35">
      <c r="A7" s="19" t="s">
        <v>162</v>
      </c>
      <c r="B7" s="268">
        <f>+D11</f>
        <v>0</v>
      </c>
    </row>
    <row r="8" spans="1:5" ht="58" x14ac:dyDescent="0.35">
      <c r="A8" s="19"/>
      <c r="B8" s="257" t="s">
        <v>160</v>
      </c>
      <c r="C8" s="257" t="s">
        <v>161</v>
      </c>
      <c r="D8" s="258" t="s">
        <v>75</v>
      </c>
      <c r="E8" s="3" t="s">
        <v>3</v>
      </c>
    </row>
    <row r="9" spans="1:5" x14ac:dyDescent="0.35">
      <c r="A9" s="19" t="s">
        <v>22</v>
      </c>
      <c r="B9" s="205">
        <v>0</v>
      </c>
      <c r="C9" s="205">
        <v>0</v>
      </c>
      <c r="D9" s="205">
        <v>0</v>
      </c>
      <c r="E9" s="205">
        <f>SUM(B9:D9)</f>
        <v>0</v>
      </c>
    </row>
    <row r="10" spans="1:5" x14ac:dyDescent="0.35">
      <c r="A10" s="19" t="s">
        <v>23</v>
      </c>
      <c r="B10" s="205">
        <v>0</v>
      </c>
      <c r="C10" s="205">
        <v>0</v>
      </c>
      <c r="D10" s="205">
        <v>0</v>
      </c>
      <c r="E10" s="205">
        <f>SUM(B10:D10)</f>
        <v>0</v>
      </c>
    </row>
    <row r="11" spans="1:5" ht="15" thickBot="1" x14ac:dyDescent="0.4">
      <c r="A11" s="19" t="s">
        <v>3</v>
      </c>
      <c r="B11" s="206">
        <f>SUM(B9:B10)</f>
        <v>0</v>
      </c>
      <c r="C11" s="206">
        <f>SUM(C9:C10)</f>
        <v>0</v>
      </c>
      <c r="D11" s="206">
        <f>SUM(D9:D10)</f>
        <v>0</v>
      </c>
      <c r="E11" s="206">
        <f>SUM(E9:E10)</f>
        <v>0</v>
      </c>
    </row>
    <row r="12" spans="1:5" ht="15.5" thickTop="1" thickBot="1" x14ac:dyDescent="0.4">
      <c r="B12" s="207">
        <f>+B11-B5</f>
        <v>0</v>
      </c>
      <c r="C12" s="207">
        <f>+C11-B6</f>
        <v>0</v>
      </c>
      <c r="D12" s="207">
        <f>+D11-B7</f>
        <v>0</v>
      </c>
      <c r="E12" s="207">
        <f>ROUND(B5+B6+B7,2)-E11</f>
        <v>0</v>
      </c>
    </row>
    <row r="13" spans="1:5" ht="15" thickTop="1" x14ac:dyDescent="0.35">
      <c r="B13" s="217"/>
      <c r="C13" s="217"/>
      <c r="D13" s="272" t="s">
        <v>165</v>
      </c>
    </row>
    <row r="14" spans="1:5" x14ac:dyDescent="0.35">
      <c r="A14" s="19" t="s">
        <v>94</v>
      </c>
      <c r="B14" s="205">
        <f>ROUND($E$10*D14,2)</f>
        <v>0</v>
      </c>
      <c r="C14" s="205"/>
      <c r="D14" s="214"/>
    </row>
    <row r="15" spans="1:5" x14ac:dyDescent="0.35">
      <c r="A15" s="19" t="s">
        <v>95</v>
      </c>
      <c r="B15" s="205">
        <f t="shared" ref="B15:B17" si="0">ROUND($E$10*D15,2)</f>
        <v>0</v>
      </c>
      <c r="C15" s="205"/>
      <c r="D15" s="214"/>
    </row>
    <row r="16" spans="1:5" x14ac:dyDescent="0.35">
      <c r="A16" s="19" t="s">
        <v>96</v>
      </c>
      <c r="B16" s="205">
        <f t="shared" si="0"/>
        <v>0</v>
      </c>
      <c r="C16" s="259"/>
      <c r="D16" s="214"/>
    </row>
    <row r="17" spans="1:4" ht="15" thickBot="1" x14ac:dyDescent="0.4">
      <c r="A17" s="19" t="s">
        <v>97</v>
      </c>
      <c r="B17" s="205">
        <f t="shared" si="0"/>
        <v>0</v>
      </c>
      <c r="C17" s="205"/>
      <c r="D17" s="214"/>
    </row>
    <row r="18" spans="1:4" ht="15.5" thickTop="1" thickBot="1" x14ac:dyDescent="0.4">
      <c r="A18" s="19" t="s">
        <v>98</v>
      </c>
      <c r="B18" s="31">
        <f>SUM(B14:B17)</f>
        <v>0</v>
      </c>
      <c r="C18" s="31"/>
      <c r="D18" s="215">
        <f>SUM(D14:D17)</f>
        <v>0</v>
      </c>
    </row>
    <row r="19" spans="1:4" ht="15" thickTop="1" x14ac:dyDescent="0.35"/>
    <row r="20" spans="1:4" x14ac:dyDescent="0.35">
      <c r="A20" s="52" t="s">
        <v>9</v>
      </c>
    </row>
    <row r="21" spans="1:4" s="38" customFormat="1" x14ac:dyDescent="0.35">
      <c r="A21" s="3" t="s">
        <v>199</v>
      </c>
      <c r="B21" s="45"/>
      <c r="C21" s="45"/>
      <c r="D21" s="45"/>
    </row>
    <row r="22" spans="1:4" s="38" customFormat="1" x14ac:dyDescent="0.35">
      <c r="A22" s="3" t="s">
        <v>200</v>
      </c>
      <c r="B22" s="45"/>
      <c r="C22" s="45"/>
      <c r="D22" s="45"/>
    </row>
    <row r="23" spans="1:4" s="38" customFormat="1" x14ac:dyDescent="0.35">
      <c r="A23" s="3" t="s">
        <v>201</v>
      </c>
      <c r="B23" s="45"/>
      <c r="C23" s="45"/>
      <c r="D23" s="45"/>
    </row>
    <row r="25" spans="1:4" x14ac:dyDescent="0.35">
      <c r="A25" s="3"/>
      <c r="D25" s="181"/>
    </row>
    <row r="26" spans="1:4" x14ac:dyDescent="0.35">
      <c r="D26" s="181"/>
    </row>
    <row r="27" spans="1:4" x14ac:dyDescent="0.35">
      <c r="B27" s="69"/>
      <c r="D27" s="181"/>
    </row>
    <row r="28" spans="1:4" x14ac:dyDescent="0.35">
      <c r="A28" s="202"/>
      <c r="B28" s="203"/>
      <c r="D28" s="181"/>
    </row>
    <row r="29" spans="1:4" x14ac:dyDescent="0.35">
      <c r="A29" s="202"/>
      <c r="B29" s="203"/>
      <c r="D29" s="181"/>
    </row>
    <row r="30" spans="1:4" x14ac:dyDescent="0.35">
      <c r="A30" s="202"/>
      <c r="B30" s="203"/>
      <c r="D30" s="181"/>
    </row>
    <row r="31" spans="1:4" x14ac:dyDescent="0.35">
      <c r="A31" s="202"/>
      <c r="B31" s="203"/>
      <c r="D31" s="181"/>
    </row>
    <row r="32" spans="1:4" x14ac:dyDescent="0.35">
      <c r="A32" s="202"/>
      <c r="B32" s="182"/>
      <c r="D32" s="181"/>
    </row>
    <row r="33" spans="1:4" x14ac:dyDescent="0.35">
      <c r="A33" s="202"/>
      <c r="B33" s="182"/>
      <c r="D33" s="181"/>
    </row>
    <row r="34" spans="1:4" ht="16" x14ac:dyDescent="0.5">
      <c r="A34" s="202"/>
      <c r="B34" s="182"/>
      <c r="D34" s="204"/>
    </row>
    <row r="35" spans="1:4" x14ac:dyDescent="0.35">
      <c r="A35" s="202"/>
      <c r="D35" s="181"/>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codeName="Sheet25">
    <pageSetUpPr fitToPage="1"/>
  </sheetPr>
  <dimension ref="A1:AH66"/>
  <sheetViews>
    <sheetView zoomScale="85" zoomScaleNormal="85" workbookViewId="0">
      <selection activeCell="N71" sqref="N71"/>
    </sheetView>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5.453125" style="45" customWidth="1"/>
    <col min="5" max="5" width="15.81640625" style="45" bestFit="1" customWidth="1"/>
    <col min="6" max="6" width="12.26953125" style="45" bestFit="1" customWidth="1"/>
    <col min="7" max="8" width="13.26953125" style="45" bestFit="1" customWidth="1"/>
    <col min="9" max="9" width="12.26953125" style="45" bestFit="1" customWidth="1"/>
    <col min="10" max="10" width="12.453125" style="45" customWidth="1"/>
    <col min="11" max="11" width="12.81640625" style="45" customWidth="1"/>
    <col min="12" max="12" width="16" style="45" customWidth="1"/>
    <col min="13" max="13" width="15" style="45" bestFit="1" customWidth="1"/>
    <col min="14" max="14" width="16" style="45" bestFit="1" customWidth="1"/>
    <col min="15" max="15" width="15.26953125" style="45" hidden="1" customWidth="1" outlineLevel="1"/>
    <col min="16" max="16" width="17.453125" style="45" bestFit="1" customWidth="1" collapsed="1"/>
    <col min="17" max="17" width="16.26953125" style="45" bestFit="1" customWidth="1"/>
    <col min="18" max="18" width="15.26953125" style="45" bestFit="1" customWidth="1"/>
    <col min="19" max="19" width="12.453125" style="45" customWidth="1"/>
    <col min="20" max="21" width="14.26953125" style="45" bestFit="1" customWidth="1"/>
    <col min="22" max="16384" width="9.1796875" style="45"/>
  </cols>
  <sheetData>
    <row r="1" spans="1:34" x14ac:dyDescent="0.35">
      <c r="A1" s="62" t="str">
        <f>'PTD Cycle 3'!A1</f>
        <v>Evergy Metro, Inc. - DSIM Rider Update Filed 06/02/2025</v>
      </c>
      <c r="B1" s="3"/>
      <c r="C1" s="3"/>
    </row>
    <row r="2" spans="1:34" x14ac:dyDescent="0.35">
      <c r="D2" s="3" t="s">
        <v>159</v>
      </c>
    </row>
    <row r="3" spans="1:34" ht="29" x14ac:dyDescent="0.35">
      <c r="D3" s="47" t="s">
        <v>40</v>
      </c>
      <c r="E3" s="69" t="s">
        <v>15</v>
      </c>
      <c r="F3" s="47" t="s">
        <v>1</v>
      </c>
      <c r="G3" s="69" t="s">
        <v>49</v>
      </c>
      <c r="H3" s="47" t="s">
        <v>8</v>
      </c>
      <c r="I3" s="47" t="s">
        <v>16</v>
      </c>
      <c r="R3" s="47"/>
    </row>
    <row r="4" spans="1:34" x14ac:dyDescent="0.35">
      <c r="A4" s="19" t="s">
        <v>22</v>
      </c>
      <c r="B4" s="19"/>
      <c r="C4" s="19"/>
      <c r="D4" s="21">
        <f>SUM(C16:L16)</f>
        <v>-15606.9057532921</v>
      </c>
      <c r="E4" s="21">
        <f>SUM(C23:K23)</f>
        <v>0</v>
      </c>
      <c r="F4" s="21">
        <f>E4-D4</f>
        <v>15606.9057532921</v>
      </c>
      <c r="G4" s="21">
        <f>+B39</f>
        <v>-38336.117290000024</v>
      </c>
      <c r="H4" s="21">
        <f>SUM(C47:K47)</f>
        <v>-907.72</v>
      </c>
      <c r="I4" s="24">
        <f>SUM(F4:H4)</f>
        <v>-23636.931536707925</v>
      </c>
      <c r="J4" s="46">
        <f>+I4-L39</f>
        <v>0</v>
      </c>
      <c r="M4" s="46"/>
    </row>
    <row r="5" spans="1:34" x14ac:dyDescent="0.35">
      <c r="A5" s="19" t="s">
        <v>94</v>
      </c>
      <c r="B5" s="19"/>
      <c r="C5" s="19"/>
      <c r="D5" s="21">
        <f t="shared" ref="D5:D7" si="0">SUM(C17:L17)</f>
        <v>0</v>
      </c>
      <c r="E5" s="21">
        <f t="shared" ref="E5:E7" si="1">SUM(C24:K24)</f>
        <v>0</v>
      </c>
      <c r="F5" s="21">
        <f t="shared" ref="F5:F7" si="2">E5-D5</f>
        <v>0</v>
      </c>
      <c r="G5" s="21">
        <f t="shared" ref="G5:G7" si="3">+B40</f>
        <v>-336.70000000000061</v>
      </c>
      <c r="H5" s="21">
        <f t="shared" ref="H5:H7" si="4">SUM(C48:K48)</f>
        <v>-7.69</v>
      </c>
      <c r="I5" s="24">
        <f t="shared" ref="I5:I7" si="5">SUM(F5:H5)</f>
        <v>-344.39000000000061</v>
      </c>
      <c r="J5" s="46">
        <f t="shared" ref="J5:J7" si="6">+I5-L40</f>
        <v>0</v>
      </c>
      <c r="M5" s="46"/>
    </row>
    <row r="6" spans="1:34" x14ac:dyDescent="0.35">
      <c r="A6" s="19" t="s">
        <v>95</v>
      </c>
      <c r="B6" s="19"/>
      <c r="C6" s="19"/>
      <c r="D6" s="21">
        <f t="shared" si="0"/>
        <v>0</v>
      </c>
      <c r="E6" s="21">
        <f t="shared" si="1"/>
        <v>0</v>
      </c>
      <c r="F6" s="21">
        <f t="shared" si="2"/>
        <v>0</v>
      </c>
      <c r="G6" s="21">
        <f t="shared" si="3"/>
        <v>-258.02000000000055</v>
      </c>
      <c r="H6" s="21">
        <f t="shared" si="4"/>
        <v>-5.89</v>
      </c>
      <c r="I6" s="24">
        <f t="shared" si="5"/>
        <v>-263.91000000000054</v>
      </c>
      <c r="J6" s="46">
        <f t="shared" si="6"/>
        <v>0</v>
      </c>
      <c r="M6" s="46"/>
    </row>
    <row r="7" spans="1:34" x14ac:dyDescent="0.35">
      <c r="A7" s="19" t="s">
        <v>96</v>
      </c>
      <c r="B7" s="19"/>
      <c r="C7" s="19"/>
      <c r="D7" s="21">
        <f t="shared" si="0"/>
        <v>0</v>
      </c>
      <c r="E7" s="21">
        <f t="shared" si="1"/>
        <v>0</v>
      </c>
      <c r="F7" s="21">
        <f t="shared" si="2"/>
        <v>0</v>
      </c>
      <c r="G7" s="21">
        <f t="shared" si="3"/>
        <v>988.17000000000019</v>
      </c>
      <c r="H7" s="21">
        <f t="shared" si="4"/>
        <v>22.589999999999996</v>
      </c>
      <c r="I7" s="24">
        <f t="shared" si="5"/>
        <v>1010.7600000000002</v>
      </c>
      <c r="J7" s="46">
        <f t="shared" si="6"/>
        <v>0</v>
      </c>
      <c r="M7" s="46"/>
    </row>
    <row r="8" spans="1:34" ht="15" thickBot="1" x14ac:dyDescent="0.4">
      <c r="A8" s="19" t="s">
        <v>97</v>
      </c>
      <c r="B8" s="19"/>
      <c r="C8" s="19"/>
      <c r="D8" s="21">
        <f>SUM(C20:L20)</f>
        <v>0</v>
      </c>
      <c r="E8" s="21">
        <f>SUM(C27:K27)</f>
        <v>0</v>
      </c>
      <c r="F8" s="21">
        <f>E8-D8</f>
        <v>0</v>
      </c>
      <c r="G8" s="21">
        <f>+B43</f>
        <v>-393.46000000000026</v>
      </c>
      <c r="H8" s="21">
        <f>SUM(C51:K51)</f>
        <v>-8.98</v>
      </c>
      <c r="I8" s="24">
        <f>SUM(F8:H8)</f>
        <v>-402.44000000000028</v>
      </c>
      <c r="J8" s="46">
        <f>+I8-L43</f>
        <v>0</v>
      </c>
      <c r="M8" s="46"/>
    </row>
    <row r="9" spans="1:34" ht="15.5" thickTop="1" thickBot="1" x14ac:dyDescent="0.4">
      <c r="D9" s="26">
        <f t="shared" ref="D9" si="7">SUM(D4:D8)</f>
        <v>-15606.9057532921</v>
      </c>
      <c r="E9" s="26">
        <f>SUM(E4:E8)</f>
        <v>0</v>
      </c>
      <c r="F9" s="26">
        <f>SUM(F4:F8)</f>
        <v>15606.9057532921</v>
      </c>
      <c r="G9" s="26">
        <f>SUM(G4:G8)</f>
        <v>-38336.127290000026</v>
      </c>
      <c r="H9" s="26">
        <f>SUM(H4:H8)</f>
        <v>-907.69</v>
      </c>
      <c r="I9" s="26">
        <f>SUM(I4:I8)</f>
        <v>-23636.911536707925</v>
      </c>
      <c r="S9" s="5"/>
    </row>
    <row r="10" spans="1:34" ht="15.5" thickTop="1" thickBot="1" x14ac:dyDescent="0.4">
      <c r="D10" s="299"/>
      <c r="E10" s="299"/>
      <c r="F10" s="299"/>
      <c r="G10" s="299"/>
      <c r="H10" s="299"/>
      <c r="I10" s="299"/>
      <c r="J10" s="299"/>
      <c r="K10" s="299"/>
      <c r="L10" s="299"/>
      <c r="U10" s="4"/>
      <c r="V10" s="5"/>
    </row>
    <row r="11" spans="1:34" ht="116.5" thickBot="1" x14ac:dyDescent="0.4">
      <c r="B11" s="112" t="str">
        <f>'PCR Cycle 4'!B$11</f>
        <v>Cumulative Over/Under Carryover From 12/01/2024 Filing</v>
      </c>
      <c r="C11" s="146" t="str">
        <f>'PCR Cycle 4'!C$11</f>
        <v>Reverse November 2024 - January 2025 Forecast From 12/01/2024 Filing</v>
      </c>
      <c r="D11" s="357" t="s">
        <v>28</v>
      </c>
      <c r="E11" s="357"/>
      <c r="F11" s="358"/>
      <c r="G11" s="363" t="s">
        <v>28</v>
      </c>
      <c r="H11" s="364"/>
      <c r="I11" s="365"/>
      <c r="J11" s="352" t="s">
        <v>6</v>
      </c>
      <c r="K11" s="353"/>
      <c r="L11" s="354"/>
      <c r="O11" s="274" t="s">
        <v>210</v>
      </c>
    </row>
    <row r="12" spans="1:34" x14ac:dyDescent="0.35">
      <c r="A12" s="45" t="s">
        <v>80</v>
      </c>
      <c r="C12" s="102"/>
      <c r="D12" s="18">
        <f>+'PCR Cycle 4'!E$12</f>
        <v>45626</v>
      </c>
      <c r="E12" s="18">
        <f>+'PCR Cycle 4'!F$12</f>
        <v>45657</v>
      </c>
      <c r="F12" s="18">
        <f>+'PCR Cycle 4'!G$12</f>
        <v>45688</v>
      </c>
      <c r="G12" s="13">
        <f>+'PCR Cycle 4'!H$12</f>
        <v>45716</v>
      </c>
      <c r="H12" s="18">
        <f>+'PCR Cycle 4'!I$12</f>
        <v>45747</v>
      </c>
      <c r="I12" s="14">
        <f>+'PCR Cycle 4'!J$12</f>
        <v>45777</v>
      </c>
      <c r="J12" s="18">
        <f>+'PCR Cycle 4'!K$12</f>
        <v>45808</v>
      </c>
      <c r="K12" s="18">
        <f>+'PCR Cycle 4'!L$12</f>
        <v>45838</v>
      </c>
      <c r="L12" s="93">
        <f>+'PCR Cycle 4'!M$12</f>
        <v>45869</v>
      </c>
      <c r="Y12" s="1"/>
      <c r="Z12" s="1"/>
      <c r="AA12" s="1"/>
      <c r="AB12" s="1"/>
      <c r="AC12" s="1"/>
      <c r="AD12" s="1"/>
      <c r="AE12" s="1"/>
      <c r="AF12" s="1"/>
      <c r="AG12" s="1"/>
      <c r="AH12" s="1"/>
    </row>
    <row r="13" spans="1:34" x14ac:dyDescent="0.35">
      <c r="A13" s="45" t="s">
        <v>3</v>
      </c>
      <c r="C13" s="95">
        <v>0</v>
      </c>
      <c r="D13" s="106">
        <f>SUM(D23:D27)</f>
        <v>0</v>
      </c>
      <c r="E13" s="106">
        <f t="shared" ref="E13:H13" si="8">SUM(E23:E27)</f>
        <v>0</v>
      </c>
      <c r="F13" s="107">
        <f t="shared" si="8"/>
        <v>0</v>
      </c>
      <c r="G13" s="15">
        <f t="shared" si="8"/>
        <v>0</v>
      </c>
      <c r="H13" s="54">
        <f t="shared" si="8"/>
        <v>0</v>
      </c>
      <c r="I13" s="159">
        <f>+I23+I27</f>
        <v>0</v>
      </c>
      <c r="J13" s="152">
        <f t="shared" ref="J13:K13" si="9">+J23+J27</f>
        <v>0</v>
      </c>
      <c r="K13" s="76">
        <f t="shared" si="9"/>
        <v>0</v>
      </c>
      <c r="L13" s="77"/>
      <c r="O13" s="46">
        <f>-SUM(J13:L13)</f>
        <v>0</v>
      </c>
    </row>
    <row r="14" spans="1:34" x14ac:dyDescent="0.35">
      <c r="C14" s="97"/>
      <c r="D14" s="16"/>
      <c r="E14" s="16"/>
      <c r="F14" s="16"/>
      <c r="G14" s="9"/>
      <c r="H14" s="16"/>
      <c r="I14" s="10"/>
      <c r="J14" s="30"/>
      <c r="K14" s="30"/>
      <c r="L14" s="28"/>
    </row>
    <row r="15" spans="1:34" x14ac:dyDescent="0.35">
      <c r="A15" s="45" t="s">
        <v>79</v>
      </c>
      <c r="C15" s="97"/>
      <c r="D15" s="17"/>
      <c r="E15" s="17"/>
      <c r="F15" s="17"/>
      <c r="G15" s="89"/>
      <c r="H15" s="17"/>
      <c r="I15" s="160"/>
      <c r="J15" s="30"/>
      <c r="K15" s="30"/>
      <c r="L15" s="28"/>
      <c r="M15" s="62" t="s">
        <v>44</v>
      </c>
      <c r="N15" s="38"/>
    </row>
    <row r="16" spans="1:34" x14ac:dyDescent="0.35">
      <c r="A16" s="45" t="s">
        <v>22</v>
      </c>
      <c r="C16" s="95">
        <v>20244.652710000002</v>
      </c>
      <c r="D16" s="129">
        <f>'[10]November 2024'!$G120</f>
        <v>-4489.55</v>
      </c>
      <c r="E16" s="129">
        <f>'[10]December 2024'!$G120</f>
        <v>-6403.43</v>
      </c>
      <c r="F16" s="179">
        <f>'[10]January 2025'!$G120</f>
        <v>-7829.3600000000006</v>
      </c>
      <c r="G16" s="15">
        <f>'[10]February 2025'!$G120</f>
        <v>-6607.98</v>
      </c>
      <c r="H16" s="115">
        <f>'[10]March 2025'!$G120</f>
        <v>-2355.8200000000002</v>
      </c>
      <c r="I16" s="161">
        <f>'[10]April 2025'!$G120</f>
        <v>-1515.16</v>
      </c>
      <c r="J16" s="117">
        <f>'PCR Cycle 4'!K22*$M16</f>
        <v>-1576.09478176679</v>
      </c>
      <c r="K16" s="40">
        <f>'PCR Cycle 4'!L22*$M16</f>
        <v>-2059.0665391496236</v>
      </c>
      <c r="L16" s="60">
        <f>'PCR Cycle 4'!M22*$M16</f>
        <v>-3015.0971423756882</v>
      </c>
      <c r="M16" s="71">
        <v>-1.0000000000000001E-5</v>
      </c>
      <c r="N16" s="4"/>
      <c r="O16" s="46">
        <f>-SUM(J16:L16)</f>
        <v>6650.2584632921016</v>
      </c>
    </row>
    <row r="17" spans="1:18" x14ac:dyDescent="0.35">
      <c r="A17" s="45" t="s">
        <v>120</v>
      </c>
      <c r="C17" s="95">
        <v>0</v>
      </c>
      <c r="D17" s="129">
        <f>'[10]November 2024'!$G121</f>
        <v>0</v>
      </c>
      <c r="E17" s="129">
        <f>'[10]December 2024'!$G121</f>
        <v>0</v>
      </c>
      <c r="F17" s="179">
        <f>'[10]January 2025'!$G121</f>
        <v>0</v>
      </c>
      <c r="G17" s="15">
        <f>'[10]February 2025'!$G121</f>
        <v>0</v>
      </c>
      <c r="H17" s="115">
        <f>'[10]March 2025'!$G121</f>
        <v>0</v>
      </c>
      <c r="I17" s="161">
        <f>'[10]April 2025'!$G121</f>
        <v>0</v>
      </c>
      <c r="J17" s="117">
        <f>'PCR Cycle 4'!K23*$M17</f>
        <v>0</v>
      </c>
      <c r="K17" s="40">
        <f>'PCR Cycle 4'!L23*$M17</f>
        <v>0</v>
      </c>
      <c r="L17" s="60">
        <f>'PCR Cycle 4'!M23*$M17</f>
        <v>0</v>
      </c>
      <c r="M17" s="71">
        <v>0</v>
      </c>
      <c r="N17" s="4"/>
      <c r="O17" s="46">
        <f t="shared" ref="O17:O20" si="10">-SUM(J17:L17)</f>
        <v>0</v>
      </c>
    </row>
    <row r="18" spans="1:18" x14ac:dyDescent="0.35">
      <c r="A18" s="45" t="s">
        <v>121</v>
      </c>
      <c r="C18" s="95">
        <v>0</v>
      </c>
      <c r="D18" s="129">
        <f>'[10]November 2024'!$G122</f>
        <v>0</v>
      </c>
      <c r="E18" s="129">
        <f>'[10]December 2024'!$G122</f>
        <v>0</v>
      </c>
      <c r="F18" s="179">
        <f>'[10]January 2025'!$G122</f>
        <v>0</v>
      </c>
      <c r="G18" s="15">
        <f>'[10]February 2025'!$G122</f>
        <v>0</v>
      </c>
      <c r="H18" s="115">
        <f>'[10]March 2025'!$G122</f>
        <v>0</v>
      </c>
      <c r="I18" s="161">
        <f>'[10]April 2025'!$G122</f>
        <v>0</v>
      </c>
      <c r="J18" s="117">
        <f>'PCR Cycle 4'!K24*$M18</f>
        <v>0</v>
      </c>
      <c r="K18" s="40">
        <f>'PCR Cycle 4'!L24*$M18</f>
        <v>0</v>
      </c>
      <c r="L18" s="60">
        <f>'PCR Cycle 4'!M24*$M18</f>
        <v>0</v>
      </c>
      <c r="M18" s="71">
        <v>0</v>
      </c>
      <c r="N18" s="4"/>
      <c r="O18" s="46">
        <f t="shared" si="10"/>
        <v>0</v>
      </c>
    </row>
    <row r="19" spans="1:18" x14ac:dyDescent="0.35">
      <c r="A19" s="45" t="s">
        <v>122</v>
      </c>
      <c r="C19" s="95">
        <v>0</v>
      </c>
      <c r="D19" s="129">
        <f>'[10]November 2024'!$G123</f>
        <v>0</v>
      </c>
      <c r="E19" s="129">
        <f>'[10]December 2024'!$G123</f>
        <v>0</v>
      </c>
      <c r="F19" s="179">
        <f>'[10]January 2025'!$G123</f>
        <v>0</v>
      </c>
      <c r="G19" s="15">
        <f>'[10]February 2025'!$G123</f>
        <v>0</v>
      </c>
      <c r="H19" s="115">
        <f>'[10]March 2025'!$G123</f>
        <v>0</v>
      </c>
      <c r="I19" s="161">
        <f>'[10]April 2025'!$G123</f>
        <v>0</v>
      </c>
      <c r="J19" s="117">
        <f>'PCR Cycle 4'!K25*$M19</f>
        <v>0</v>
      </c>
      <c r="K19" s="40">
        <f>'PCR Cycle 4'!L25*$M19</f>
        <v>0</v>
      </c>
      <c r="L19" s="60">
        <f>'PCR Cycle 4'!M25*$M19</f>
        <v>0</v>
      </c>
      <c r="M19" s="71">
        <v>0</v>
      </c>
      <c r="N19" s="4"/>
      <c r="O19" s="46">
        <f t="shared" si="10"/>
        <v>0</v>
      </c>
    </row>
    <row r="20" spans="1:18" x14ac:dyDescent="0.35">
      <c r="A20" s="45" t="s">
        <v>123</v>
      </c>
      <c r="C20" s="95">
        <v>0</v>
      </c>
      <c r="D20" s="129">
        <f>'[10]November 2024'!$G124</f>
        <v>0</v>
      </c>
      <c r="E20" s="129">
        <f>'[10]December 2024'!$G124</f>
        <v>0</v>
      </c>
      <c r="F20" s="179">
        <f>'[10]January 2025'!$G124</f>
        <v>0</v>
      </c>
      <c r="G20" s="15">
        <f>'[10]February 2025'!$G124</f>
        <v>0</v>
      </c>
      <c r="H20" s="115">
        <f>'[10]March 2025'!$G124</f>
        <v>0</v>
      </c>
      <c r="I20" s="161">
        <f>'[10]April 2025'!$G124</f>
        <v>0</v>
      </c>
      <c r="J20" s="117">
        <f>'PCR Cycle 4'!K26*$M20</f>
        <v>0</v>
      </c>
      <c r="K20" s="40">
        <f>'PCR Cycle 4'!L26*$M20</f>
        <v>0</v>
      </c>
      <c r="L20" s="60">
        <f>'PCR Cycle 4'!M26*$M20</f>
        <v>0</v>
      </c>
      <c r="M20" s="71">
        <v>0</v>
      </c>
      <c r="N20" s="4"/>
      <c r="O20" s="46">
        <f t="shared" si="10"/>
        <v>0</v>
      </c>
    </row>
    <row r="21" spans="1:18" x14ac:dyDescent="0.35">
      <c r="C21" s="66"/>
      <c r="D21" s="67"/>
      <c r="E21" s="67"/>
      <c r="F21" s="67"/>
      <c r="G21" s="96"/>
      <c r="H21" s="67"/>
      <c r="I21" s="162"/>
      <c r="J21" s="55"/>
      <c r="K21" s="55"/>
      <c r="L21" s="12"/>
      <c r="N21" s="4"/>
    </row>
    <row r="22" spans="1:18" x14ac:dyDescent="0.35">
      <c r="A22" s="45" t="s">
        <v>81</v>
      </c>
      <c r="C22" s="35"/>
      <c r="D22" s="36"/>
      <c r="E22" s="36"/>
      <c r="F22" s="36"/>
      <c r="G22" s="35"/>
      <c r="H22" s="36"/>
      <c r="I22" s="165"/>
      <c r="J22" s="51"/>
      <c r="K22" s="51"/>
      <c r="L22" s="37"/>
    </row>
    <row r="23" spans="1:18" x14ac:dyDescent="0.35">
      <c r="A23" s="45" t="s">
        <v>22</v>
      </c>
      <c r="C23" s="95">
        <v>0</v>
      </c>
      <c r="D23" s="106">
        <v>0</v>
      </c>
      <c r="E23" s="106">
        <v>0</v>
      </c>
      <c r="F23" s="107">
        <v>0</v>
      </c>
      <c r="G23" s="15">
        <v>0</v>
      </c>
      <c r="H23" s="54">
        <v>0</v>
      </c>
      <c r="I23" s="159">
        <v>0</v>
      </c>
      <c r="J23" s="154">
        <v>0</v>
      </c>
      <c r="K23" s="136">
        <v>0</v>
      </c>
      <c r="L23" s="77"/>
      <c r="O23" s="46">
        <f>-SUM(J23:L23)</f>
        <v>0</v>
      </c>
    </row>
    <row r="24" spans="1:18" x14ac:dyDescent="0.35">
      <c r="A24" s="45" t="s">
        <v>120</v>
      </c>
      <c r="C24" s="95">
        <v>0</v>
      </c>
      <c r="D24" s="106">
        <v>0</v>
      </c>
      <c r="E24" s="106">
        <v>0</v>
      </c>
      <c r="F24" s="107">
        <v>0</v>
      </c>
      <c r="G24" s="15">
        <v>0</v>
      </c>
      <c r="H24" s="54">
        <v>0</v>
      </c>
      <c r="I24" s="159">
        <v>0</v>
      </c>
      <c r="J24" s="154">
        <v>0</v>
      </c>
      <c r="K24" s="136">
        <v>0</v>
      </c>
      <c r="L24" s="77"/>
      <c r="O24" s="46">
        <f t="shared" ref="O24:O29" si="11">-SUM(J24:L24)</f>
        <v>0</v>
      </c>
    </row>
    <row r="25" spans="1:18" x14ac:dyDescent="0.35">
      <c r="A25" s="45" t="s">
        <v>121</v>
      </c>
      <c r="C25" s="95">
        <v>0</v>
      </c>
      <c r="D25" s="106">
        <v>0</v>
      </c>
      <c r="E25" s="106">
        <v>0</v>
      </c>
      <c r="F25" s="107">
        <v>0</v>
      </c>
      <c r="G25" s="15">
        <v>0</v>
      </c>
      <c r="H25" s="54">
        <v>0</v>
      </c>
      <c r="I25" s="159">
        <v>0</v>
      </c>
      <c r="J25" s="154">
        <v>0</v>
      </c>
      <c r="K25" s="136">
        <v>0</v>
      </c>
      <c r="L25" s="77"/>
      <c r="O25" s="46">
        <f t="shared" si="11"/>
        <v>0</v>
      </c>
    </row>
    <row r="26" spans="1:18" x14ac:dyDescent="0.35">
      <c r="A26" s="45" t="s">
        <v>122</v>
      </c>
      <c r="C26" s="95">
        <v>0</v>
      </c>
      <c r="D26" s="106">
        <v>0</v>
      </c>
      <c r="E26" s="106">
        <v>0</v>
      </c>
      <c r="F26" s="107">
        <v>0</v>
      </c>
      <c r="G26" s="15">
        <v>0</v>
      </c>
      <c r="H26" s="54">
        <v>0</v>
      </c>
      <c r="I26" s="159">
        <v>0</v>
      </c>
      <c r="J26" s="154">
        <v>0</v>
      </c>
      <c r="K26" s="136">
        <v>0</v>
      </c>
      <c r="L26" s="77"/>
      <c r="O26" s="46">
        <f t="shared" si="11"/>
        <v>0</v>
      </c>
    </row>
    <row r="27" spans="1:18" x14ac:dyDescent="0.35">
      <c r="A27" s="45" t="s">
        <v>123</v>
      </c>
      <c r="C27" s="95">
        <v>0</v>
      </c>
      <c r="D27" s="106">
        <v>0</v>
      </c>
      <c r="E27" s="106">
        <v>0</v>
      </c>
      <c r="F27" s="107">
        <v>0</v>
      </c>
      <c r="G27" s="15">
        <v>0</v>
      </c>
      <c r="H27" s="54">
        <v>0</v>
      </c>
      <c r="I27" s="159">
        <v>0</v>
      </c>
      <c r="J27" s="154">
        <v>0</v>
      </c>
      <c r="K27" s="136">
        <v>0</v>
      </c>
      <c r="L27" s="77"/>
      <c r="N27" s="46"/>
      <c r="O27" s="46">
        <f t="shared" si="11"/>
        <v>0</v>
      </c>
    </row>
    <row r="28" spans="1:18" x14ac:dyDescent="0.35">
      <c r="C28" s="97"/>
      <c r="D28" s="17"/>
      <c r="E28" s="17"/>
      <c r="F28" s="17"/>
      <c r="G28" s="89"/>
      <c r="H28" s="17"/>
      <c r="I28" s="160"/>
      <c r="J28" s="55"/>
      <c r="K28" s="55"/>
      <c r="L28" s="12"/>
    </row>
    <row r="29" spans="1:18" ht="15" thickBot="1" x14ac:dyDescent="0.4">
      <c r="A29" s="3" t="s">
        <v>12</v>
      </c>
      <c r="B29" s="3"/>
      <c r="C29" s="100">
        <v>526.02</v>
      </c>
      <c r="D29" s="129">
        <v>-271.04000000000002</v>
      </c>
      <c r="E29" s="129">
        <v>-237.43</v>
      </c>
      <c r="F29" s="130">
        <v>-201.75</v>
      </c>
      <c r="G29" s="25">
        <v>-169.65</v>
      </c>
      <c r="H29" s="116">
        <v>-149.86000000000001</v>
      </c>
      <c r="I29" s="166">
        <f>-141.58+0.01</f>
        <v>-141.57000000000002</v>
      </c>
      <c r="J29" s="155">
        <f>ROUND((SUM(I39:I43)+SUM(I47:I51)+SUM(J32:J36)/2)*J$45,2)</f>
        <v>-135.1</v>
      </c>
      <c r="K29" s="138">
        <f>ROUND((SUM(J39:J43)+SUM(J47:J51)+SUM(K32:K36)/2)*K$45,2)+0.01</f>
        <v>-127.30999999999999</v>
      </c>
      <c r="L29" s="80"/>
      <c r="O29" s="46">
        <f t="shared" si="11"/>
        <v>262.40999999999997</v>
      </c>
      <c r="R29" s="315"/>
    </row>
    <row r="30" spans="1:18" x14ac:dyDescent="0.35">
      <c r="C30" s="63"/>
      <c r="D30" s="142"/>
      <c r="E30" s="142"/>
      <c r="F30" s="143"/>
      <c r="G30" s="63"/>
      <c r="H30" s="32"/>
      <c r="I30" s="167"/>
      <c r="J30" s="33"/>
      <c r="K30" s="33"/>
      <c r="L30" s="59"/>
    </row>
    <row r="31" spans="1:18" x14ac:dyDescent="0.35">
      <c r="A31" s="45" t="s">
        <v>46</v>
      </c>
      <c r="C31" s="64"/>
      <c r="D31" s="143"/>
      <c r="E31" s="143"/>
      <c r="F31" s="143"/>
      <c r="G31" s="64"/>
      <c r="H31" s="34"/>
      <c r="I31" s="168"/>
      <c r="J31" s="33"/>
      <c r="K31" s="33"/>
      <c r="L31" s="59"/>
    </row>
    <row r="32" spans="1:18" x14ac:dyDescent="0.35">
      <c r="A32" s="45" t="s">
        <v>22</v>
      </c>
      <c r="C32" s="98">
        <f t="shared" ref="C32:L32" si="12">C23-C16</f>
        <v>-20244.652710000002</v>
      </c>
      <c r="D32" s="40">
        <f t="shared" si="12"/>
        <v>4489.55</v>
      </c>
      <c r="E32" s="40">
        <f t="shared" si="12"/>
        <v>6403.43</v>
      </c>
      <c r="F32" s="105">
        <f t="shared" si="12"/>
        <v>7829.3600000000006</v>
      </c>
      <c r="G32" s="39">
        <f t="shared" si="12"/>
        <v>6607.98</v>
      </c>
      <c r="H32" s="40">
        <f t="shared" si="12"/>
        <v>2355.8200000000002</v>
      </c>
      <c r="I32" s="60">
        <f t="shared" si="12"/>
        <v>1515.16</v>
      </c>
      <c r="J32" s="117">
        <f t="shared" si="12"/>
        <v>1576.09478176679</v>
      </c>
      <c r="K32" s="40">
        <f t="shared" si="12"/>
        <v>2059.0665391496236</v>
      </c>
      <c r="L32" s="60">
        <f t="shared" si="12"/>
        <v>3015.0971423756882</v>
      </c>
    </row>
    <row r="33" spans="1:15" x14ac:dyDescent="0.35">
      <c r="A33" s="45" t="s">
        <v>120</v>
      </c>
      <c r="C33" s="98">
        <f t="shared" ref="C33:L33" si="13">C24-C17</f>
        <v>0</v>
      </c>
      <c r="D33" s="40">
        <f t="shared" si="13"/>
        <v>0</v>
      </c>
      <c r="E33" s="40">
        <f t="shared" si="13"/>
        <v>0</v>
      </c>
      <c r="F33" s="105">
        <f t="shared" si="13"/>
        <v>0</v>
      </c>
      <c r="G33" s="39">
        <f t="shared" si="13"/>
        <v>0</v>
      </c>
      <c r="H33" s="40">
        <f t="shared" si="13"/>
        <v>0</v>
      </c>
      <c r="I33" s="60">
        <f t="shared" si="13"/>
        <v>0</v>
      </c>
      <c r="J33" s="117">
        <f t="shared" si="13"/>
        <v>0</v>
      </c>
      <c r="K33" s="40">
        <f t="shared" si="13"/>
        <v>0</v>
      </c>
      <c r="L33" s="60">
        <f t="shared" si="13"/>
        <v>0</v>
      </c>
    </row>
    <row r="34" spans="1:15" x14ac:dyDescent="0.35">
      <c r="A34" s="45" t="s">
        <v>121</v>
      </c>
      <c r="C34" s="98">
        <f t="shared" ref="C34:L34" si="14">C25-C18</f>
        <v>0</v>
      </c>
      <c r="D34" s="40">
        <f t="shared" si="14"/>
        <v>0</v>
      </c>
      <c r="E34" s="40">
        <f t="shared" si="14"/>
        <v>0</v>
      </c>
      <c r="F34" s="105">
        <f t="shared" si="14"/>
        <v>0</v>
      </c>
      <c r="G34" s="39">
        <f t="shared" si="14"/>
        <v>0</v>
      </c>
      <c r="H34" s="40">
        <f t="shared" si="14"/>
        <v>0</v>
      </c>
      <c r="I34" s="60">
        <f t="shared" si="14"/>
        <v>0</v>
      </c>
      <c r="J34" s="117">
        <f t="shared" si="14"/>
        <v>0</v>
      </c>
      <c r="K34" s="40">
        <f t="shared" si="14"/>
        <v>0</v>
      </c>
      <c r="L34" s="60">
        <f t="shared" si="14"/>
        <v>0</v>
      </c>
    </row>
    <row r="35" spans="1:15" x14ac:dyDescent="0.35">
      <c r="A35" s="45" t="s">
        <v>122</v>
      </c>
      <c r="C35" s="98">
        <f t="shared" ref="C35:L35" si="15">C26-C19</f>
        <v>0</v>
      </c>
      <c r="D35" s="40">
        <f t="shared" si="15"/>
        <v>0</v>
      </c>
      <c r="E35" s="40">
        <f t="shared" si="15"/>
        <v>0</v>
      </c>
      <c r="F35" s="105">
        <f t="shared" si="15"/>
        <v>0</v>
      </c>
      <c r="G35" s="39">
        <f t="shared" si="15"/>
        <v>0</v>
      </c>
      <c r="H35" s="40">
        <f t="shared" si="15"/>
        <v>0</v>
      </c>
      <c r="I35" s="60">
        <f t="shared" si="15"/>
        <v>0</v>
      </c>
      <c r="J35" s="117">
        <f t="shared" si="15"/>
        <v>0</v>
      </c>
      <c r="K35" s="40">
        <f t="shared" si="15"/>
        <v>0</v>
      </c>
      <c r="L35" s="60">
        <f t="shared" si="15"/>
        <v>0</v>
      </c>
    </row>
    <row r="36" spans="1:15" x14ac:dyDescent="0.35">
      <c r="A36" s="45" t="s">
        <v>123</v>
      </c>
      <c r="C36" s="98">
        <f t="shared" ref="C36:L36" si="16">C27-C20</f>
        <v>0</v>
      </c>
      <c r="D36" s="40">
        <f t="shared" si="16"/>
        <v>0</v>
      </c>
      <c r="E36" s="40">
        <f t="shared" si="16"/>
        <v>0</v>
      </c>
      <c r="F36" s="105">
        <f t="shared" si="16"/>
        <v>0</v>
      </c>
      <c r="G36" s="39">
        <f t="shared" si="16"/>
        <v>0</v>
      </c>
      <c r="H36" s="40">
        <f t="shared" si="16"/>
        <v>0</v>
      </c>
      <c r="I36" s="60">
        <f t="shared" si="16"/>
        <v>0</v>
      </c>
      <c r="J36" s="117">
        <f t="shared" si="16"/>
        <v>0</v>
      </c>
      <c r="K36" s="40">
        <f t="shared" si="16"/>
        <v>0</v>
      </c>
      <c r="L36" s="60">
        <f t="shared" si="16"/>
        <v>0</v>
      </c>
    </row>
    <row r="37" spans="1:15" x14ac:dyDescent="0.35">
      <c r="C37" s="97"/>
      <c r="D37" s="16"/>
      <c r="E37" s="16"/>
      <c r="F37" s="16"/>
      <c r="G37" s="9"/>
      <c r="H37" s="16"/>
      <c r="I37" s="10"/>
      <c r="J37" s="16"/>
      <c r="K37" s="16"/>
      <c r="L37" s="10"/>
    </row>
    <row r="38" spans="1:15" x14ac:dyDescent="0.35">
      <c r="A38" s="45" t="s">
        <v>47</v>
      </c>
      <c r="C38" s="97"/>
      <c r="D38" s="16"/>
      <c r="E38" s="16"/>
      <c r="F38" s="16"/>
      <c r="G38" s="9"/>
      <c r="H38" s="16"/>
      <c r="I38" s="10"/>
      <c r="J38" s="16"/>
      <c r="K38" s="16"/>
      <c r="L38" s="10"/>
    </row>
    <row r="39" spans="1:15" x14ac:dyDescent="0.35">
      <c r="A39" s="45" t="s">
        <v>22</v>
      </c>
      <c r="B39" s="288">
        <v>-38336.117290000024</v>
      </c>
      <c r="C39" s="98">
        <f t="shared" ref="C39:L39" si="17">B39+C32+B47</f>
        <v>-58580.770000000026</v>
      </c>
      <c r="D39" s="40">
        <f t="shared" si="17"/>
        <v>-53565.210000000021</v>
      </c>
      <c r="E39" s="40">
        <f t="shared" si="17"/>
        <v>-47432.820000000022</v>
      </c>
      <c r="F39" s="105">
        <f t="shared" si="17"/>
        <v>-39840.890000000021</v>
      </c>
      <c r="G39" s="39">
        <f t="shared" si="17"/>
        <v>-33434.660000000018</v>
      </c>
      <c r="H39" s="40">
        <f t="shared" si="17"/>
        <v>-31248.49000000002</v>
      </c>
      <c r="I39" s="60">
        <f t="shared" si="17"/>
        <v>-29883.190000000021</v>
      </c>
      <c r="J39" s="117">
        <f t="shared" si="17"/>
        <v>-28448.675218233231</v>
      </c>
      <c r="K39" s="40">
        <f t="shared" si="17"/>
        <v>-26524.708679083607</v>
      </c>
      <c r="L39" s="60">
        <f t="shared" si="17"/>
        <v>-23636.931536707918</v>
      </c>
    </row>
    <row r="40" spans="1:15" x14ac:dyDescent="0.35">
      <c r="A40" s="45" t="s">
        <v>120</v>
      </c>
      <c r="B40" s="288">
        <v>-336.70000000000061</v>
      </c>
      <c r="C40" s="98">
        <f t="shared" ref="C40:L40" si="18">B40+C33+B48</f>
        <v>-336.70000000000061</v>
      </c>
      <c r="D40" s="40">
        <f t="shared" si="18"/>
        <v>-333.36000000000064</v>
      </c>
      <c r="E40" s="40">
        <f t="shared" si="18"/>
        <v>-334.98000000000064</v>
      </c>
      <c r="F40" s="105">
        <f t="shared" si="18"/>
        <v>-336.55000000000064</v>
      </c>
      <c r="G40" s="39">
        <f t="shared" si="18"/>
        <v>-338.10000000000065</v>
      </c>
      <c r="H40" s="40">
        <f t="shared" si="18"/>
        <v>-338.10000000000065</v>
      </c>
      <c r="I40" s="60">
        <f t="shared" si="18"/>
        <v>-339.66000000000065</v>
      </c>
      <c r="J40" s="117">
        <f t="shared" si="18"/>
        <v>-341.23000000000064</v>
      </c>
      <c r="K40" s="40">
        <f t="shared" si="18"/>
        <v>-342.81000000000063</v>
      </c>
      <c r="L40" s="60">
        <f t="shared" si="18"/>
        <v>-344.39000000000061</v>
      </c>
    </row>
    <row r="41" spans="1:15" x14ac:dyDescent="0.35">
      <c r="A41" s="45" t="s">
        <v>121</v>
      </c>
      <c r="B41" s="288">
        <v>-258.02000000000055</v>
      </c>
      <c r="C41" s="98">
        <f t="shared" ref="C41:L41" si="19">B41+C34+B49</f>
        <v>-258.02000000000055</v>
      </c>
      <c r="D41" s="40">
        <f t="shared" si="19"/>
        <v>-255.46000000000055</v>
      </c>
      <c r="E41" s="40">
        <f t="shared" si="19"/>
        <v>-256.70000000000056</v>
      </c>
      <c r="F41" s="105">
        <f t="shared" si="19"/>
        <v>-257.90000000000055</v>
      </c>
      <c r="G41" s="39">
        <f t="shared" si="19"/>
        <v>-259.09000000000054</v>
      </c>
      <c r="H41" s="40">
        <f t="shared" si="19"/>
        <v>-259.09000000000054</v>
      </c>
      <c r="I41" s="60">
        <f t="shared" si="19"/>
        <v>-260.29000000000053</v>
      </c>
      <c r="J41" s="117">
        <f t="shared" si="19"/>
        <v>-261.49000000000052</v>
      </c>
      <c r="K41" s="40">
        <f t="shared" si="19"/>
        <v>-262.7000000000005</v>
      </c>
      <c r="L41" s="60">
        <f t="shared" si="19"/>
        <v>-263.91000000000048</v>
      </c>
    </row>
    <row r="42" spans="1:15" x14ac:dyDescent="0.35">
      <c r="A42" s="45" t="s">
        <v>122</v>
      </c>
      <c r="B42" s="288">
        <v>988.17000000000019</v>
      </c>
      <c r="C42" s="98">
        <f t="shared" ref="C42:L42" si="20">B42+C35+B50</f>
        <v>988.17000000000019</v>
      </c>
      <c r="D42" s="40">
        <f t="shared" si="20"/>
        <v>978.37000000000023</v>
      </c>
      <c r="E42" s="40">
        <f t="shared" si="20"/>
        <v>983.12000000000023</v>
      </c>
      <c r="F42" s="105">
        <f t="shared" si="20"/>
        <v>987.73000000000025</v>
      </c>
      <c r="G42" s="39">
        <f t="shared" si="20"/>
        <v>992.2800000000002</v>
      </c>
      <c r="H42" s="40">
        <f t="shared" si="20"/>
        <v>992.2800000000002</v>
      </c>
      <c r="I42" s="60">
        <f t="shared" si="20"/>
        <v>996.87000000000023</v>
      </c>
      <c r="J42" s="117">
        <f t="shared" si="20"/>
        <v>1001.4800000000002</v>
      </c>
      <c r="K42" s="40">
        <f t="shared" si="20"/>
        <v>1006.1100000000002</v>
      </c>
      <c r="L42" s="60">
        <f t="shared" si="20"/>
        <v>1010.7600000000002</v>
      </c>
    </row>
    <row r="43" spans="1:15" x14ac:dyDescent="0.35">
      <c r="A43" s="45" t="s">
        <v>123</v>
      </c>
      <c r="B43" s="288">
        <v>-393.46000000000026</v>
      </c>
      <c r="C43" s="98">
        <f>B43+C36+B51</f>
        <v>-393.46000000000026</v>
      </c>
      <c r="D43" s="40">
        <f t="shared" ref="D43:L43" si="21">C43+D36+C51</f>
        <v>-389.55000000000024</v>
      </c>
      <c r="E43" s="40">
        <f t="shared" si="21"/>
        <v>-391.44000000000023</v>
      </c>
      <c r="F43" s="105">
        <f t="shared" si="21"/>
        <v>-393.2800000000002</v>
      </c>
      <c r="G43" s="39">
        <f t="shared" si="21"/>
        <v>-395.0900000000002</v>
      </c>
      <c r="H43" s="40">
        <f t="shared" si="21"/>
        <v>-395.0900000000002</v>
      </c>
      <c r="I43" s="60">
        <f t="shared" si="21"/>
        <v>-396.92000000000019</v>
      </c>
      <c r="J43" s="117">
        <f t="shared" si="21"/>
        <v>-398.75000000000017</v>
      </c>
      <c r="K43" s="40">
        <f t="shared" si="21"/>
        <v>-400.59000000000015</v>
      </c>
      <c r="L43" s="60">
        <f t="shared" si="21"/>
        <v>-402.44000000000017</v>
      </c>
    </row>
    <row r="44" spans="1:15" x14ac:dyDescent="0.35">
      <c r="C44" s="97"/>
      <c r="D44" s="16"/>
      <c r="E44" s="16"/>
      <c r="F44" s="16"/>
      <c r="G44" s="9"/>
      <c r="H44" s="16"/>
      <c r="I44" s="10"/>
      <c r="J44" s="16"/>
      <c r="K44" s="16"/>
      <c r="L44" s="10"/>
    </row>
    <row r="45" spans="1:15" x14ac:dyDescent="0.35">
      <c r="A45" s="38" t="s">
        <v>43</v>
      </c>
      <c r="B45" s="38"/>
      <c r="C45" s="101"/>
      <c r="D45" s="81">
        <f>'PCR Cycle 3'!E$51</f>
        <v>4.8565300000000004E-3</v>
      </c>
      <c r="E45" s="81">
        <f>'PCR Cycle 3'!F$51</f>
        <v>4.6890200000000003E-3</v>
      </c>
      <c r="F45" s="81">
        <f>'PCR Cycle 3'!G$51</f>
        <v>4.6108499999999997E-3</v>
      </c>
      <c r="G45" s="82">
        <f>'PCR Cycle 3'!H$51</f>
        <v>4.6177400000000004E-3</v>
      </c>
      <c r="H45" s="81">
        <f>'PCR Cycle 3'!I$51</f>
        <v>4.62145E-3</v>
      </c>
      <c r="I45" s="90">
        <f>'PCR Cycle 3'!J$51</f>
        <v>4.6207399999999999E-3</v>
      </c>
      <c r="J45" s="81">
        <f>'PCR Cycle 3'!K$51</f>
        <v>4.6207399999999999E-3</v>
      </c>
      <c r="K45" s="81">
        <f>'PCR Cycle 3'!L$51</f>
        <v>4.6207399999999999E-3</v>
      </c>
      <c r="L45" s="83"/>
    </row>
    <row r="46" spans="1:15" x14ac:dyDescent="0.35">
      <c r="A46" s="38" t="s">
        <v>31</v>
      </c>
      <c r="B46" s="38"/>
      <c r="C46" s="103"/>
      <c r="D46" s="81"/>
      <c r="E46" s="81"/>
      <c r="F46" s="81"/>
      <c r="G46" s="82"/>
      <c r="H46" s="81"/>
      <c r="I46" s="83"/>
      <c r="J46" s="81"/>
      <c r="K46" s="81"/>
      <c r="L46" s="83"/>
    </row>
    <row r="47" spans="1:15" x14ac:dyDescent="0.35">
      <c r="A47" s="45" t="s">
        <v>22</v>
      </c>
      <c r="C47" s="289">
        <v>526.01</v>
      </c>
      <c r="D47" s="40">
        <f t="shared" ref="D47:L47" si="22">ROUND((C39+C47+D32/2)*D$45,2)</f>
        <v>-271.04000000000002</v>
      </c>
      <c r="E47" s="40">
        <f t="shared" si="22"/>
        <v>-237.43</v>
      </c>
      <c r="F47" s="105">
        <f t="shared" si="22"/>
        <v>-201.75</v>
      </c>
      <c r="G47" s="39">
        <f t="shared" si="22"/>
        <v>-169.65</v>
      </c>
      <c r="H47" s="117">
        <f t="shared" si="22"/>
        <v>-149.86000000000001</v>
      </c>
      <c r="I47" s="48">
        <f t="shared" si="22"/>
        <v>-141.58000000000001</v>
      </c>
      <c r="J47" s="156">
        <f t="shared" si="22"/>
        <v>-135.1</v>
      </c>
      <c r="K47" s="105">
        <f t="shared" si="22"/>
        <v>-127.32</v>
      </c>
      <c r="L47" s="60">
        <f t="shared" si="22"/>
        <v>0</v>
      </c>
      <c r="O47" s="46">
        <f t="shared" ref="O47:O51" si="23">-SUM(J47:L47)</f>
        <v>262.41999999999996</v>
      </c>
    </row>
    <row r="48" spans="1:15" x14ac:dyDescent="0.35">
      <c r="A48" s="45" t="s">
        <v>120</v>
      </c>
      <c r="C48" s="289">
        <v>3.34</v>
      </c>
      <c r="D48" s="40">
        <f t="shared" ref="D48:L48" si="24">ROUND((C40+C48+D33/2)*D$45,2)</f>
        <v>-1.62</v>
      </c>
      <c r="E48" s="40">
        <f t="shared" si="24"/>
        <v>-1.57</v>
      </c>
      <c r="F48" s="105">
        <f t="shared" si="24"/>
        <v>-1.55</v>
      </c>
      <c r="G48" s="39">
        <f>ROUND((F40+F48+G33/2)*G$45,2)*0</f>
        <v>0</v>
      </c>
      <c r="H48" s="117">
        <f t="shared" si="24"/>
        <v>-1.56</v>
      </c>
      <c r="I48" s="48">
        <f t="shared" si="24"/>
        <v>-1.57</v>
      </c>
      <c r="J48" s="156">
        <f t="shared" si="24"/>
        <v>-1.58</v>
      </c>
      <c r="K48" s="105">
        <f t="shared" si="24"/>
        <v>-1.58</v>
      </c>
      <c r="L48" s="60">
        <f t="shared" si="24"/>
        <v>0</v>
      </c>
      <c r="O48" s="46">
        <f t="shared" si="23"/>
        <v>3.16</v>
      </c>
    </row>
    <row r="49" spans="1:15" x14ac:dyDescent="0.35">
      <c r="A49" s="45" t="s">
        <v>121</v>
      </c>
      <c r="C49" s="289">
        <v>2.56</v>
      </c>
      <c r="D49" s="40">
        <f t="shared" ref="D49:L49" si="25">ROUND((C41+C49+D34/2)*D$45,2)</f>
        <v>-1.24</v>
      </c>
      <c r="E49" s="40">
        <f t="shared" si="25"/>
        <v>-1.2</v>
      </c>
      <c r="F49" s="105">
        <f t="shared" si="25"/>
        <v>-1.19</v>
      </c>
      <c r="G49" s="39">
        <f t="shared" ref="G49:G51" si="26">ROUND((F41+F49+G34/2)*G$45,2)*0</f>
        <v>0</v>
      </c>
      <c r="H49" s="117">
        <f t="shared" si="25"/>
        <v>-1.2</v>
      </c>
      <c r="I49" s="48">
        <f t="shared" si="25"/>
        <v>-1.2</v>
      </c>
      <c r="J49" s="156">
        <f t="shared" si="25"/>
        <v>-1.21</v>
      </c>
      <c r="K49" s="105">
        <f t="shared" si="25"/>
        <v>-1.21</v>
      </c>
      <c r="L49" s="60">
        <f t="shared" si="25"/>
        <v>0</v>
      </c>
      <c r="O49" s="46">
        <f t="shared" si="23"/>
        <v>2.42</v>
      </c>
    </row>
    <row r="50" spans="1:15" x14ac:dyDescent="0.35">
      <c r="A50" s="45" t="s">
        <v>122</v>
      </c>
      <c r="C50" s="289">
        <v>-9.8000000000000007</v>
      </c>
      <c r="D50" s="40">
        <f t="shared" ref="D50:L50" si="27">ROUND((C42+C50+D35/2)*D$45,2)</f>
        <v>4.75</v>
      </c>
      <c r="E50" s="40">
        <f t="shared" si="27"/>
        <v>4.6100000000000003</v>
      </c>
      <c r="F50" s="105">
        <f t="shared" si="27"/>
        <v>4.55</v>
      </c>
      <c r="G50" s="39">
        <f t="shared" si="26"/>
        <v>0</v>
      </c>
      <c r="H50" s="117">
        <f t="shared" si="27"/>
        <v>4.59</v>
      </c>
      <c r="I50" s="48">
        <f t="shared" si="27"/>
        <v>4.6100000000000003</v>
      </c>
      <c r="J50" s="156">
        <f t="shared" si="27"/>
        <v>4.63</v>
      </c>
      <c r="K50" s="105">
        <f t="shared" si="27"/>
        <v>4.6500000000000004</v>
      </c>
      <c r="L50" s="60">
        <f t="shared" si="27"/>
        <v>0</v>
      </c>
      <c r="O50" s="46">
        <f t="shared" si="23"/>
        <v>-9.2800000000000011</v>
      </c>
    </row>
    <row r="51" spans="1:15" ht="15" thickBot="1" x14ac:dyDescent="0.4">
      <c r="A51" s="45" t="s">
        <v>123</v>
      </c>
      <c r="C51" s="289">
        <v>3.91</v>
      </c>
      <c r="D51" s="40">
        <f t="shared" ref="D51:L51" si="28">ROUND((C43+C51+D36/2)*D$45,2)</f>
        <v>-1.89</v>
      </c>
      <c r="E51" s="40">
        <f t="shared" si="28"/>
        <v>-1.84</v>
      </c>
      <c r="F51" s="105">
        <f t="shared" si="28"/>
        <v>-1.81</v>
      </c>
      <c r="G51" s="39">
        <f t="shared" si="26"/>
        <v>0</v>
      </c>
      <c r="H51" s="117">
        <f t="shared" si="28"/>
        <v>-1.83</v>
      </c>
      <c r="I51" s="48">
        <f t="shared" si="28"/>
        <v>-1.83</v>
      </c>
      <c r="J51" s="156">
        <f t="shared" si="28"/>
        <v>-1.84</v>
      </c>
      <c r="K51" s="105">
        <f t="shared" si="28"/>
        <v>-1.85</v>
      </c>
      <c r="L51" s="60">
        <f t="shared" si="28"/>
        <v>0</v>
      </c>
      <c r="O51" s="46">
        <f t="shared" si="23"/>
        <v>3.6900000000000004</v>
      </c>
    </row>
    <row r="52" spans="1:15" ht="15.5" thickTop="1" thickBot="1" x14ac:dyDescent="0.4">
      <c r="A52" s="53" t="s">
        <v>20</v>
      </c>
      <c r="B52" s="53"/>
      <c r="C52" s="104">
        <v>0</v>
      </c>
      <c r="D52" s="41">
        <f t="shared" ref="D52:I52" si="29">SUM(D47:D51)+SUM(D39:D43)-D55</f>
        <v>0</v>
      </c>
      <c r="E52" s="41">
        <f t="shared" si="29"/>
        <v>0</v>
      </c>
      <c r="F52" s="49">
        <f t="shared" ref="F52:H52" si="30">SUM(F47:F51)+SUM(F39:F43)-F55</f>
        <v>0</v>
      </c>
      <c r="G52" s="140">
        <f t="shared" si="30"/>
        <v>0</v>
      </c>
      <c r="H52" s="49">
        <f t="shared" si="30"/>
        <v>0</v>
      </c>
      <c r="I52" s="61">
        <f t="shared" si="29"/>
        <v>0</v>
      </c>
      <c r="J52" s="157">
        <f t="shared" ref="J52:L52" si="31">SUM(J47:J51)+SUM(J39:J43)-J55</f>
        <v>0</v>
      </c>
      <c r="K52" s="49">
        <f t="shared" si="31"/>
        <v>0</v>
      </c>
      <c r="L52" s="61">
        <f t="shared" si="31"/>
        <v>0</v>
      </c>
    </row>
    <row r="53" spans="1:15" ht="15.5" thickTop="1" thickBot="1" x14ac:dyDescent="0.4">
      <c r="A53" s="53" t="s">
        <v>21</v>
      </c>
      <c r="B53" s="53"/>
      <c r="C53" s="104">
        <v>0</v>
      </c>
      <c r="D53" s="41">
        <f t="shared" ref="D53:I53" si="32">SUM(D47:D51)-D29</f>
        <v>0</v>
      </c>
      <c r="E53" s="41">
        <f t="shared" si="32"/>
        <v>0</v>
      </c>
      <c r="F53" s="49">
        <f t="shared" ref="F53:H53" si="33">SUM(F47:F51)-F29</f>
        <v>0</v>
      </c>
      <c r="G53" s="140">
        <f t="shared" si="33"/>
        <v>0</v>
      </c>
      <c r="H53" s="49">
        <f t="shared" si="33"/>
        <v>0</v>
      </c>
      <c r="I53" s="61">
        <f t="shared" si="32"/>
        <v>0</v>
      </c>
      <c r="J53" s="158">
        <f t="shared" ref="J53:L53" si="34">SUM(J47:J51)-J29</f>
        <v>0</v>
      </c>
      <c r="K53" s="41">
        <f t="shared" si="34"/>
        <v>0</v>
      </c>
      <c r="L53" s="41">
        <f t="shared" si="34"/>
        <v>0</v>
      </c>
    </row>
    <row r="54" spans="1:15" ht="15.5" thickTop="1" thickBot="1" x14ac:dyDescent="0.4">
      <c r="C54" s="97"/>
      <c r="D54" s="16"/>
      <c r="E54" s="16"/>
      <c r="F54" s="16"/>
      <c r="G54" s="9"/>
      <c r="H54" s="16"/>
      <c r="I54" s="10"/>
      <c r="J54" s="16"/>
      <c r="K54" s="16"/>
      <c r="L54" s="10"/>
    </row>
    <row r="55" spans="1:15" ht="15" thickBot="1" x14ac:dyDescent="0.4">
      <c r="A55" s="45" t="s">
        <v>30</v>
      </c>
      <c r="B55" s="113">
        <f>SUM(B39:B43)</f>
        <v>-38336.127290000026</v>
      </c>
      <c r="C55" s="98">
        <f t="shared" ref="C55:L55" si="35">(C13-SUM(C16:C20))+SUM(C47:C51)+B55</f>
        <v>-58054.760000000024</v>
      </c>
      <c r="D55" s="40">
        <f t="shared" si="35"/>
        <v>-53836.250000000022</v>
      </c>
      <c r="E55" s="40">
        <f t="shared" si="35"/>
        <v>-47670.250000000022</v>
      </c>
      <c r="F55" s="105">
        <f t="shared" si="35"/>
        <v>-40042.640000000021</v>
      </c>
      <c r="G55" s="39">
        <f t="shared" si="35"/>
        <v>-33604.310000000019</v>
      </c>
      <c r="H55" s="40">
        <f t="shared" si="35"/>
        <v>-31398.35000000002</v>
      </c>
      <c r="I55" s="60">
        <f t="shared" si="35"/>
        <v>-30024.76000000002</v>
      </c>
      <c r="J55" s="156">
        <f t="shared" si="35"/>
        <v>-28583.765218233231</v>
      </c>
      <c r="K55" s="105">
        <f t="shared" si="35"/>
        <v>-26652.008679083607</v>
      </c>
      <c r="L55" s="60">
        <f t="shared" si="35"/>
        <v>-23636.911536707918</v>
      </c>
    </row>
    <row r="56" spans="1:15" x14ac:dyDescent="0.35">
      <c r="A56" s="45" t="s">
        <v>10</v>
      </c>
      <c r="C56" s="114"/>
      <c r="D56" s="16"/>
      <c r="E56" s="16"/>
      <c r="F56" s="16"/>
      <c r="G56" s="9"/>
      <c r="H56" s="16"/>
      <c r="I56" s="10"/>
      <c r="J56" s="16"/>
      <c r="K56" s="16"/>
      <c r="L56" s="10"/>
    </row>
    <row r="57" spans="1:15" ht="15" thickBot="1" x14ac:dyDescent="0.4">
      <c r="A57" s="36"/>
      <c r="B57" s="36"/>
      <c r="C57" s="141"/>
      <c r="D57" s="43"/>
      <c r="E57" s="43"/>
      <c r="F57" s="43"/>
      <c r="G57" s="42"/>
      <c r="H57" s="43"/>
      <c r="I57" s="44"/>
      <c r="J57" s="43"/>
      <c r="K57" s="43"/>
      <c r="L57" s="44"/>
    </row>
    <row r="59" spans="1:15" x14ac:dyDescent="0.35">
      <c r="A59" s="68" t="s">
        <v>9</v>
      </c>
      <c r="B59" s="68"/>
      <c r="C59" s="68"/>
    </row>
    <row r="60" spans="1:15" x14ac:dyDescent="0.35">
      <c r="A60" s="355" t="s">
        <v>157</v>
      </c>
      <c r="B60" s="355"/>
      <c r="C60" s="355"/>
      <c r="D60" s="355"/>
      <c r="E60" s="355"/>
      <c r="F60" s="355"/>
      <c r="G60" s="355"/>
      <c r="H60" s="355"/>
      <c r="I60" s="355"/>
      <c r="J60" s="311"/>
      <c r="K60" s="311"/>
      <c r="L60" s="271"/>
    </row>
    <row r="61" spans="1:15" ht="63" customHeight="1" x14ac:dyDescent="0.35">
      <c r="A61" s="355" t="s">
        <v>249</v>
      </c>
      <c r="B61" s="355"/>
      <c r="C61" s="355"/>
      <c r="D61" s="355"/>
      <c r="E61" s="355"/>
      <c r="F61" s="355"/>
      <c r="G61" s="355"/>
      <c r="H61" s="355"/>
      <c r="I61" s="355"/>
      <c r="J61" s="355"/>
      <c r="K61" s="355"/>
    </row>
    <row r="62" spans="1:15" x14ac:dyDescent="0.35">
      <c r="A62" s="355" t="s">
        <v>224</v>
      </c>
      <c r="B62" s="355"/>
      <c r="C62" s="355"/>
      <c r="D62" s="355"/>
      <c r="E62" s="355"/>
      <c r="F62" s="355"/>
      <c r="G62" s="355"/>
      <c r="H62" s="355"/>
      <c r="I62" s="355"/>
      <c r="J62" s="355"/>
      <c r="K62" s="372"/>
      <c r="L62" s="271"/>
    </row>
    <row r="63" spans="1:15" x14ac:dyDescent="0.35">
      <c r="A63" s="62" t="s">
        <v>250</v>
      </c>
      <c r="B63" s="62"/>
      <c r="C63" s="62"/>
      <c r="D63" s="62"/>
      <c r="E63" s="38"/>
      <c r="F63" s="38"/>
      <c r="G63" s="38"/>
      <c r="H63" s="38"/>
      <c r="I63" s="38"/>
      <c r="J63" s="306"/>
      <c r="K63" s="38"/>
    </row>
    <row r="64" spans="1:15" x14ac:dyDescent="0.35">
      <c r="A64" s="62" t="s">
        <v>111</v>
      </c>
      <c r="B64" s="62"/>
      <c r="C64" s="62"/>
      <c r="D64" s="38"/>
      <c r="E64" s="38"/>
      <c r="F64" s="38"/>
      <c r="G64" s="38"/>
      <c r="H64" s="38"/>
      <c r="I64" s="306"/>
      <c r="J64" s="38"/>
      <c r="K64" s="38"/>
    </row>
    <row r="65" spans="1:11" x14ac:dyDescent="0.35">
      <c r="A65" s="62"/>
      <c r="B65" s="62"/>
      <c r="C65" s="62"/>
      <c r="D65" s="38"/>
      <c r="E65" s="38"/>
      <c r="F65" s="38"/>
      <c r="G65" s="38"/>
      <c r="H65" s="38"/>
      <c r="I65" s="38"/>
      <c r="J65" s="38"/>
      <c r="K65" s="38"/>
    </row>
    <row r="66" spans="1:11" x14ac:dyDescent="0.35">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pageSetUpPr fitToPage="1"/>
  </sheetPr>
  <dimension ref="A1:AG57"/>
  <sheetViews>
    <sheetView tabSelected="1" zoomScale="85" zoomScaleNormal="85" workbookViewId="0">
      <pane xSplit="2" ySplit="3" topLeftCell="C4" activePane="bottomRight" state="frozen"/>
      <selection activeCell="G17" sqref="G17"/>
      <selection pane="topRight" activeCell="G17" sqref="G17"/>
      <selection pane="bottomLeft" activeCell="G17" sqref="G17"/>
      <selection pane="bottomRight"/>
    </sheetView>
  </sheetViews>
  <sheetFormatPr defaultRowHeight="14.5" outlineLevelCol="1" x14ac:dyDescent="0.35"/>
  <cols>
    <col min="2" max="2" width="25.1796875" customWidth="1"/>
    <col min="3" max="3" width="16" bestFit="1" customWidth="1"/>
    <col min="4" max="4" width="15.54296875" customWidth="1"/>
    <col min="5" max="5" width="15.453125" bestFit="1" customWidth="1"/>
    <col min="6" max="6" width="13.7265625" bestFit="1" customWidth="1"/>
    <col min="7" max="7" width="18.453125" bestFit="1" customWidth="1"/>
    <col min="8" max="8" width="13.453125" customWidth="1"/>
    <col min="9" max="9" width="3.54296875" customWidth="1"/>
    <col min="10" max="10" width="13.7265625" bestFit="1" customWidth="1"/>
    <col min="11" max="11" width="12.81640625" bestFit="1" customWidth="1"/>
    <col min="12" max="13" width="13.7265625" bestFit="1" customWidth="1"/>
    <col min="14" max="14" width="11.453125" bestFit="1" customWidth="1"/>
    <col min="15" max="15" width="16" customWidth="1" outlineLevel="1"/>
    <col min="16" max="16" width="19.26953125" customWidth="1" outlineLevel="1"/>
    <col min="17" max="17" width="16" style="45" customWidth="1" outlineLevel="1"/>
    <col min="18" max="18" width="11.81640625" customWidth="1" outlineLevel="1"/>
    <col min="19" max="20" width="16" customWidth="1" outlineLevel="1"/>
    <col min="21" max="21" width="16.54296875" style="45" customWidth="1" outlineLevel="1"/>
    <col min="22" max="22" width="16" customWidth="1" outlineLevel="1"/>
    <col min="23" max="23" width="9.1796875" customWidth="1" outlineLevel="1"/>
    <col min="24" max="25" width="16.54296875" customWidth="1" outlineLevel="1"/>
    <col min="26" max="26" width="16" customWidth="1" outlineLevel="1"/>
    <col min="27" max="27" width="16.54296875" customWidth="1" outlineLevel="1"/>
    <col min="28" max="28" width="13" customWidth="1" outlineLevel="1"/>
    <col min="29" max="30" width="16.54296875" customWidth="1" outlineLevel="1"/>
    <col min="31" max="32" width="16" customWidth="1" outlineLevel="1"/>
    <col min="33" max="33" width="12.81640625" bestFit="1" customWidth="1"/>
  </cols>
  <sheetData>
    <row r="1" spans="1:33" x14ac:dyDescent="0.35">
      <c r="A1" s="62" t="str">
        <f>'PTD Cycle 3'!A1</f>
        <v>Evergy Metro, Inc. - DSIM Rider Update Filed 06/02/2025</v>
      </c>
    </row>
    <row r="2" spans="1:33" ht="15" thickBot="1" x14ac:dyDescent="0.4">
      <c r="H2" s="45"/>
      <c r="I2" s="45"/>
      <c r="J2" s="47"/>
      <c r="K2" s="47"/>
    </row>
    <row r="3" spans="1:33" ht="27.5" thickBot="1" x14ac:dyDescent="0.4">
      <c r="B3" s="85" t="s">
        <v>5</v>
      </c>
      <c r="C3" s="124" t="s">
        <v>17</v>
      </c>
      <c r="D3" s="124" t="s">
        <v>18</v>
      </c>
      <c r="E3" s="124" t="s">
        <v>51</v>
      </c>
      <c r="F3" s="124" t="s">
        <v>19</v>
      </c>
      <c r="G3" s="124" t="s">
        <v>32</v>
      </c>
      <c r="H3" s="87" t="s">
        <v>25</v>
      </c>
      <c r="I3" s="38"/>
      <c r="J3" s="86" t="s">
        <v>11</v>
      </c>
      <c r="K3" s="87" t="s">
        <v>50</v>
      </c>
      <c r="L3" s="87" t="s">
        <v>63</v>
      </c>
      <c r="M3" s="87" t="s">
        <v>64</v>
      </c>
    </row>
    <row r="4" spans="1:33" ht="15" thickBot="1" x14ac:dyDescent="0.4">
      <c r="B4" s="88" t="s">
        <v>22</v>
      </c>
      <c r="C4" s="122">
        <f t="shared" ref="C4:F8" si="0">C13+C22</f>
        <v>7065728.9399999995</v>
      </c>
      <c r="D4" s="123">
        <f t="shared" ca="1" si="0"/>
        <v>2580751.0428910372</v>
      </c>
      <c r="E4" s="123">
        <f t="shared" si="0"/>
        <v>1507004.8837847766</v>
      </c>
      <c r="F4" s="123">
        <f t="shared" si="0"/>
        <v>-23636.931536707925</v>
      </c>
      <c r="G4" s="336">
        <f>SUM('[1]KCPL Billed kWh Sales'!$E39:$F39)</f>
        <v>2769019498.0086751</v>
      </c>
      <c r="H4" s="126">
        <f ca="1">ROUND(SUM(C4:F4)/G4,5)</f>
        <v>4.0200000000000001E-3</v>
      </c>
      <c r="I4" s="127"/>
      <c r="J4" s="308">
        <f>ROUND((C13+C22)/G4,5)+0.00001</f>
        <v>2.5600000000000002E-3</v>
      </c>
      <c r="K4" s="244">
        <f ca="1">ROUND((D13+D22)/G4,5)</f>
        <v>9.3000000000000005E-4</v>
      </c>
      <c r="L4" s="244">
        <f>ROUND((E13+E22)/G4,5)</f>
        <v>5.4000000000000001E-4</v>
      </c>
      <c r="M4" s="128">
        <f>ROUND((F13+F22)/G4,5)</f>
        <v>-1.0000000000000001E-5</v>
      </c>
      <c r="N4" s="213">
        <f ca="1">+H4-SUM(J4:M4)</f>
        <v>0</v>
      </c>
    </row>
    <row r="5" spans="1:33" ht="15" thickBot="1" x14ac:dyDescent="0.4">
      <c r="B5" s="88" t="s">
        <v>94</v>
      </c>
      <c r="C5" s="122">
        <f t="shared" si="0"/>
        <v>1320290.1178397981</v>
      </c>
      <c r="D5" s="123">
        <f t="shared" ca="1" si="0"/>
        <v>966671.30162000016</v>
      </c>
      <c r="E5" s="123">
        <f t="shared" si="0"/>
        <v>297064.10785999999</v>
      </c>
      <c r="F5" s="123">
        <f t="shared" si="0"/>
        <v>-344.39000000000061</v>
      </c>
      <c r="G5" s="336">
        <f>SUM('[1]KCPL Billed kWh Sales'!$E40:$F40)</f>
        <v>654574212</v>
      </c>
      <c r="H5" s="126">
        <f ca="1">ROUND(SUM(C5:F5)/G5,5)</f>
        <v>3.9500000000000004E-3</v>
      </c>
      <c r="I5" s="127"/>
      <c r="J5" s="298">
        <f t="shared" ref="J5:J7" si="1">ROUND((C14+C23)/G5,5)</f>
        <v>2.0200000000000001E-3</v>
      </c>
      <c r="K5" s="244">
        <f ca="1">ROUND((D14+D23)/G5,5)</f>
        <v>1.48E-3</v>
      </c>
      <c r="L5" s="244">
        <f>ROUND((E14+E23)/G5,5)</f>
        <v>4.4999999999999999E-4</v>
      </c>
      <c r="M5" s="128">
        <f>ROUND((F14+F23)/G5,5)</f>
        <v>0</v>
      </c>
      <c r="N5" s="213">
        <f t="shared" ref="N5:N8" ca="1" si="2">+H5-SUM(J5:M5)</f>
        <v>0</v>
      </c>
      <c r="O5" s="243"/>
      <c r="P5" s="243"/>
      <c r="Q5" s="243"/>
      <c r="R5" s="243"/>
      <c r="S5" s="243"/>
      <c r="T5" s="243"/>
    </row>
    <row r="6" spans="1:33" s="45" customFormat="1" ht="15" thickBot="1" x14ac:dyDescent="0.4">
      <c r="B6" s="88" t="s">
        <v>95</v>
      </c>
      <c r="C6" s="122">
        <f t="shared" si="0"/>
        <v>4545775.5699999994</v>
      </c>
      <c r="D6" s="123">
        <f t="shared" ca="1" si="0"/>
        <v>1670916.1072399996</v>
      </c>
      <c r="E6" s="123">
        <f t="shared" si="0"/>
        <v>527647.31563999993</v>
      </c>
      <c r="F6" s="123">
        <f t="shared" si="0"/>
        <v>-263.91000000000054</v>
      </c>
      <c r="G6" s="336">
        <f>SUM('[1]KCPL Billed kWh Sales'!$E41:$F41)</f>
        <v>1120902324</v>
      </c>
      <c r="H6" s="126">
        <f ca="1">ROUND(SUM(C6:F6)/G6,5)</f>
        <v>6.0200000000000002E-3</v>
      </c>
      <c r="I6" s="127"/>
      <c r="J6" s="298">
        <f t="shared" si="1"/>
        <v>4.0600000000000002E-3</v>
      </c>
      <c r="K6" s="244">
        <f ca="1">ROUND((D15+D24)/G6,5)</f>
        <v>1.49E-3</v>
      </c>
      <c r="L6" s="244">
        <f>ROUND((E15+E24)/G6,5)</f>
        <v>4.6999999999999999E-4</v>
      </c>
      <c r="M6" s="128">
        <f>ROUND((F15+F24)/G6,5)</f>
        <v>0</v>
      </c>
      <c r="N6" s="213">
        <f t="shared" ca="1" si="2"/>
        <v>0</v>
      </c>
      <c r="O6" s="243"/>
      <c r="P6" s="243"/>
      <c r="Q6" s="243"/>
      <c r="R6" s="243"/>
      <c r="S6" s="243"/>
      <c r="T6" s="243"/>
    </row>
    <row r="7" spans="1:33" s="45" customFormat="1" ht="15" thickBot="1" x14ac:dyDescent="0.4">
      <c r="B7" s="88" t="s">
        <v>96</v>
      </c>
      <c r="C7" s="122">
        <f t="shared" si="0"/>
        <v>2668656.6400000001</v>
      </c>
      <c r="D7" s="123">
        <f t="shared" ca="1" si="0"/>
        <v>979967.77177000022</v>
      </c>
      <c r="E7" s="123">
        <f t="shared" si="0"/>
        <v>556334.94682000007</v>
      </c>
      <c r="F7" s="123">
        <f t="shared" si="0"/>
        <v>1010.7600000000002</v>
      </c>
      <c r="G7" s="336">
        <f>SUM('[1]KCPL Billed kWh Sales'!$E42:$F42)</f>
        <v>1830116545</v>
      </c>
      <c r="H7" s="126">
        <f ca="1">ROUND(SUM(C7:F7)/G7,5)</f>
        <v>2.3E-3</v>
      </c>
      <c r="I7" s="127"/>
      <c r="J7" s="298">
        <f t="shared" si="1"/>
        <v>1.4599999999999999E-3</v>
      </c>
      <c r="K7" s="244">
        <f ca="1">ROUND((D16+D25)/G7,5)</f>
        <v>5.4000000000000001E-4</v>
      </c>
      <c r="L7" s="244">
        <f>ROUND((E16+E25)/G7,5)</f>
        <v>2.9999999999999997E-4</v>
      </c>
      <c r="M7" s="128">
        <f>ROUND((F16+F25)/G7,5)</f>
        <v>0</v>
      </c>
      <c r="N7" s="213">
        <f t="shared" ca="1" si="2"/>
        <v>0</v>
      </c>
      <c r="O7" s="243"/>
      <c r="P7" s="243"/>
      <c r="Q7" s="243"/>
      <c r="R7" s="243"/>
      <c r="S7" s="243"/>
      <c r="T7" s="243"/>
    </row>
    <row r="8" spans="1:33" s="45" customFormat="1" ht="15" thickBot="1" x14ac:dyDescent="0.4">
      <c r="B8" s="88" t="s">
        <v>97</v>
      </c>
      <c r="C8" s="122">
        <f t="shared" si="0"/>
        <v>700645.15216020355</v>
      </c>
      <c r="D8" s="123">
        <f t="shared" ca="1" si="0"/>
        <v>67240.948350000006</v>
      </c>
      <c r="E8" s="123">
        <f t="shared" si="0"/>
        <v>144417.64369</v>
      </c>
      <c r="F8" s="123">
        <f t="shared" si="0"/>
        <v>-402.44000000000028</v>
      </c>
      <c r="G8" s="336">
        <f>SUM('[1]KCPL Billed kWh Sales'!$E43:$F43)</f>
        <v>431456084</v>
      </c>
      <c r="H8" s="126">
        <f ca="1">ROUND(SUM(C8:F8)/G8,5)</f>
        <v>2.1099999999999999E-3</v>
      </c>
      <c r="I8" s="127"/>
      <c r="J8" s="298">
        <f t="shared" ref="J8" si="3">ROUND((C17+C26)/G8,5)</f>
        <v>1.6199999999999999E-3</v>
      </c>
      <c r="K8" s="244">
        <f ca="1">ROUND((D17+D26)/G8,5)</f>
        <v>1.6000000000000001E-4</v>
      </c>
      <c r="L8" s="244">
        <f>ROUND((E17+E26)/G8,5)</f>
        <v>3.3E-4</v>
      </c>
      <c r="M8" s="128">
        <f>ROUND((F17+F26)/G8,5)</f>
        <v>0</v>
      </c>
      <c r="N8" s="213">
        <f t="shared" ca="1" si="2"/>
        <v>0</v>
      </c>
      <c r="O8" s="243"/>
      <c r="P8" s="243"/>
      <c r="Q8" s="243"/>
      <c r="R8" s="243"/>
      <c r="S8" s="243"/>
      <c r="T8" s="243"/>
    </row>
    <row r="9" spans="1:33" x14ac:dyDescent="0.35">
      <c r="C9" s="121"/>
      <c r="D9" s="121"/>
      <c r="E9" s="121"/>
      <c r="F9" s="121"/>
      <c r="G9" s="120"/>
    </row>
    <row r="10" spans="1:33" x14ac:dyDescent="0.35">
      <c r="C10" s="121"/>
      <c r="D10" s="121"/>
      <c r="E10" s="121"/>
      <c r="F10" s="121"/>
      <c r="G10" s="120"/>
      <c r="H10" s="260"/>
      <c r="I10" s="144"/>
      <c r="J10" s="326"/>
      <c r="K10" s="326"/>
      <c r="L10" s="326"/>
      <c r="M10" s="260"/>
    </row>
    <row r="11" spans="1:33" ht="15" thickBot="1" x14ac:dyDescent="0.4">
      <c r="C11" s="121"/>
      <c r="D11" s="121"/>
      <c r="E11" s="121"/>
      <c r="F11" s="121"/>
      <c r="G11" s="120"/>
      <c r="H11" s="261"/>
      <c r="I11" s="262"/>
      <c r="J11" s="261"/>
      <c r="K11" s="261"/>
      <c r="L11" s="261"/>
      <c r="M11" s="261"/>
    </row>
    <row r="12" spans="1:33" ht="15" thickBot="1" x14ac:dyDescent="0.4">
      <c r="B12" s="85" t="s">
        <v>5</v>
      </c>
      <c r="C12" s="125" t="s">
        <v>4</v>
      </c>
      <c r="D12" s="125" t="s">
        <v>14</v>
      </c>
      <c r="E12" s="125" t="s">
        <v>52</v>
      </c>
      <c r="F12" s="125" t="s">
        <v>15</v>
      </c>
      <c r="G12" s="120"/>
      <c r="H12" s="261"/>
      <c r="I12" s="262"/>
      <c r="J12" s="261"/>
      <c r="K12" s="261"/>
      <c r="L12" s="261"/>
      <c r="M12" s="261"/>
      <c r="O12" s="125" t="s">
        <v>65</v>
      </c>
      <c r="P12" s="125" t="s">
        <v>66</v>
      </c>
      <c r="Q12" s="125" t="s">
        <v>73</v>
      </c>
      <c r="R12" s="45"/>
      <c r="S12" s="125" t="s">
        <v>67</v>
      </c>
      <c r="T12" s="125" t="s">
        <v>68</v>
      </c>
      <c r="U12" s="125" t="s">
        <v>90</v>
      </c>
      <c r="V12" s="125" t="s">
        <v>82</v>
      </c>
      <c r="X12" s="125" t="s">
        <v>100</v>
      </c>
      <c r="Y12" s="125" t="s">
        <v>101</v>
      </c>
      <c r="Z12" s="125" t="s">
        <v>102</v>
      </c>
      <c r="AA12" s="125" t="s">
        <v>103</v>
      </c>
      <c r="AC12" s="125" t="s">
        <v>211</v>
      </c>
      <c r="AD12" s="125" t="s">
        <v>212</v>
      </c>
      <c r="AE12" s="125" t="s">
        <v>213</v>
      </c>
      <c r="AF12" s="125" t="s">
        <v>214</v>
      </c>
      <c r="AG12" s="45"/>
    </row>
    <row r="13" spans="1:33" ht="15" thickBot="1" x14ac:dyDescent="0.4">
      <c r="B13" s="88" t="s">
        <v>22</v>
      </c>
      <c r="C13" s="290">
        <f>+'PPC Cycle 4'!C5</f>
        <v>6940313.3300000001</v>
      </c>
      <c r="D13" s="290">
        <f ca="1">+'PTD Cycle 3'!C6+'PTD Cycle 4'!C6</f>
        <v>2734872.73</v>
      </c>
      <c r="E13" s="290">
        <f>+'EO Cycle 2'!G7+'EO Cycle 3'!G7+'EO Cycle 4'!G7</f>
        <v>1075623.3500000001</v>
      </c>
      <c r="F13" s="290">
        <f>+'OA Cycle 3'!F9</f>
        <v>0</v>
      </c>
      <c r="G13" s="120"/>
      <c r="H13" s="261"/>
      <c r="I13" s="262"/>
      <c r="J13" s="261"/>
      <c r="K13" s="261"/>
      <c r="L13" s="261"/>
      <c r="M13" s="261"/>
      <c r="O13" s="174">
        <v>0</v>
      </c>
      <c r="P13" s="174">
        <v>0</v>
      </c>
      <c r="Q13" s="212">
        <v>0</v>
      </c>
      <c r="R13" s="151"/>
      <c r="S13" s="291">
        <v>0</v>
      </c>
      <c r="T13" s="291">
        <v>0</v>
      </c>
      <c r="U13" s="293">
        <f>ROUND('EO Cycle 2'!G7/'Tariff Tables'!G4,5)</f>
        <v>0</v>
      </c>
      <c r="V13" s="291">
        <v>0</v>
      </c>
      <c r="W13" s="266"/>
      <c r="X13" s="291">
        <v>0</v>
      </c>
      <c r="Y13" s="291">
        <f ca="1">ROUND('PTD Cycle 3'!C6/'Tariff Tables'!G4,5)</f>
        <v>9.1E-4</v>
      </c>
      <c r="Z13" s="291">
        <f>ROUND('EO Cycle 3'!G7/'Tariff Tables'!G4,5)</f>
        <v>3.8999999999999999E-4</v>
      </c>
      <c r="AA13" s="291">
        <f>ROUND('OA Cycle 3'!E9/'Tariff Tables'!G4,5)</f>
        <v>0</v>
      </c>
      <c r="AB13" s="151"/>
      <c r="AC13" s="291">
        <f>ROUND('PPC Cycle 4'!C5/'Tariff Tables'!$G4,5)</f>
        <v>2.5100000000000001E-3</v>
      </c>
      <c r="AD13" s="291">
        <f ca="1">ROUND('PTD Cycle 4'!C6/'Tariff Tables'!G4,5)</f>
        <v>8.0000000000000007E-5</v>
      </c>
      <c r="AE13" s="291">
        <f>ROUND('EO Cycle 4'!G7/'Tariff Tables'!G4,5)</f>
        <v>0</v>
      </c>
      <c r="AF13" s="291"/>
      <c r="AG13" s="151">
        <f ca="1">SUM($O13:OFFSET(AG13,0,-1),$O22:OFFSET(AG22,0,-1))</f>
        <v>4.020000000000001E-3</v>
      </c>
    </row>
    <row r="14" spans="1:33" ht="15" thickBot="1" x14ac:dyDescent="0.4">
      <c r="B14" s="88" t="s">
        <v>94</v>
      </c>
      <c r="C14" s="290">
        <f>+'PPC Cycle 4'!C6</f>
        <v>923280.8600000001</v>
      </c>
      <c r="D14" s="290">
        <f ca="1">+'PTD Cycle 3'!C7+'PTD Cycle 4'!C7</f>
        <v>892972.37000000011</v>
      </c>
      <c r="E14" s="290">
        <f>+'EO Cycle 2'!G11+'EO Cycle 3'!G11+'EO Cycle 4'!G11</f>
        <v>245815.76</v>
      </c>
      <c r="F14" s="290">
        <f>+'OA Cycle 3'!F14</f>
        <v>0</v>
      </c>
      <c r="G14" s="120"/>
      <c r="H14" s="261"/>
      <c r="I14" s="262"/>
      <c r="J14" s="263"/>
      <c r="K14" s="261"/>
      <c r="L14" s="261"/>
      <c r="M14" s="261"/>
      <c r="O14" s="174">
        <v>0</v>
      </c>
      <c r="P14" s="174">
        <v>0</v>
      </c>
      <c r="Q14" s="212">
        <v>0</v>
      </c>
      <c r="R14" s="151"/>
      <c r="S14" s="291">
        <v>0</v>
      </c>
      <c r="T14" s="291">
        <v>0</v>
      </c>
      <c r="U14" s="293">
        <f>ROUND('EO Cycle 2'!G11/'Tariff Tables'!G5,5)</f>
        <v>0</v>
      </c>
      <c r="V14" s="291">
        <v>0</v>
      </c>
      <c r="W14" s="266"/>
      <c r="X14" s="291">
        <v>0</v>
      </c>
      <c r="Y14" s="291">
        <f ca="1">ROUND('PTD Cycle 3'!C7/'Tariff Tables'!G5,5)</f>
        <v>1.2899999999999999E-3</v>
      </c>
      <c r="Z14" s="291">
        <f>ROUND('EO Cycle 3'!G11/'Tariff Tables'!G5,5)</f>
        <v>3.8000000000000002E-4</v>
      </c>
      <c r="AA14" s="291">
        <f>ROUND('OA Cycle 3'!B14/'Tariff Tables'!G5,5)</f>
        <v>0</v>
      </c>
      <c r="AB14" s="151"/>
      <c r="AC14" s="291">
        <f>ROUND('PPC Cycle 4'!C6/'Tariff Tables'!$G5,5)</f>
        <v>1.41E-3</v>
      </c>
      <c r="AD14" s="291">
        <f ca="1">ROUND('PTD Cycle 4'!C7/'Tariff Tables'!G5,5)</f>
        <v>8.0000000000000007E-5</v>
      </c>
      <c r="AE14" s="291">
        <f>ROUND('EO Cycle 4'!G8/'Tariff Tables'!G5,5)</f>
        <v>0</v>
      </c>
      <c r="AF14" s="291"/>
      <c r="AG14" s="151">
        <f ca="1">SUM($O14:OFFSET(AG14,0,-1),$O23:OFFSET(AG23,0,-1))</f>
        <v>3.9500000000000013E-3</v>
      </c>
    </row>
    <row r="15" spans="1:33" s="45" customFormat="1" ht="15" thickBot="1" x14ac:dyDescent="0.4">
      <c r="B15" s="88" t="s">
        <v>95</v>
      </c>
      <c r="C15" s="290">
        <f>+'PPC Cycle 4'!C7</f>
        <v>3776979.3099999996</v>
      </c>
      <c r="D15" s="290">
        <f ca="1">+'PTD Cycle 3'!C8+'PTD Cycle 4'!C8</f>
        <v>1518788.5599999998</v>
      </c>
      <c r="E15" s="290">
        <f>+'EO Cycle 2'!G12+'EO Cycle 3'!G12+'EO Cycle 4'!G12</f>
        <v>399543.18</v>
      </c>
      <c r="F15" s="290">
        <f>+'OA Cycle 3'!F15</f>
        <v>0</v>
      </c>
      <c r="G15" s="120"/>
      <c r="H15" s="261"/>
      <c r="I15" s="262"/>
      <c r="J15" s="261"/>
      <c r="K15" s="261"/>
      <c r="L15" s="264"/>
      <c r="M15" s="261"/>
      <c r="O15" s="174">
        <v>0</v>
      </c>
      <c r="P15" s="174">
        <v>0</v>
      </c>
      <c r="Q15" s="212">
        <v>0</v>
      </c>
      <c r="R15" s="151"/>
      <c r="S15" s="291">
        <v>0</v>
      </c>
      <c r="T15" s="291">
        <v>0</v>
      </c>
      <c r="U15" s="293">
        <f>ROUND('EO Cycle 2'!G12/'Tariff Tables'!G6,5)</f>
        <v>0</v>
      </c>
      <c r="V15" s="291">
        <v>0</v>
      </c>
      <c r="W15" s="266"/>
      <c r="X15" s="291">
        <v>0</v>
      </c>
      <c r="Y15" s="291">
        <f ca="1">ROUND('PTD Cycle 3'!C8/'Tariff Tables'!G6,5)</f>
        <v>1.2999999999999999E-3</v>
      </c>
      <c r="Z15" s="291">
        <f>ROUND('EO Cycle 3'!G12/'Tariff Tables'!G6,5)</f>
        <v>3.6000000000000002E-4</v>
      </c>
      <c r="AA15" s="291">
        <f>ROUND('OA Cycle 3'!B15/'Tariff Tables'!G6,5)</f>
        <v>0</v>
      </c>
      <c r="AB15" s="151"/>
      <c r="AC15" s="291">
        <f>ROUND('PPC Cycle 4'!C7/'Tariff Tables'!$G6,5)</f>
        <v>3.3700000000000002E-3</v>
      </c>
      <c r="AD15" s="291">
        <f ca="1">ROUND('PTD Cycle 4'!C8/'Tariff Tables'!G6,5)</f>
        <v>6.0000000000000002E-5</v>
      </c>
      <c r="AE15" s="291">
        <f>ROUND('EO Cycle 4'!G9/'Tariff Tables'!G6,5)</f>
        <v>0</v>
      </c>
      <c r="AF15" s="291"/>
      <c r="AG15" s="151">
        <f ca="1">SUM($O15:OFFSET(AG15,0,-1),$O24:OFFSET(AG24,0,-1))</f>
        <v>6.0199999999999993E-3</v>
      </c>
    </row>
    <row r="16" spans="1:33" s="45" customFormat="1" ht="15" thickBot="1" x14ac:dyDescent="0.4">
      <c r="B16" s="88" t="s">
        <v>96</v>
      </c>
      <c r="C16" s="290">
        <f>+'PPC Cycle 4'!C8</f>
        <v>3150458.8899999997</v>
      </c>
      <c r="D16" s="290">
        <f ca="1">+'PTD Cycle 3'!C9+'PTD Cycle 4'!C9</f>
        <v>998702.79</v>
      </c>
      <c r="E16" s="290">
        <f>+'EO Cycle 2'!G13+'EO Cycle 3'!G13+'EO Cycle 4'!G13</f>
        <v>332527.82</v>
      </c>
      <c r="F16" s="290">
        <f>+'OA Cycle 3'!F16</f>
        <v>0</v>
      </c>
      <c r="G16" s="120"/>
      <c r="H16" s="16"/>
      <c r="I16" s="16"/>
      <c r="J16" s="149"/>
      <c r="K16" s="16"/>
      <c r="L16" s="16"/>
      <c r="M16" s="16"/>
      <c r="O16" s="174">
        <v>0</v>
      </c>
      <c r="P16" s="174">
        <v>0</v>
      </c>
      <c r="Q16" s="226">
        <v>0</v>
      </c>
      <c r="R16" s="227"/>
      <c r="S16" s="291">
        <v>0</v>
      </c>
      <c r="T16" s="291">
        <v>0</v>
      </c>
      <c r="U16" s="293">
        <f>ROUND('EO Cycle 2'!G13/'Tariff Tables'!G7,5)</f>
        <v>0</v>
      </c>
      <c r="V16" s="291">
        <v>0</v>
      </c>
      <c r="W16" s="266"/>
      <c r="X16" s="291">
        <v>0</v>
      </c>
      <c r="Y16" s="291">
        <f ca="1">ROUND('PTD Cycle 3'!C9/'Tariff Tables'!G7,5)</f>
        <v>5.1000000000000004E-4</v>
      </c>
      <c r="Z16" s="291">
        <f>ROUND('EO Cycle 3'!G13/'Tariff Tables'!G7,5)</f>
        <v>1.8000000000000001E-4</v>
      </c>
      <c r="AA16" s="291">
        <f>ROUND('OA Cycle 3'!B16/'Tariff Tables'!G7,5)</f>
        <v>0</v>
      </c>
      <c r="AB16" s="151"/>
      <c r="AC16" s="291">
        <f>ROUND('PPC Cycle 4'!C8/'Tariff Tables'!$G7,5)</f>
        <v>1.72E-3</v>
      </c>
      <c r="AD16" s="291">
        <f ca="1">ROUND('PTD Cycle 4'!C9/'Tariff Tables'!G7,5)</f>
        <v>3.0000000000000001E-5</v>
      </c>
      <c r="AE16" s="291">
        <f>ROUND('EO Cycle 4'!G10/'Tariff Tables'!G7,5)</f>
        <v>0</v>
      </c>
      <c r="AF16" s="291"/>
      <c r="AG16" s="151">
        <f ca="1">SUM($O16:OFFSET(AG16,0,-1),$O25:OFFSET(AG25,0,-1))</f>
        <v>2.2999999999999995E-3</v>
      </c>
    </row>
    <row r="17" spans="2:33" s="45" customFormat="1" ht="15" thickBot="1" x14ac:dyDescent="0.4">
      <c r="B17" s="88" t="s">
        <v>97</v>
      </c>
      <c r="C17" s="290">
        <f>+'PPC Cycle 4'!C9</f>
        <v>1040123.8700000001</v>
      </c>
      <c r="D17" s="290">
        <f ca="1">+'PTD Cycle 3'!C10+'PTD Cycle 4'!C10</f>
        <v>67008.179999999993</v>
      </c>
      <c r="E17" s="290">
        <f>+'EO Cycle 2'!G14+'EO Cycle 3'!G14+'EO Cycle 4'!G14</f>
        <v>64765.77</v>
      </c>
      <c r="F17" s="290">
        <f>+'OA Cycle 3'!F17</f>
        <v>0</v>
      </c>
      <c r="G17" s="120"/>
      <c r="J17" s="149"/>
      <c r="K17" s="16"/>
      <c r="O17" s="174">
        <v>0</v>
      </c>
      <c r="P17" s="174">
        <v>0</v>
      </c>
      <c r="Q17" s="226">
        <v>0</v>
      </c>
      <c r="R17" s="227"/>
      <c r="S17" s="291">
        <v>0</v>
      </c>
      <c r="T17" s="291">
        <v>0</v>
      </c>
      <c r="U17" s="292">
        <f>ROUND('EO Cycle 2'!G14/'Tariff Tables'!G8,5)</f>
        <v>0</v>
      </c>
      <c r="V17" s="291">
        <v>0</v>
      </c>
      <c r="W17" s="266"/>
      <c r="X17" s="291">
        <v>0</v>
      </c>
      <c r="Y17" s="291">
        <f ca="1">ROUND('PTD Cycle 3'!C10/'Tariff Tables'!G8,5)</f>
        <v>1.3999999999999999E-4</v>
      </c>
      <c r="Z17" s="291">
        <f>ROUND('EO Cycle 3'!G14/'Tariff Tables'!G8,5)</f>
        <v>1.4999999999999999E-4</v>
      </c>
      <c r="AA17" s="291">
        <f>ROUND('OA Cycle 3'!B17/'Tariff Tables'!G8,5)</f>
        <v>0</v>
      </c>
      <c r="AB17" s="151"/>
      <c r="AC17" s="307">
        <f>ROUND('PPC Cycle 4'!C9/'Tariff Tables'!$G8,5)-0.00001</f>
        <v>2.3999999999999998E-3</v>
      </c>
      <c r="AD17" s="291">
        <f ca="1">ROUND('PTD Cycle 4'!C10/'Tariff Tables'!G8,5)</f>
        <v>1.0000000000000001E-5</v>
      </c>
      <c r="AE17" s="291">
        <f>ROUND('EO Cycle 4'!G11/'Tariff Tables'!G8,5)</f>
        <v>0</v>
      </c>
      <c r="AF17" s="291"/>
      <c r="AG17" s="151">
        <f ca="1">SUM($O17:OFFSET(AG17,0,-1),$O26:OFFSET(AG26,0,-1))</f>
        <v>2.1099999999999999E-3</v>
      </c>
    </row>
    <row r="18" spans="2:33" x14ac:dyDescent="0.35">
      <c r="C18" s="121"/>
      <c r="D18" s="121"/>
      <c r="E18" s="121"/>
      <c r="F18" s="121"/>
      <c r="G18" s="120"/>
      <c r="J18" s="16"/>
      <c r="K18" s="16"/>
      <c r="O18" s="175"/>
      <c r="P18" s="175"/>
      <c r="Q18" s="229"/>
      <c r="R18" s="227"/>
      <c r="S18" s="227"/>
      <c r="T18" s="227"/>
      <c r="U18" s="227"/>
      <c r="V18" s="227"/>
      <c r="W18" s="266"/>
      <c r="X18" s="227"/>
      <c r="Y18" s="227"/>
      <c r="Z18" s="227"/>
      <c r="AA18" s="227"/>
      <c r="AC18" s="227"/>
      <c r="AD18" s="227"/>
      <c r="AE18" s="227"/>
      <c r="AF18" s="227"/>
      <c r="AG18" s="45"/>
    </row>
    <row r="19" spans="2:33" x14ac:dyDescent="0.35">
      <c r="C19" s="121"/>
      <c r="D19" s="121"/>
      <c r="E19" s="121"/>
      <c r="F19" s="121"/>
      <c r="G19" s="120"/>
      <c r="J19" s="16"/>
      <c r="K19" s="16"/>
      <c r="O19" s="175"/>
      <c r="P19" s="175"/>
      <c r="Q19" s="229"/>
      <c r="R19" s="227"/>
      <c r="S19" s="227"/>
      <c r="T19" s="227"/>
      <c r="U19" s="227"/>
      <c r="V19" s="227"/>
      <c r="W19" s="266"/>
      <c r="X19" s="227"/>
      <c r="Y19" s="227"/>
      <c r="Z19" s="227"/>
      <c r="AA19" s="227"/>
      <c r="AC19" s="227"/>
      <c r="AD19" s="227"/>
      <c r="AE19" s="227"/>
      <c r="AF19" s="227"/>
      <c r="AG19" s="45"/>
    </row>
    <row r="20" spans="2:33" ht="15" thickBot="1" x14ac:dyDescent="0.4">
      <c r="C20" s="121"/>
      <c r="D20" s="121"/>
      <c r="E20" s="121"/>
      <c r="F20" s="121"/>
      <c r="G20" s="120"/>
      <c r="J20" s="16"/>
      <c r="K20" s="16"/>
      <c r="O20" s="175"/>
      <c r="P20" s="175"/>
      <c r="Q20" s="229"/>
      <c r="R20" s="227"/>
      <c r="S20" s="227"/>
      <c r="T20" s="227"/>
      <c r="U20" s="227"/>
      <c r="V20" s="227"/>
      <c r="W20" s="266"/>
      <c r="X20" s="227"/>
      <c r="Y20" s="227"/>
      <c r="Z20" s="227"/>
      <c r="AA20" s="227"/>
      <c r="AC20" s="227"/>
      <c r="AD20" s="227"/>
      <c r="AE20" s="227"/>
      <c r="AF20" s="227"/>
      <c r="AG20" s="45"/>
    </row>
    <row r="21" spans="2:33" ht="15" thickBot="1" x14ac:dyDescent="0.4">
      <c r="B21" s="85" t="s">
        <v>5</v>
      </c>
      <c r="C21" s="125" t="s">
        <v>2</v>
      </c>
      <c r="D21" s="125" t="s">
        <v>7</v>
      </c>
      <c r="E21" s="125" t="s">
        <v>53</v>
      </c>
      <c r="F21" s="125" t="s">
        <v>16</v>
      </c>
      <c r="G21" s="120"/>
      <c r="O21" s="176" t="s">
        <v>69</v>
      </c>
      <c r="P21" s="176" t="s">
        <v>70</v>
      </c>
      <c r="Q21" s="230" t="s">
        <v>74</v>
      </c>
      <c r="R21" s="227"/>
      <c r="S21" s="231" t="s">
        <v>71</v>
      </c>
      <c r="T21" s="231" t="s">
        <v>72</v>
      </c>
      <c r="U21" s="230" t="s">
        <v>93</v>
      </c>
      <c r="V21" s="231" t="s">
        <v>83</v>
      </c>
      <c r="W21" s="266"/>
      <c r="X21" s="231" t="s">
        <v>104</v>
      </c>
      <c r="Y21" s="231" t="s">
        <v>105</v>
      </c>
      <c r="Z21" s="230" t="s">
        <v>106</v>
      </c>
      <c r="AA21" s="231" t="s">
        <v>107</v>
      </c>
      <c r="AC21" s="231" t="s">
        <v>216</v>
      </c>
      <c r="AD21" s="231" t="s">
        <v>217</v>
      </c>
      <c r="AE21" s="230" t="s">
        <v>218</v>
      </c>
      <c r="AF21" s="231" t="s">
        <v>219</v>
      </c>
      <c r="AG21" s="45"/>
    </row>
    <row r="22" spans="2:33" ht="15" thickBot="1" x14ac:dyDescent="0.4">
      <c r="B22" s="88" t="s">
        <v>22</v>
      </c>
      <c r="C22" s="290">
        <f>'PCR Cycle 4'!K4+'PCR Cycle 3'!K4</f>
        <v>125415.60999999987</v>
      </c>
      <c r="D22" s="290">
        <f>'TDR Cycle 4'!K4+'TDR Cycle 3'!K4+'TDR Cycle 2'!K4</f>
        <v>-154121.68710896285</v>
      </c>
      <c r="E22" s="290">
        <f>+'EOR Cycle 2'!J4+'EOR Cycle 3'!J4</f>
        <v>431381.5337847764</v>
      </c>
      <c r="F22" s="290">
        <f>+'OAR Cycle 3'!I4</f>
        <v>-23636.931536707925</v>
      </c>
      <c r="G22" s="120"/>
      <c r="O22" s="174">
        <v>0</v>
      </c>
      <c r="P22" s="174">
        <v>0</v>
      </c>
      <c r="Q22" s="228">
        <v>0</v>
      </c>
      <c r="R22" s="227"/>
      <c r="S22" s="291">
        <v>0</v>
      </c>
      <c r="T22" s="291">
        <f>ROUND(+'TDR Cycle 2'!K4/'Tariff Tables'!G4,5)</f>
        <v>1.0000000000000001E-5</v>
      </c>
      <c r="U22" s="291">
        <f>ROUND('EOR Cycle 2'!J7/'Tariff Tables'!G4,5)</f>
        <v>0</v>
      </c>
      <c r="V22" s="291">
        <v>0</v>
      </c>
      <c r="W22" s="266"/>
      <c r="X22" s="291">
        <f>ROUND('PCR Cycle 3'!K4/'Tariff Tables'!G4,5)</f>
        <v>5.6999999999999998E-4</v>
      </c>
      <c r="Y22" s="291">
        <f>ROUND('TDR Cycle 3'!K4/'Tariff Tables'!G4,5)</f>
        <v>-3.0000000000000001E-5</v>
      </c>
      <c r="Z22" s="307">
        <f>ROUND(+'EOR Cycle 3'!J4/'Tariff Tables'!G4,5)-0.00001</f>
        <v>1.5000000000000001E-4</v>
      </c>
      <c r="AA22" s="291">
        <f>ROUND(('OAR Cycle 3'!I4)/'Tariff Tables'!G4,5)</f>
        <v>-1.0000000000000001E-5</v>
      </c>
      <c r="AC22" s="291">
        <f>ROUND('PCR Cycle 4'!K4/'Tariff Tables'!$G4,5)</f>
        <v>-5.1999999999999995E-4</v>
      </c>
      <c r="AD22" s="291">
        <f>ROUND('TDR Cycle 4'!K4/'Tariff Tables'!$G4,5)</f>
        <v>-4.0000000000000003E-5</v>
      </c>
      <c r="AE22" s="291"/>
      <c r="AF22" s="291"/>
      <c r="AG22" s="45"/>
    </row>
    <row r="23" spans="2:33" ht="15" thickBot="1" x14ac:dyDescent="0.4">
      <c r="B23" s="88" t="s">
        <v>94</v>
      </c>
      <c r="C23" s="290">
        <f>'PCR Cycle 4'!K5+'PCR Cycle 3'!K5</f>
        <v>397009.257839798</v>
      </c>
      <c r="D23" s="339">
        <f>'TDR Cycle 4'!K5+'TDR Cycle 3'!K5+'TDR Cycle 2'!K8</f>
        <v>73698.93162000009</v>
      </c>
      <c r="E23" s="339">
        <f>+'EOR Cycle 2'!J8+'EOR Cycle 3'!J5</f>
        <v>51248.347859999994</v>
      </c>
      <c r="F23" s="290">
        <f>+'OAR Cycle 3'!I5</f>
        <v>-344.39000000000061</v>
      </c>
      <c r="G23" s="120"/>
      <c r="O23" s="174">
        <v>0</v>
      </c>
      <c r="P23" s="174">
        <v>0</v>
      </c>
      <c r="Q23" s="228">
        <v>0</v>
      </c>
      <c r="R23" s="227"/>
      <c r="S23" s="291">
        <v>0</v>
      </c>
      <c r="T23" s="291">
        <f>ROUND(+'TDR Cycle 2'!K8/'Tariff Tables'!G5,5)</f>
        <v>1.0000000000000001E-5</v>
      </c>
      <c r="U23" s="291">
        <f>ROUND('EOR Cycle 2'!J8/'Tariff Tables'!G5,5)</f>
        <v>0</v>
      </c>
      <c r="V23" s="291">
        <v>0</v>
      </c>
      <c r="W23" s="266"/>
      <c r="X23" s="291">
        <f>ROUND('PCR Cycle 3'!K5/'Tariff Tables'!G5,5)</f>
        <v>7.2000000000000005E-4</v>
      </c>
      <c r="Y23" s="291">
        <f>ROUND('TDR Cycle 3'!K5/'Tariff Tables'!G5,5)</f>
        <v>1.1E-4</v>
      </c>
      <c r="Z23" s="307">
        <f>ROUND(+'EOR Cycle 3'!J5/'Tariff Tables'!G5,5)-0.00001</f>
        <v>7.0000000000000007E-5</v>
      </c>
      <c r="AA23" s="291">
        <f>ROUND(('OAR Cycle 3'!I5-'OAR Cycle 3'!G5)/'Tariff Tables'!G5,5)</f>
        <v>0</v>
      </c>
      <c r="AC23" s="291">
        <f>ROUND('PCR Cycle 4'!K5/'Tariff Tables'!$G5,5)</f>
        <v>-1.1E-4</v>
      </c>
      <c r="AD23" s="291">
        <f>ROUND('TDR Cycle 4'!K5/'Tariff Tables'!$G5,5)</f>
        <v>-1.0000000000000001E-5</v>
      </c>
      <c r="AE23" s="291"/>
      <c r="AF23" s="291"/>
      <c r="AG23" s="45"/>
    </row>
    <row r="24" spans="2:33" s="45" customFormat="1" ht="15" thickBot="1" x14ac:dyDescent="0.4">
      <c r="B24" s="88" t="s">
        <v>95</v>
      </c>
      <c r="C24" s="290">
        <f>'PCR Cycle 4'!K6+'PCR Cycle 3'!K6</f>
        <v>768796.26</v>
      </c>
      <c r="D24" s="339">
        <f>'TDR Cycle 4'!K6+'TDR Cycle 3'!K6+'TDR Cycle 2'!K9</f>
        <v>152127.54723999984</v>
      </c>
      <c r="E24" s="339">
        <f>+'EOR Cycle 2'!J9+'EOR Cycle 3'!J6</f>
        <v>128104.13563999996</v>
      </c>
      <c r="F24" s="290">
        <f>+'OAR Cycle 3'!I6</f>
        <v>-263.91000000000054</v>
      </c>
      <c r="G24" s="120"/>
      <c r="O24" s="174">
        <v>0</v>
      </c>
      <c r="P24" s="174">
        <v>0</v>
      </c>
      <c r="Q24" s="228">
        <v>0</v>
      </c>
      <c r="R24" s="227"/>
      <c r="S24" s="291">
        <v>0</v>
      </c>
      <c r="T24" s="291">
        <f>ROUND(+'TDR Cycle 2'!K9/'Tariff Tables'!G6,5)</f>
        <v>1.0000000000000001E-5</v>
      </c>
      <c r="U24" s="291">
        <f>ROUND('EOR Cycle 2'!J9/'Tariff Tables'!G6,5)</f>
        <v>0</v>
      </c>
      <c r="V24" s="291">
        <v>0</v>
      </c>
      <c r="W24" s="266"/>
      <c r="X24" s="291">
        <f>ROUND('PCR Cycle 3'!K6/'Tariff Tables'!G6,5)</f>
        <v>9.3999999999999997E-4</v>
      </c>
      <c r="Y24" s="291">
        <f>ROUND('TDR Cycle 3'!K6/'Tariff Tables'!G6,5)</f>
        <v>1.2999999999999999E-4</v>
      </c>
      <c r="Z24" s="291">
        <f>ROUND(+'EOR Cycle 3'!J6/'Tariff Tables'!G6,5)</f>
        <v>1.1E-4</v>
      </c>
      <c r="AA24" s="291">
        <f>ROUND(('OAR Cycle 3'!I6-'OAR Cycle 3'!G6)/'Tariff Tables'!G6,5)</f>
        <v>0</v>
      </c>
      <c r="AC24" s="291">
        <f>ROUND('PCR Cycle 4'!K6/'Tariff Tables'!$G6,5)</f>
        <v>-2.5000000000000001E-4</v>
      </c>
      <c r="AD24" s="291">
        <f>ROUND('TDR Cycle 4'!K6/'Tariff Tables'!$G6,5)</f>
        <v>-1.0000000000000001E-5</v>
      </c>
      <c r="AE24" s="291"/>
      <c r="AF24" s="291"/>
    </row>
    <row r="25" spans="2:33" s="45" customFormat="1" ht="15" thickBot="1" x14ac:dyDescent="0.4">
      <c r="B25" s="88" t="s">
        <v>96</v>
      </c>
      <c r="C25" s="290">
        <f>'PCR Cycle 4'!K7+'PCR Cycle 3'!K7</f>
        <v>-481802.24999999953</v>
      </c>
      <c r="D25" s="339">
        <f>'TDR Cycle 4'!K7+'TDR Cycle 3'!K7+'TDR Cycle 2'!K10</f>
        <v>-18735.018229999834</v>
      </c>
      <c r="E25" s="339">
        <f>+'EOR Cycle 2'!J10+'EOR Cycle 3'!J7</f>
        <v>223807.12682000006</v>
      </c>
      <c r="F25" s="290">
        <f>+'OAR Cycle 3'!I7</f>
        <v>1010.7600000000002</v>
      </c>
      <c r="G25" s="120"/>
      <c r="O25" s="174">
        <v>0</v>
      </c>
      <c r="P25" s="174">
        <v>0</v>
      </c>
      <c r="Q25" s="228">
        <v>0</v>
      </c>
      <c r="R25" s="227"/>
      <c r="S25" s="291">
        <v>0</v>
      </c>
      <c r="T25" s="291">
        <f>ROUND(+'TDR Cycle 2'!K10/'Tariff Tables'!G7,5)</f>
        <v>1.0000000000000001E-5</v>
      </c>
      <c r="U25" s="291">
        <f>ROUND('EOR Cycle 2'!J10/'Tariff Tables'!G7,5)</f>
        <v>0</v>
      </c>
      <c r="V25" s="291">
        <v>0</v>
      </c>
      <c r="W25" s="266"/>
      <c r="X25" s="291">
        <f>ROUND('PCR Cycle 3'!K7/'Tariff Tables'!G7,5)</f>
        <v>-8.0000000000000007E-5</v>
      </c>
      <c r="Y25" s="291">
        <f>ROUND('TDR Cycle 3'!K7/'Tariff Tables'!G7,5)</f>
        <v>-1.0000000000000001E-5</v>
      </c>
      <c r="Z25" s="291">
        <f>ROUND(+'EOR Cycle 3'!J7/'Tariff Tables'!G7,5)</f>
        <v>1.2E-4</v>
      </c>
      <c r="AA25" s="291">
        <f>ROUND(('OAR Cycle 3'!I7-'OAR Cycle 3'!G7)/'Tariff Tables'!G7,5)</f>
        <v>0</v>
      </c>
      <c r="AC25" s="291">
        <f>ROUND('PCR Cycle 4'!K7/'Tariff Tables'!$G7,5)</f>
        <v>-1.8000000000000001E-4</v>
      </c>
      <c r="AD25" s="307">
        <f>ROUND('TDR Cycle 4'!K7/'Tariff Tables'!$G7,5)+0.00001</f>
        <v>0</v>
      </c>
      <c r="AE25" s="291"/>
      <c r="AF25" s="291"/>
    </row>
    <row r="26" spans="2:33" s="45" customFormat="1" ht="15" thickBot="1" x14ac:dyDescent="0.4">
      <c r="B26" s="88" t="s">
        <v>97</v>
      </c>
      <c r="C26" s="290">
        <f>'PCR Cycle 4'!K8+'PCR Cycle 3'!K8</f>
        <v>-339478.71783979662</v>
      </c>
      <c r="D26" s="339">
        <f>'TDR Cycle 4'!K8+'TDR Cycle 3'!K8+'TDR Cycle 2'!K11</f>
        <v>232.76835000001074</v>
      </c>
      <c r="E26" s="339">
        <f>+'EOR Cycle 2'!J11+'EOR Cycle 3'!J8</f>
        <v>79651.873690000008</v>
      </c>
      <c r="F26" s="290">
        <f>+'OAR Cycle 3'!I8</f>
        <v>-402.44000000000028</v>
      </c>
      <c r="G26" s="120"/>
      <c r="H26" s="120"/>
      <c r="O26" s="174">
        <v>0</v>
      </c>
      <c r="P26" s="174">
        <v>0</v>
      </c>
      <c r="Q26" s="228">
        <v>0</v>
      </c>
      <c r="R26" s="227"/>
      <c r="S26" s="291">
        <v>0</v>
      </c>
      <c r="T26" s="291">
        <f>ROUND(+'TDR Cycle 2'!K11/'Tariff Tables'!G8,5)</f>
        <v>1.0000000000000001E-5</v>
      </c>
      <c r="U26" s="291">
        <f>ROUND('EOR Cycle 2'!J11/'Tariff Tables'!G8,5)</f>
        <v>0</v>
      </c>
      <c r="V26" s="291">
        <v>0</v>
      </c>
      <c r="W26" s="266"/>
      <c r="X26" s="291">
        <f>ROUND('PCR Cycle 3'!K8/'Tariff Tables'!G8,5)</f>
        <v>-6.4999999999999997E-4</v>
      </c>
      <c r="Y26" s="291">
        <f>ROUND('TDR Cycle 3'!K8/'Tariff Tables'!G8,5)</f>
        <v>0</v>
      </c>
      <c r="Z26" s="291">
        <f>ROUND(+'EOR Cycle 3'!J8/'Tariff Tables'!G8,5)</f>
        <v>1.8000000000000001E-4</v>
      </c>
      <c r="AA26" s="291">
        <f>ROUND(('OAR Cycle 3'!I8-'OAR Cycle 3'!G8)/'Tariff Tables'!G8,5)</f>
        <v>0</v>
      </c>
      <c r="AC26" s="291">
        <f>ROUND('PCR Cycle 4'!K8/'Tariff Tables'!$G8,5)</f>
        <v>-1.2999999999999999E-4</v>
      </c>
      <c r="AD26" s="307">
        <f>ROUND('TDR Cycle 4'!K8/'Tariff Tables'!$G8,5)+0.00001</f>
        <v>0</v>
      </c>
      <c r="AE26" s="291"/>
      <c r="AF26" s="291"/>
    </row>
    <row r="27" spans="2:33" x14ac:dyDescent="0.35">
      <c r="F27" s="120"/>
      <c r="O27" s="45"/>
      <c r="P27" s="45"/>
      <c r="R27" s="45"/>
      <c r="S27" s="45"/>
      <c r="T27" s="45"/>
    </row>
    <row r="28" spans="2:33" x14ac:dyDescent="0.35">
      <c r="B28" s="91" t="s">
        <v>33</v>
      </c>
      <c r="R28" t="s">
        <v>136</v>
      </c>
      <c r="S28" s="150">
        <f>+J4-O13-O22-S13-S22-X13-X22-AC13-AC22</f>
        <v>0</v>
      </c>
      <c r="T28" s="150">
        <f t="shared" ref="T28:V28" ca="1" si="4">+K4-P13-P22-T13-T22-Y13-Y22-AD13-AD22</f>
        <v>0</v>
      </c>
      <c r="U28" s="150">
        <f t="shared" si="4"/>
        <v>0</v>
      </c>
      <c r="V28" s="150">
        <f t="shared" si="4"/>
        <v>0</v>
      </c>
    </row>
    <row r="29" spans="2:33" x14ac:dyDescent="0.35">
      <c r="B29" s="92" t="s">
        <v>34</v>
      </c>
      <c r="R29" t="s">
        <v>137</v>
      </c>
      <c r="S29" s="150">
        <f t="shared" ref="S29:V29" si="5">+J5-O14-O23-S14-S23-X14-X23-AC14-AC23</f>
        <v>0</v>
      </c>
      <c r="T29" s="150">
        <f t="shared" ca="1" si="5"/>
        <v>2.8799120206646212E-20</v>
      </c>
      <c r="U29" s="150">
        <f t="shared" si="5"/>
        <v>-4.0657581468206416E-20</v>
      </c>
      <c r="V29" s="150">
        <f t="shared" si="5"/>
        <v>0</v>
      </c>
    </row>
    <row r="30" spans="2:33" x14ac:dyDescent="0.35">
      <c r="B30" s="92" t="s">
        <v>37</v>
      </c>
      <c r="R30" t="s">
        <v>138</v>
      </c>
      <c r="S30" s="150">
        <f t="shared" ref="S30:V30" si="6">+J6-O15-O24-S15-S24-X15-X24-AC15-AC24</f>
        <v>0</v>
      </c>
      <c r="T30" s="150">
        <f t="shared" ca="1" si="6"/>
        <v>4.912791094074942E-20</v>
      </c>
      <c r="U30" s="150">
        <f t="shared" si="6"/>
        <v>-4.0657581468206416E-20</v>
      </c>
      <c r="V30" s="150">
        <f t="shared" si="6"/>
        <v>0</v>
      </c>
    </row>
    <row r="31" spans="2:33" x14ac:dyDescent="0.35">
      <c r="B31" s="92" t="s">
        <v>129</v>
      </c>
      <c r="R31" t="s">
        <v>139</v>
      </c>
      <c r="S31" s="150">
        <f t="shared" ref="S31:V31" si="7">+J7-O16-O25-S16-S25-X16-X25-AC16-AC25</f>
        <v>0</v>
      </c>
      <c r="T31" s="150">
        <f t="shared" ca="1" si="7"/>
        <v>-5.7598240413292423E-20</v>
      </c>
      <c r="U31" s="150">
        <f t="shared" si="7"/>
        <v>-4.0657581468206416E-20</v>
      </c>
      <c r="V31" s="150">
        <f t="shared" si="7"/>
        <v>0</v>
      </c>
    </row>
    <row r="32" spans="2:33" x14ac:dyDescent="0.35">
      <c r="B32" s="92" t="s">
        <v>35</v>
      </c>
      <c r="R32" t="s">
        <v>140</v>
      </c>
      <c r="S32" s="150">
        <f t="shared" ref="S32:V32" si="8">+J8-O17-O26-S17-S26-X17-X26-AC17-AC26</f>
        <v>0</v>
      </c>
      <c r="T32" s="150">
        <f t="shared" ca="1" si="8"/>
        <v>2.541098841762901E-20</v>
      </c>
      <c r="U32" s="150">
        <f t="shared" si="8"/>
        <v>0</v>
      </c>
      <c r="V32" s="150">
        <f t="shared" si="8"/>
        <v>0</v>
      </c>
    </row>
    <row r="33" spans="2:20" x14ac:dyDescent="0.35">
      <c r="B33" s="92" t="s">
        <v>134</v>
      </c>
      <c r="O33" s="236"/>
      <c r="P33" s="236"/>
      <c r="Q33" s="236"/>
      <c r="R33" s="144"/>
      <c r="S33" s="45"/>
      <c r="T33" s="45"/>
    </row>
    <row r="34" spans="2:20" x14ac:dyDescent="0.35">
      <c r="B34" s="92" t="s">
        <v>128</v>
      </c>
      <c r="O34" s="144"/>
      <c r="P34" s="144"/>
      <c r="Q34" s="237"/>
      <c r="R34" s="144"/>
      <c r="S34" s="45"/>
      <c r="T34" s="45"/>
    </row>
    <row r="35" spans="2:20" x14ac:dyDescent="0.35">
      <c r="B35" s="92" t="s">
        <v>42</v>
      </c>
      <c r="O35" s="238"/>
      <c r="P35" s="144"/>
      <c r="Q35" s="237"/>
      <c r="R35" s="144"/>
      <c r="S35" s="45"/>
      <c r="T35" s="45"/>
    </row>
    <row r="36" spans="2:20" x14ac:dyDescent="0.35">
      <c r="B36" s="92" t="s">
        <v>133</v>
      </c>
      <c r="O36" s="239"/>
      <c r="P36" s="240"/>
      <c r="Q36" s="237"/>
      <c r="R36" s="237"/>
      <c r="S36" s="45"/>
      <c r="T36" s="45"/>
    </row>
    <row r="37" spans="2:20" x14ac:dyDescent="0.35">
      <c r="B37" s="92" t="s">
        <v>130</v>
      </c>
      <c r="O37" s="239"/>
      <c r="P37" s="240"/>
      <c r="Q37" s="237"/>
      <c r="R37" s="237"/>
      <c r="S37" s="45"/>
      <c r="T37" s="45"/>
    </row>
    <row r="38" spans="2:20" x14ac:dyDescent="0.35">
      <c r="B38" s="92" t="s">
        <v>131</v>
      </c>
      <c r="O38" s="239"/>
      <c r="P38" s="240"/>
      <c r="Q38" s="237"/>
      <c r="R38" s="237"/>
      <c r="S38" s="45"/>
      <c r="T38" s="45"/>
    </row>
    <row r="39" spans="2:20" x14ac:dyDescent="0.35">
      <c r="B39" s="92" t="s">
        <v>135</v>
      </c>
      <c r="O39" s="239"/>
      <c r="P39" s="240"/>
      <c r="Q39" s="237"/>
      <c r="R39" s="237"/>
      <c r="S39" s="45"/>
      <c r="T39" s="45"/>
    </row>
    <row r="40" spans="2:20" x14ac:dyDescent="0.35">
      <c r="B40" s="92" t="s">
        <v>36</v>
      </c>
      <c r="O40" s="239"/>
      <c r="P40" s="240"/>
      <c r="Q40" s="237"/>
      <c r="R40" s="237"/>
      <c r="S40" s="45"/>
      <c r="T40" s="45"/>
    </row>
    <row r="41" spans="2:20" x14ac:dyDescent="0.35">
      <c r="B41" s="92" t="s">
        <v>132</v>
      </c>
      <c r="O41" s="239"/>
      <c r="P41" s="240"/>
      <c r="Q41" s="237"/>
      <c r="R41" s="237"/>
      <c r="S41" s="45"/>
      <c r="T41" s="45"/>
    </row>
    <row r="42" spans="2:20" x14ac:dyDescent="0.35">
      <c r="B42" s="92" t="s">
        <v>172</v>
      </c>
      <c r="O42" s="241"/>
      <c r="P42" s="240"/>
      <c r="Q42" s="237"/>
      <c r="R42" s="237"/>
      <c r="S42" s="45"/>
      <c r="T42" s="45"/>
    </row>
    <row r="43" spans="2:20" x14ac:dyDescent="0.35">
      <c r="B43" s="92" t="s">
        <v>173</v>
      </c>
      <c r="O43" s="144"/>
      <c r="P43" s="242"/>
      <c r="Q43" s="237"/>
      <c r="R43" s="237"/>
      <c r="S43" s="45"/>
      <c r="T43" s="45"/>
    </row>
    <row r="44" spans="2:20" x14ac:dyDescent="0.35">
      <c r="O44" s="238"/>
      <c r="P44" s="144"/>
      <c r="Q44" s="237"/>
      <c r="R44" s="237"/>
      <c r="S44" s="45"/>
      <c r="T44" s="45"/>
    </row>
    <row r="45" spans="2:20" x14ac:dyDescent="0.35">
      <c r="O45" s="239"/>
      <c r="P45" s="240"/>
      <c r="Q45" s="237"/>
      <c r="R45" s="237"/>
      <c r="S45" s="45"/>
      <c r="T45" s="45"/>
    </row>
    <row r="46" spans="2:20" x14ac:dyDescent="0.35">
      <c r="B46" s="52" t="s">
        <v>9</v>
      </c>
      <c r="C46" s="45"/>
      <c r="D46" s="45"/>
      <c r="E46" s="45"/>
      <c r="F46" s="45"/>
      <c r="G46" s="45"/>
      <c r="O46" s="239"/>
      <c r="P46" s="240"/>
      <c r="Q46" s="237"/>
      <c r="R46" s="237"/>
      <c r="S46" s="45"/>
      <c r="T46" s="45"/>
    </row>
    <row r="47" spans="2:20" ht="30" customHeight="1" x14ac:dyDescent="0.35">
      <c r="B47" s="348" t="s">
        <v>306</v>
      </c>
      <c r="C47" s="348"/>
      <c r="D47" s="348"/>
      <c r="E47" s="348"/>
      <c r="F47" s="348"/>
      <c r="G47" s="348"/>
      <c r="O47" s="239"/>
      <c r="P47" s="240"/>
      <c r="Q47" s="237"/>
      <c r="R47" s="237"/>
      <c r="S47" s="45"/>
      <c r="T47" s="45"/>
    </row>
    <row r="48" spans="2:20" x14ac:dyDescent="0.35">
      <c r="O48" s="239"/>
      <c r="P48" s="240"/>
      <c r="Q48" s="237"/>
      <c r="R48" s="237"/>
      <c r="S48" s="45"/>
      <c r="T48" s="45"/>
    </row>
    <row r="49" spans="15:20" x14ac:dyDescent="0.35">
      <c r="O49" s="239"/>
      <c r="P49" s="240"/>
      <c r="Q49" s="237"/>
      <c r="R49" s="237"/>
      <c r="S49" s="45"/>
      <c r="T49" s="45"/>
    </row>
    <row r="50" spans="15:20" x14ac:dyDescent="0.35">
      <c r="O50" s="239"/>
      <c r="P50" s="240"/>
      <c r="Q50" s="237"/>
      <c r="R50" s="237"/>
      <c r="S50" s="45"/>
      <c r="T50" s="45"/>
    </row>
    <row r="51" spans="15:20" x14ac:dyDescent="0.35">
      <c r="O51" s="241"/>
      <c r="P51" s="240"/>
      <c r="Q51" s="237"/>
      <c r="R51" s="237"/>
    </row>
    <row r="52" spans="15:20" x14ac:dyDescent="0.35">
      <c r="O52" s="144"/>
      <c r="P52" s="242"/>
      <c r="Q52" s="237"/>
      <c r="R52" s="237"/>
    </row>
    <row r="53" spans="15:20" x14ac:dyDescent="0.35">
      <c r="O53" s="144"/>
      <c r="P53" s="144"/>
      <c r="Q53" s="237"/>
      <c r="R53" s="237"/>
    </row>
    <row r="54" spans="15:20" x14ac:dyDescent="0.35">
      <c r="O54" s="144"/>
      <c r="P54" s="144"/>
      <c r="Q54" s="144"/>
      <c r="R54" s="144"/>
    </row>
    <row r="55" spans="15:20" x14ac:dyDescent="0.35">
      <c r="O55" s="144"/>
      <c r="P55" s="144"/>
      <c r="Q55" s="144"/>
      <c r="R55" s="144"/>
    </row>
    <row r="56" spans="15:20" x14ac:dyDescent="0.35">
      <c r="O56" s="144"/>
      <c r="P56" s="144"/>
      <c r="Q56" s="144"/>
      <c r="R56" s="144"/>
    </row>
    <row r="57" spans="15:20" x14ac:dyDescent="0.35">
      <c r="O57" s="144"/>
      <c r="P57" s="144"/>
      <c r="Q57" s="144"/>
      <c r="R57" s="144"/>
    </row>
  </sheetData>
  <mergeCells count="1">
    <mergeCell ref="B47:G47"/>
  </mergeCells>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codeName="Sheet6">
    <tabColor rgb="FF00B0F0"/>
  </sheetPr>
  <dimension ref="A3:R42"/>
  <sheetViews>
    <sheetView workbookViewId="0"/>
  </sheetViews>
  <sheetFormatPr defaultRowHeight="14.5" x14ac:dyDescent="0.35"/>
  <cols>
    <col min="1" max="1" width="23.1796875" bestFit="1" customWidth="1"/>
    <col min="2" max="4" width="11.26953125" bestFit="1" customWidth="1"/>
    <col min="5" max="5" width="11" customWidth="1"/>
    <col min="6" max="6" width="11.26953125" bestFit="1" customWidth="1"/>
    <col min="7" max="7" width="9" bestFit="1" customWidth="1"/>
  </cols>
  <sheetData>
    <row r="3" spans="1:6" ht="15" thickBot="1" x14ac:dyDescent="0.4">
      <c r="A3" s="3" t="s">
        <v>112</v>
      </c>
    </row>
    <row r="4" spans="1:6" ht="27.5" thickBot="1" x14ac:dyDescent="0.4">
      <c r="A4" s="85" t="s">
        <v>119</v>
      </c>
      <c r="B4" s="124" t="s">
        <v>118</v>
      </c>
      <c r="C4" s="124" t="s">
        <v>117</v>
      </c>
      <c r="D4" s="124" t="s">
        <v>116</v>
      </c>
      <c r="E4" s="124" t="s">
        <v>115</v>
      </c>
      <c r="F4" s="87" t="s">
        <v>141</v>
      </c>
    </row>
    <row r="5" spans="1:6" ht="15" thickBot="1" x14ac:dyDescent="0.4">
      <c r="A5" s="88" t="s">
        <v>22</v>
      </c>
      <c r="B5" s="294">
        <f>+'Tariff Tables'!S13+'Tariff Tables'!S22</f>
        <v>0</v>
      </c>
      <c r="C5" s="294">
        <f>+'Tariff Tables'!T13+'Tariff Tables'!T22</f>
        <v>1.0000000000000001E-5</v>
      </c>
      <c r="D5" s="294">
        <f>+'Tariff Tables'!U13+'Tariff Tables'!U22</f>
        <v>0</v>
      </c>
      <c r="E5" s="294">
        <f>+'Tariff Tables'!V13+'Tariff Tables'!V22</f>
        <v>0</v>
      </c>
      <c r="F5" s="222">
        <f>SUM(B5:E5)</f>
        <v>1.0000000000000001E-5</v>
      </c>
    </row>
    <row r="6" spans="1:6" ht="15" thickBot="1" x14ac:dyDescent="0.4">
      <c r="A6" s="88" t="s">
        <v>94</v>
      </c>
      <c r="B6" s="294">
        <f>+'Tariff Tables'!S14+'Tariff Tables'!S23</f>
        <v>0</v>
      </c>
      <c r="C6" s="294">
        <f>+'Tariff Tables'!T14+'Tariff Tables'!T23</f>
        <v>1.0000000000000001E-5</v>
      </c>
      <c r="D6" s="294">
        <f>+'Tariff Tables'!U14+'Tariff Tables'!U23</f>
        <v>0</v>
      </c>
      <c r="E6" s="294">
        <f>+'Tariff Tables'!V14+'Tariff Tables'!V23</f>
        <v>0</v>
      </c>
      <c r="F6" s="222">
        <f t="shared" ref="F6:F9" si="0">SUM(B6:E6)</f>
        <v>1.0000000000000001E-5</v>
      </c>
    </row>
    <row r="7" spans="1:6" ht="15" thickBot="1" x14ac:dyDescent="0.4">
      <c r="A7" s="88" t="s">
        <v>95</v>
      </c>
      <c r="B7" s="294">
        <f>+'Tariff Tables'!S15+'Tariff Tables'!S24</f>
        <v>0</v>
      </c>
      <c r="C7" s="294">
        <f>+'Tariff Tables'!T15+'Tariff Tables'!T24</f>
        <v>1.0000000000000001E-5</v>
      </c>
      <c r="D7" s="294">
        <f>+'Tariff Tables'!U15+'Tariff Tables'!U24</f>
        <v>0</v>
      </c>
      <c r="E7" s="294">
        <f>+'Tariff Tables'!V15+'Tariff Tables'!V24</f>
        <v>0</v>
      </c>
      <c r="F7" s="222">
        <f t="shared" si="0"/>
        <v>1.0000000000000001E-5</v>
      </c>
    </row>
    <row r="8" spans="1:6" ht="15" thickBot="1" x14ac:dyDescent="0.4">
      <c r="A8" s="88" t="s">
        <v>96</v>
      </c>
      <c r="B8" s="294">
        <f>+'Tariff Tables'!S16+'Tariff Tables'!S25</f>
        <v>0</v>
      </c>
      <c r="C8" s="294">
        <f>+'Tariff Tables'!T16+'Tariff Tables'!T25</f>
        <v>1.0000000000000001E-5</v>
      </c>
      <c r="D8" s="294">
        <f>+'Tariff Tables'!U16+'Tariff Tables'!U25</f>
        <v>0</v>
      </c>
      <c r="E8" s="294">
        <f>+'Tariff Tables'!V16+'Tariff Tables'!V25</f>
        <v>0</v>
      </c>
      <c r="F8" s="222">
        <f t="shared" si="0"/>
        <v>1.0000000000000001E-5</v>
      </c>
    </row>
    <row r="9" spans="1:6" ht="15" thickBot="1" x14ac:dyDescent="0.4">
      <c r="A9" s="88" t="s">
        <v>97</v>
      </c>
      <c r="B9" s="294">
        <f>+'Tariff Tables'!S17+'Tariff Tables'!S26</f>
        <v>0</v>
      </c>
      <c r="C9" s="294">
        <f>+'Tariff Tables'!T17+'Tariff Tables'!T26</f>
        <v>1.0000000000000001E-5</v>
      </c>
      <c r="D9" s="294">
        <f>+'Tariff Tables'!U17+'Tariff Tables'!U26</f>
        <v>0</v>
      </c>
      <c r="E9" s="294">
        <f>+'Tariff Tables'!V17+'Tariff Tables'!V26</f>
        <v>0</v>
      </c>
      <c r="F9" s="222">
        <f t="shared" si="0"/>
        <v>1.0000000000000001E-5</v>
      </c>
    </row>
    <row r="12" spans="1:6" ht="15" thickBot="1" x14ac:dyDescent="0.4">
      <c r="A12" s="3" t="s">
        <v>113</v>
      </c>
      <c r="B12" s="45"/>
      <c r="C12" s="45"/>
      <c r="D12" s="45"/>
      <c r="E12" s="45"/>
      <c r="F12" s="45"/>
    </row>
    <row r="13" spans="1:6" ht="27.5" thickBot="1" x14ac:dyDescent="0.4">
      <c r="A13" s="85" t="s">
        <v>119</v>
      </c>
      <c r="B13" s="124" t="s">
        <v>118</v>
      </c>
      <c r="C13" s="124" t="s">
        <v>117</v>
      </c>
      <c r="D13" s="124" t="s">
        <v>116</v>
      </c>
      <c r="E13" s="124" t="s">
        <v>115</v>
      </c>
      <c r="F13" s="87" t="s">
        <v>141</v>
      </c>
    </row>
    <row r="14" spans="1:6" ht="15" thickBot="1" x14ac:dyDescent="0.4">
      <c r="A14" s="88" t="s">
        <v>22</v>
      </c>
      <c r="B14" s="294">
        <f>+'Tariff Tables'!X13+'Tariff Tables'!X22</f>
        <v>5.6999999999999998E-4</v>
      </c>
      <c r="C14" s="294">
        <f ca="1">+'Tariff Tables'!Y13+'Tariff Tables'!Y22</f>
        <v>8.8000000000000003E-4</v>
      </c>
      <c r="D14" s="294">
        <f>+'Tariff Tables'!Z13+'Tariff Tables'!Z22</f>
        <v>5.4000000000000001E-4</v>
      </c>
      <c r="E14" s="294">
        <f>+'Tariff Tables'!AA13+'Tariff Tables'!AA22</f>
        <v>-1.0000000000000001E-5</v>
      </c>
      <c r="F14" s="222">
        <f ca="1">SUM(B14:E14)</f>
        <v>1.98E-3</v>
      </c>
    </row>
    <row r="15" spans="1:6" ht="15" thickBot="1" x14ac:dyDescent="0.4">
      <c r="A15" s="88" t="s">
        <v>94</v>
      </c>
      <c r="B15" s="294">
        <f>+'Tariff Tables'!X14+'Tariff Tables'!X23</f>
        <v>7.2000000000000005E-4</v>
      </c>
      <c r="C15" s="294">
        <f ca="1">+'Tariff Tables'!Y14+'Tariff Tables'!Y23</f>
        <v>1.4E-3</v>
      </c>
      <c r="D15" s="294">
        <f>+'Tariff Tables'!Z14+'Tariff Tables'!Z23</f>
        <v>4.5000000000000004E-4</v>
      </c>
      <c r="E15" s="294">
        <f>+'Tariff Tables'!AA14+'Tariff Tables'!AA23</f>
        <v>0</v>
      </c>
      <c r="F15" s="222">
        <f t="shared" ref="F15:F18" ca="1" si="1">SUM(B15:E15)</f>
        <v>2.5699999999999998E-3</v>
      </c>
    </row>
    <row r="16" spans="1:6" ht="15" thickBot="1" x14ac:dyDescent="0.4">
      <c r="A16" s="88" t="s">
        <v>95</v>
      </c>
      <c r="B16" s="294">
        <f>+'Tariff Tables'!X15+'Tariff Tables'!X24</f>
        <v>9.3999999999999997E-4</v>
      </c>
      <c r="C16" s="294">
        <f ca="1">+'Tariff Tables'!Y15+'Tariff Tables'!Y24</f>
        <v>1.4299999999999998E-3</v>
      </c>
      <c r="D16" s="294">
        <f>+'Tariff Tables'!Z15+'Tariff Tables'!Z24</f>
        <v>4.7000000000000004E-4</v>
      </c>
      <c r="E16" s="294">
        <f>+'Tariff Tables'!AA15+'Tariff Tables'!AA24</f>
        <v>0</v>
      </c>
      <c r="F16" s="222">
        <f t="shared" ca="1" si="1"/>
        <v>2.8399999999999996E-3</v>
      </c>
    </row>
    <row r="17" spans="1:18" ht="15" thickBot="1" x14ac:dyDescent="0.4">
      <c r="A17" s="88" t="s">
        <v>96</v>
      </c>
      <c r="B17" s="294">
        <f>+'Tariff Tables'!X16+'Tariff Tables'!X25</f>
        <v>-8.0000000000000007E-5</v>
      </c>
      <c r="C17" s="294">
        <f ca="1">+'Tariff Tables'!Y16+'Tariff Tables'!Y25</f>
        <v>5.0000000000000001E-4</v>
      </c>
      <c r="D17" s="294">
        <f>+'Tariff Tables'!Z16+'Tariff Tables'!Z25</f>
        <v>3.0000000000000003E-4</v>
      </c>
      <c r="E17" s="294">
        <f>+'Tariff Tables'!AA16+'Tariff Tables'!AA25</f>
        <v>0</v>
      </c>
      <c r="F17" s="222">
        <f t="shared" ca="1" si="1"/>
        <v>7.2000000000000005E-4</v>
      </c>
    </row>
    <row r="18" spans="1:18" ht="27.75" customHeight="1" thickBot="1" x14ac:dyDescent="0.4">
      <c r="A18" s="88" t="s">
        <v>97</v>
      </c>
      <c r="B18" s="294">
        <f>+'Tariff Tables'!X17+'Tariff Tables'!X26</f>
        <v>-6.4999999999999997E-4</v>
      </c>
      <c r="C18" s="294">
        <f ca="1">+'Tariff Tables'!Y17+'Tariff Tables'!Y26</f>
        <v>1.3999999999999999E-4</v>
      </c>
      <c r="D18" s="294">
        <f>+'Tariff Tables'!Z17+'Tariff Tables'!Z26</f>
        <v>3.3E-4</v>
      </c>
      <c r="E18" s="294">
        <f>+'Tariff Tables'!AA17+'Tariff Tables'!AA26</f>
        <v>0</v>
      </c>
      <c r="F18" s="222">
        <f t="shared" ca="1" si="1"/>
        <v>-1.8000000000000004E-4</v>
      </c>
    </row>
    <row r="21" spans="1:18" s="45" customFormat="1" ht="15" thickBot="1" x14ac:dyDescent="0.4">
      <c r="A21" s="3" t="s">
        <v>215</v>
      </c>
      <c r="I21"/>
      <c r="J21"/>
      <c r="K21"/>
      <c r="L21"/>
      <c r="M21"/>
      <c r="N21"/>
      <c r="O21"/>
      <c r="P21"/>
      <c r="Q21"/>
      <c r="R21"/>
    </row>
    <row r="22" spans="1:18" s="45" customFormat="1" ht="27.5" thickBot="1" x14ac:dyDescent="0.4">
      <c r="A22" s="85" t="s">
        <v>119</v>
      </c>
      <c r="B22" s="124" t="s">
        <v>118</v>
      </c>
      <c r="C22" s="124" t="s">
        <v>117</v>
      </c>
      <c r="D22" s="124" t="s">
        <v>116</v>
      </c>
      <c r="E22" s="124" t="s">
        <v>115</v>
      </c>
      <c r="F22" s="87" t="s">
        <v>141</v>
      </c>
      <c r="I22"/>
      <c r="J22"/>
      <c r="K22"/>
      <c r="L22"/>
      <c r="M22"/>
      <c r="N22"/>
      <c r="O22"/>
      <c r="P22"/>
      <c r="Q22"/>
      <c r="R22"/>
    </row>
    <row r="23" spans="1:18" s="45" customFormat="1" ht="15" thickBot="1" x14ac:dyDescent="0.4">
      <c r="A23" s="88" t="s">
        <v>22</v>
      </c>
      <c r="B23" s="294">
        <f>+'Tariff Tables'!AC22+'Tariff Tables'!AC13</f>
        <v>1.99E-3</v>
      </c>
      <c r="C23" s="294">
        <f ca="1">+'Tariff Tables'!AD22+'Tariff Tables'!AD13</f>
        <v>4.0000000000000003E-5</v>
      </c>
      <c r="D23" s="294">
        <f>+'Tariff Tables'!AE22+'Tariff Tables'!AE13</f>
        <v>0</v>
      </c>
      <c r="E23" s="294">
        <f>+'Tariff Tables'!AF22+'Tariff Tables'!AF13</f>
        <v>0</v>
      </c>
      <c r="F23" s="222">
        <f ca="1">SUM(B23:E23)</f>
        <v>2.0300000000000001E-3</v>
      </c>
      <c r="I23"/>
      <c r="J23"/>
      <c r="K23"/>
      <c r="L23"/>
      <c r="M23"/>
      <c r="N23"/>
      <c r="O23"/>
      <c r="P23"/>
      <c r="Q23"/>
      <c r="R23"/>
    </row>
    <row r="24" spans="1:18" s="45" customFormat="1" ht="15.75" customHeight="1" thickBot="1" x14ac:dyDescent="0.4">
      <c r="A24" s="88" t="s">
        <v>94</v>
      </c>
      <c r="B24" s="294">
        <f>+'Tariff Tables'!AC23+'Tariff Tables'!AC14</f>
        <v>1.2999999999999999E-3</v>
      </c>
      <c r="C24" s="294">
        <f ca="1">+'Tariff Tables'!AD23+'Tariff Tables'!AD14</f>
        <v>7.0000000000000007E-5</v>
      </c>
      <c r="D24" s="294">
        <f>+'Tariff Tables'!AE23+'Tariff Tables'!AE14</f>
        <v>0</v>
      </c>
      <c r="E24" s="294">
        <f>+'Tariff Tables'!AF23+'Tariff Tables'!AF14</f>
        <v>0</v>
      </c>
      <c r="F24" s="222">
        <f t="shared" ref="F24:F27" ca="1" si="2">SUM(B24:E24)</f>
        <v>1.3699999999999999E-3</v>
      </c>
      <c r="I24"/>
      <c r="J24"/>
      <c r="K24"/>
      <c r="L24"/>
      <c r="M24"/>
      <c r="N24"/>
      <c r="O24"/>
      <c r="P24"/>
      <c r="Q24"/>
      <c r="R24"/>
    </row>
    <row r="25" spans="1:18" s="45" customFormat="1" ht="15.75" customHeight="1" thickBot="1" x14ac:dyDescent="0.4">
      <c r="A25" s="88" t="s">
        <v>95</v>
      </c>
      <c r="B25" s="294">
        <f>+'Tariff Tables'!AC24+'Tariff Tables'!AC15</f>
        <v>3.1200000000000004E-3</v>
      </c>
      <c r="C25" s="294">
        <f ca="1">+'Tariff Tables'!AD24+'Tariff Tables'!AD15</f>
        <v>5.0000000000000002E-5</v>
      </c>
      <c r="D25" s="294">
        <f>+'Tariff Tables'!AE24+'Tariff Tables'!AE15</f>
        <v>0</v>
      </c>
      <c r="E25" s="294">
        <f>+'Tariff Tables'!AF24+'Tariff Tables'!AF15</f>
        <v>0</v>
      </c>
      <c r="F25" s="222">
        <f t="shared" ca="1" si="2"/>
        <v>3.1700000000000005E-3</v>
      </c>
      <c r="I25"/>
      <c r="J25"/>
      <c r="K25"/>
      <c r="L25"/>
      <c r="M25"/>
      <c r="N25"/>
      <c r="O25"/>
      <c r="P25"/>
      <c r="Q25"/>
      <c r="R25"/>
    </row>
    <row r="26" spans="1:18" s="45" customFormat="1" ht="15" thickBot="1" x14ac:dyDescent="0.4">
      <c r="A26" s="88" t="s">
        <v>96</v>
      </c>
      <c r="B26" s="294">
        <f>+'Tariff Tables'!AC25+'Tariff Tables'!AC16</f>
        <v>1.5399999999999999E-3</v>
      </c>
      <c r="C26" s="294">
        <f ca="1">+'Tariff Tables'!AD25+'Tariff Tables'!AD16</f>
        <v>3.0000000000000001E-5</v>
      </c>
      <c r="D26" s="294">
        <f>+'Tariff Tables'!AE25+'Tariff Tables'!AE16</f>
        <v>0</v>
      </c>
      <c r="E26" s="294">
        <f>+'Tariff Tables'!AF25+'Tariff Tables'!AF16</f>
        <v>0</v>
      </c>
      <c r="F26" s="222">
        <f t="shared" ca="1" si="2"/>
        <v>1.57E-3</v>
      </c>
      <c r="I26"/>
      <c r="J26"/>
      <c r="K26"/>
      <c r="L26"/>
      <c r="M26"/>
      <c r="N26"/>
      <c r="O26"/>
      <c r="P26"/>
      <c r="Q26"/>
      <c r="R26"/>
    </row>
    <row r="27" spans="1:18" s="45" customFormat="1" ht="15" thickBot="1" x14ac:dyDescent="0.4">
      <c r="A27" s="88" t="s">
        <v>97</v>
      </c>
      <c r="B27" s="294">
        <f>+'Tariff Tables'!AC26+'Tariff Tables'!AC17</f>
        <v>2.2699999999999999E-3</v>
      </c>
      <c r="C27" s="294">
        <f ca="1">+'Tariff Tables'!AD26+'Tariff Tables'!AD17</f>
        <v>1.0000000000000001E-5</v>
      </c>
      <c r="D27" s="294">
        <f>+'Tariff Tables'!AE26+'Tariff Tables'!AE17</f>
        <v>0</v>
      </c>
      <c r="E27" s="294">
        <f>+'Tariff Tables'!AF26+'Tariff Tables'!AF17</f>
        <v>0</v>
      </c>
      <c r="F27" s="222">
        <f t="shared" ca="1" si="2"/>
        <v>2.2799999999999999E-3</v>
      </c>
      <c r="I27"/>
      <c r="J27"/>
      <c r="K27"/>
      <c r="L27"/>
      <c r="M27"/>
      <c r="N27"/>
      <c r="O27"/>
      <c r="P27"/>
      <c r="Q27"/>
      <c r="R27"/>
    </row>
    <row r="28" spans="1:18" s="45" customFormat="1" x14ac:dyDescent="0.35">
      <c r="I28"/>
      <c r="J28"/>
      <c r="K28"/>
      <c r="L28"/>
      <c r="M28"/>
      <c r="N28"/>
      <c r="O28"/>
      <c r="P28"/>
      <c r="Q28"/>
      <c r="R28"/>
    </row>
    <row r="29" spans="1:18" s="45" customFormat="1" x14ac:dyDescent="0.35">
      <c r="I29"/>
      <c r="J29"/>
      <c r="K29"/>
      <c r="L29"/>
      <c r="M29"/>
      <c r="N29"/>
      <c r="O29"/>
      <c r="P29"/>
      <c r="Q29"/>
      <c r="R29"/>
    </row>
    <row r="30" spans="1:18" ht="15" thickBot="1" x14ac:dyDescent="0.4">
      <c r="A30" s="3" t="s">
        <v>114</v>
      </c>
      <c r="B30" s="45"/>
      <c r="C30" s="45"/>
      <c r="D30" s="45"/>
      <c r="E30" s="45"/>
      <c r="F30" s="45"/>
    </row>
    <row r="31" spans="1:18" ht="27.5" thickBot="1" x14ac:dyDescent="0.4">
      <c r="A31" s="85" t="s">
        <v>119</v>
      </c>
      <c r="B31" s="124" t="s">
        <v>118</v>
      </c>
      <c r="C31" s="124" t="s">
        <v>117</v>
      </c>
      <c r="D31" s="124" t="s">
        <v>116</v>
      </c>
      <c r="E31" s="124" t="s">
        <v>115</v>
      </c>
      <c r="F31" s="87" t="s">
        <v>141</v>
      </c>
    </row>
    <row r="32" spans="1:18" ht="15" thickBot="1" x14ac:dyDescent="0.4">
      <c r="A32" s="88" t="s">
        <v>22</v>
      </c>
      <c r="B32" s="295">
        <f>SUMIFS(B$3:B$29,$A$3:$A$29,$A32)</f>
        <v>2.5599999999999998E-3</v>
      </c>
      <c r="C32" s="224">
        <f t="shared" ref="C32:E36" ca="1" si="3">SUMIFS(C$3:C$29,$A$3:$A$29,$A32)</f>
        <v>9.3000000000000005E-4</v>
      </c>
      <c r="D32" s="224">
        <f t="shared" si="3"/>
        <v>5.4000000000000001E-4</v>
      </c>
      <c r="E32" s="224">
        <f t="shared" si="3"/>
        <v>-1.0000000000000001E-5</v>
      </c>
      <c r="F32" s="222">
        <f ca="1">SUM(B32:E32)</f>
        <v>4.0200000000000001E-3</v>
      </c>
      <c r="G32" s="332">
        <f ca="1">+F32-'Tariff Tables'!H4</f>
        <v>0</v>
      </c>
    </row>
    <row r="33" spans="1:7" ht="15" thickBot="1" x14ac:dyDescent="0.4">
      <c r="A33" s="88" t="s">
        <v>94</v>
      </c>
      <c r="B33" s="223">
        <f t="shared" ref="B33:B36" si="4">SUMIFS(B$3:B$29,$A$3:$A$29,$A33)</f>
        <v>2.0200000000000001E-3</v>
      </c>
      <c r="C33" s="224">
        <f t="shared" ca="1" si="3"/>
        <v>1.48E-3</v>
      </c>
      <c r="D33" s="224">
        <f t="shared" si="3"/>
        <v>4.5000000000000004E-4</v>
      </c>
      <c r="E33" s="224">
        <f t="shared" si="3"/>
        <v>0</v>
      </c>
      <c r="F33" s="222">
        <f t="shared" ref="F33:F36" ca="1" si="5">SUM(B33:E33)</f>
        <v>3.9500000000000004E-3</v>
      </c>
      <c r="G33" s="332">
        <f ca="1">+F33-'Tariff Tables'!H5</f>
        <v>0</v>
      </c>
    </row>
    <row r="34" spans="1:7" ht="15" thickBot="1" x14ac:dyDescent="0.4">
      <c r="A34" s="88" t="s">
        <v>95</v>
      </c>
      <c r="B34" s="223">
        <f t="shared" si="4"/>
        <v>4.0600000000000002E-3</v>
      </c>
      <c r="C34" s="224">
        <f t="shared" ca="1" si="3"/>
        <v>1.4899999999999998E-3</v>
      </c>
      <c r="D34" s="224">
        <f t="shared" si="3"/>
        <v>4.7000000000000004E-4</v>
      </c>
      <c r="E34" s="224">
        <f t="shared" si="3"/>
        <v>0</v>
      </c>
      <c r="F34" s="222">
        <f t="shared" ca="1" si="5"/>
        <v>6.0200000000000002E-3</v>
      </c>
      <c r="G34" s="332">
        <f ca="1">+F34-'Tariff Tables'!H6</f>
        <v>0</v>
      </c>
    </row>
    <row r="35" spans="1:7" ht="15" thickBot="1" x14ac:dyDescent="0.4">
      <c r="A35" s="88" t="s">
        <v>96</v>
      </c>
      <c r="B35" s="223">
        <f t="shared" si="4"/>
        <v>1.4599999999999999E-3</v>
      </c>
      <c r="C35" s="224">
        <f t="shared" ca="1" si="3"/>
        <v>5.4000000000000001E-4</v>
      </c>
      <c r="D35" s="224">
        <f t="shared" si="3"/>
        <v>3.0000000000000003E-4</v>
      </c>
      <c r="E35" s="224">
        <f t="shared" si="3"/>
        <v>0</v>
      </c>
      <c r="F35" s="222">
        <f t="shared" ca="1" si="5"/>
        <v>2.3E-3</v>
      </c>
      <c r="G35" s="332">
        <f ca="1">+F35-'Tariff Tables'!H7</f>
        <v>0</v>
      </c>
    </row>
    <row r="36" spans="1:7" ht="15" thickBot="1" x14ac:dyDescent="0.4">
      <c r="A36" s="88" t="s">
        <v>97</v>
      </c>
      <c r="B36" s="223">
        <f t="shared" si="4"/>
        <v>1.6199999999999999E-3</v>
      </c>
      <c r="C36" s="224">
        <f t="shared" ca="1" si="3"/>
        <v>1.5999999999999999E-4</v>
      </c>
      <c r="D36" s="224">
        <f t="shared" si="3"/>
        <v>3.3E-4</v>
      </c>
      <c r="E36" s="224">
        <f t="shared" si="3"/>
        <v>0</v>
      </c>
      <c r="F36" s="222">
        <f t="shared" ca="1" si="5"/>
        <v>2.1099999999999999E-3</v>
      </c>
      <c r="G36" s="332">
        <f ca="1">+F36-'Tariff Tables'!H8</f>
        <v>0</v>
      </c>
    </row>
    <row r="38" spans="1:7" x14ac:dyDescent="0.35">
      <c r="B38" s="332">
        <f>+B32-'Tariff Tables'!J4</f>
        <v>0</v>
      </c>
      <c r="C38" s="332">
        <f ca="1">+C32-'Tariff Tables'!K4</f>
        <v>0</v>
      </c>
      <c r="D38" s="332">
        <f>+D32-'Tariff Tables'!L4</f>
        <v>0</v>
      </c>
      <c r="E38" s="332">
        <f>+E32-'Tariff Tables'!M4</f>
        <v>0</v>
      </c>
      <c r="F38" s="225"/>
    </row>
    <row r="39" spans="1:7" x14ac:dyDescent="0.35">
      <c r="B39" s="332">
        <f>+B33-'Tariff Tables'!J5</f>
        <v>0</v>
      </c>
      <c r="C39" s="332">
        <f ca="1">+C33-'Tariff Tables'!K5</f>
        <v>0</v>
      </c>
      <c r="D39" s="332">
        <f>+D33-'Tariff Tables'!L5</f>
        <v>0</v>
      </c>
      <c r="E39" s="332">
        <f>+E33-'Tariff Tables'!M5</f>
        <v>0</v>
      </c>
      <c r="F39" s="225"/>
    </row>
    <row r="40" spans="1:7" x14ac:dyDescent="0.35">
      <c r="B40" s="332">
        <f>+B34-'Tariff Tables'!J6</f>
        <v>0</v>
      </c>
      <c r="C40" s="332">
        <f ca="1">+C34-'Tariff Tables'!K6</f>
        <v>0</v>
      </c>
      <c r="D40" s="332">
        <f>+D34-'Tariff Tables'!L6</f>
        <v>0</v>
      </c>
      <c r="E40" s="332">
        <f>+E34-'Tariff Tables'!M6</f>
        <v>0</v>
      </c>
      <c r="F40" s="225"/>
    </row>
    <row r="41" spans="1:7" x14ac:dyDescent="0.35">
      <c r="B41" s="332">
        <f>+B35-'Tariff Tables'!J7</f>
        <v>0</v>
      </c>
      <c r="C41" s="332">
        <f ca="1">+C35-'Tariff Tables'!K7</f>
        <v>0</v>
      </c>
      <c r="D41" s="332">
        <f>+D35-'Tariff Tables'!L7</f>
        <v>0</v>
      </c>
      <c r="E41" s="332">
        <f>+E35-'Tariff Tables'!M7</f>
        <v>0</v>
      </c>
      <c r="F41" s="225"/>
    </row>
    <row r="42" spans="1:7" x14ac:dyDescent="0.35">
      <c r="B42" s="332">
        <f>+B36-'Tariff Tables'!J8</f>
        <v>0</v>
      </c>
      <c r="C42" s="332">
        <f ca="1">+C36-'Tariff Tables'!K8</f>
        <v>0</v>
      </c>
      <c r="D42" s="332">
        <f>+D36-'Tariff Tables'!L8</f>
        <v>0</v>
      </c>
      <c r="E42" s="332">
        <f>+E36-'Tariff Tables'!M8</f>
        <v>0</v>
      </c>
      <c r="F42" s="225"/>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D9B-45E4-44AF-B9A4-D95EF127045C}">
  <sheetPr codeName="Sheet8">
    <pageSetUpPr fitToPage="1"/>
  </sheetPr>
  <dimension ref="A1:Y49"/>
  <sheetViews>
    <sheetView workbookViewId="0"/>
  </sheetViews>
  <sheetFormatPr defaultColWidth="9.1796875" defaultRowHeight="14.5" x14ac:dyDescent="0.35"/>
  <cols>
    <col min="1" max="1" width="20.81640625" style="45" customWidth="1"/>
    <col min="2" max="2" width="22" style="45" customWidth="1"/>
    <col min="3" max="3" width="17.26953125" style="45" customWidth="1"/>
    <col min="4" max="5" width="14.81640625" style="45" customWidth="1"/>
    <col min="6" max="7" width="16.1796875" style="45" customWidth="1"/>
    <col min="8" max="8" width="10.7265625" style="45" bestFit="1" customWidth="1"/>
    <col min="9" max="10" width="9.1796875" style="45"/>
    <col min="11" max="11" width="15" style="45" bestFit="1" customWidth="1"/>
    <col min="12" max="16384" width="9.1796875" style="45"/>
  </cols>
  <sheetData>
    <row r="1" spans="1:25" x14ac:dyDescent="0.35">
      <c r="A1" s="62" t="str">
        <f>'PTD Cycle 3'!A1</f>
        <v>Evergy Metro, Inc. - DSIM Rider Update Filed 06/02/2025</v>
      </c>
    </row>
    <row r="2" spans="1:25" x14ac:dyDescent="0.35">
      <c r="A2" s="345" t="s">
        <v>241</v>
      </c>
    </row>
    <row r="3" spans="1:25" ht="35.25" customHeight="1" x14ac:dyDescent="0.35">
      <c r="B3" s="349" t="s">
        <v>229</v>
      </c>
      <c r="C3" s="349"/>
    </row>
    <row r="4" spans="1:25" ht="43.5" x14ac:dyDescent="0.35">
      <c r="B4" s="145" t="s">
        <v>38</v>
      </c>
      <c r="C4" s="220" t="s">
        <v>24</v>
      </c>
      <c r="D4" s="325" t="s">
        <v>242</v>
      </c>
      <c r="E4" s="38"/>
    </row>
    <row r="5" spans="1:25" x14ac:dyDescent="0.35">
      <c r="A5" s="19" t="s">
        <v>22</v>
      </c>
      <c r="B5" s="337">
        <f>'Tariff Tables'!G4</f>
        <v>2769019498.0086751</v>
      </c>
      <c r="C5" s="218">
        <f>SUM(D5:F5)</f>
        <v>6940313.3300000001</v>
      </c>
      <c r="D5" s="218">
        <f>SUM('[2]KCPL STIP IMPORT'!$AU104:$AV104)</f>
        <v>6940313.3300000001</v>
      </c>
      <c r="E5" s="38"/>
      <c r="J5" s="309"/>
    </row>
    <row r="6" spans="1:25" x14ac:dyDescent="0.35">
      <c r="A6" s="19" t="s">
        <v>94</v>
      </c>
      <c r="B6" s="337">
        <f>'Tariff Tables'!G5</f>
        <v>654574212</v>
      </c>
      <c r="C6" s="218">
        <f>SUM(D6:F6)</f>
        <v>923280.8600000001</v>
      </c>
      <c r="D6" s="218">
        <f>SUM('[2]KCPL STIP IMPORT'!$AU105:$AV105)</f>
        <v>923280.8600000001</v>
      </c>
      <c r="E6" s="38"/>
      <c r="J6" s="309"/>
    </row>
    <row r="7" spans="1:25" x14ac:dyDescent="0.35">
      <c r="A7" s="19" t="s">
        <v>95</v>
      </c>
      <c r="B7" s="337">
        <f>'Tariff Tables'!G6</f>
        <v>1120902324</v>
      </c>
      <c r="C7" s="218">
        <f>SUM(D7:F7)</f>
        <v>3776979.3099999996</v>
      </c>
      <c r="D7" s="218">
        <f>SUM('[2]KCPL STIP IMPORT'!$AU106:$AV106)</f>
        <v>3776979.3099999996</v>
      </c>
      <c r="E7" s="38"/>
      <c r="J7" s="309"/>
    </row>
    <row r="8" spans="1:25" x14ac:dyDescent="0.35">
      <c r="A8" s="19" t="s">
        <v>96</v>
      </c>
      <c r="B8" s="337">
        <f>'Tariff Tables'!G7</f>
        <v>1830116545</v>
      </c>
      <c r="C8" s="218">
        <f>SUM(D8:F8)</f>
        <v>3150458.8899999997</v>
      </c>
      <c r="D8" s="218">
        <f>SUM('[2]KCPL STIP IMPORT'!$AU107:$AV107)</f>
        <v>3150458.8899999997</v>
      </c>
      <c r="E8" s="38"/>
      <c r="J8" s="309"/>
    </row>
    <row r="9" spans="1:25" x14ac:dyDescent="0.35">
      <c r="A9" s="19" t="s">
        <v>97</v>
      </c>
      <c r="B9" s="337">
        <f>'Tariff Tables'!G8</f>
        <v>431456084</v>
      </c>
      <c r="C9" s="218">
        <f>SUM(D9:F9)</f>
        <v>1040123.8700000001</v>
      </c>
      <c r="D9" s="218">
        <f>SUM('[2]KCPL STIP IMPORT'!$AU108:$AV108)</f>
        <v>1040123.8700000001</v>
      </c>
      <c r="E9" s="38"/>
      <c r="J9" s="309"/>
      <c r="P9" s="1"/>
      <c r="Q9" s="1"/>
      <c r="R9" s="1"/>
      <c r="S9" s="1"/>
      <c r="T9" s="1"/>
      <c r="U9" s="1"/>
      <c r="V9" s="1"/>
      <c r="W9" s="1"/>
      <c r="X9" s="1"/>
      <c r="Y9" s="1"/>
    </row>
    <row r="10" spans="1:25" x14ac:dyDescent="0.35">
      <c r="A10" s="29" t="s">
        <v>3</v>
      </c>
      <c r="B10" s="234">
        <f>SUM(B5:B9)</f>
        <v>6806068663.0086746</v>
      </c>
      <c r="C10" s="219">
        <f>SUM(C5:C9)</f>
        <v>15831156.260000002</v>
      </c>
      <c r="D10" s="219">
        <f>SUM(D5:D9)</f>
        <v>15831156.260000002</v>
      </c>
      <c r="E10" s="38"/>
      <c r="J10" s="309"/>
      <c r="P10" s="1"/>
      <c r="Q10" s="1"/>
      <c r="R10" s="1"/>
      <c r="S10" s="1"/>
      <c r="T10" s="1"/>
      <c r="U10" s="1"/>
      <c r="V10" s="1"/>
      <c r="W10" s="1"/>
      <c r="X10" s="1"/>
      <c r="Y10" s="1"/>
    </row>
    <row r="12" spans="1:25" x14ac:dyDescent="0.35">
      <c r="A12" s="52" t="s">
        <v>9</v>
      </c>
    </row>
    <row r="13" spans="1:25" ht="30" customHeight="1" x14ac:dyDescent="0.35">
      <c r="A13" s="348" t="str">
        <f>'Tariff Tables'!$B$47</f>
        <v>1. Forecasted kWh by  Residential, Small General Service, Medium General Service, Large General Service and Large Power Service (Reduced for Opt-Out) - Source: Billed kWh Budget 2024+- EMM 20250529.xlsx</v>
      </c>
      <c r="B13" s="348"/>
      <c r="C13" s="348"/>
      <c r="D13" s="348"/>
      <c r="E13" s="348"/>
      <c r="F13" s="348"/>
      <c r="G13" s="312"/>
      <c r="H13" s="313"/>
      <c r="I13" s="350"/>
      <c r="J13" s="350"/>
      <c r="K13" s="350"/>
    </row>
    <row r="14" spans="1:25" x14ac:dyDescent="0.35">
      <c r="A14" s="348" t="s">
        <v>227</v>
      </c>
      <c r="B14" s="348"/>
      <c r="C14" s="348"/>
      <c r="D14" s="348"/>
      <c r="E14" s="348"/>
      <c r="F14" s="348"/>
      <c r="G14" s="312"/>
    </row>
    <row r="15" spans="1:25" ht="30" customHeight="1" x14ac:dyDescent="0.35">
      <c r="A15" s="351" t="s">
        <v>294</v>
      </c>
      <c r="B15" s="351"/>
      <c r="C15" s="351"/>
      <c r="D15" s="351"/>
      <c r="E15" s="351"/>
      <c r="F15" s="351"/>
      <c r="G15" s="312"/>
    </row>
    <row r="16" spans="1:25" ht="27" customHeight="1" x14ac:dyDescent="0.35">
      <c r="A16" s="348"/>
      <c r="B16" s="348"/>
      <c r="C16" s="348"/>
      <c r="D16" s="348"/>
      <c r="E16" s="348"/>
      <c r="F16" s="348"/>
      <c r="G16" s="312"/>
    </row>
    <row r="23" spans="3:3" x14ac:dyDescent="0.35">
      <c r="C23" s="2"/>
    </row>
    <row r="45" spans="2:3" x14ac:dyDescent="0.35">
      <c r="B45" s="7"/>
      <c r="C45" s="7"/>
    </row>
    <row r="49" spans="2:3" x14ac:dyDescent="0.35">
      <c r="B49" s="7"/>
      <c r="C49" s="7"/>
    </row>
  </sheetData>
  <mergeCells count="6">
    <mergeCell ref="A16:F16"/>
    <mergeCell ref="B3:C3"/>
    <mergeCell ref="A13:F13"/>
    <mergeCell ref="I13:K13"/>
    <mergeCell ref="A14:F14"/>
    <mergeCell ref="A15:F1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codeName="Sheet10">
    <pageSetUpPr fitToPage="1"/>
  </sheetPr>
  <dimension ref="A1:AJ81"/>
  <sheetViews>
    <sheetView topLeftCell="A54" zoomScale="85" zoomScaleNormal="85" workbookViewId="0">
      <selection activeCell="A67" sqref="A67:J67"/>
    </sheetView>
  </sheetViews>
  <sheetFormatPr defaultColWidth="9.1796875" defaultRowHeight="14.5" outlineLevelCol="1" x14ac:dyDescent="0.35"/>
  <cols>
    <col min="1" max="1" width="54.54296875" style="45" customWidth="1"/>
    <col min="2" max="2" width="14.7265625" style="45" customWidth="1"/>
    <col min="3" max="3" width="15" style="45" customWidth="1"/>
    <col min="4" max="4" width="15" style="45" customWidth="1" outlineLevel="1"/>
    <col min="5" max="5" width="15.26953125" style="45" customWidth="1"/>
    <col min="6" max="6" width="15.81640625" style="45" customWidth="1"/>
    <col min="7" max="7" width="17.54296875" style="45" customWidth="1"/>
    <col min="8" max="9" width="13.26953125" style="45" customWidth="1"/>
    <col min="10" max="10" width="15.7265625" style="45" customWidth="1"/>
    <col min="11" max="12" width="12.54296875" style="45" bestFit="1" customWidth="1"/>
    <col min="13" max="13" width="14.453125" style="45" customWidth="1"/>
    <col min="14" max="14" width="15" style="45" bestFit="1" customWidth="1"/>
    <col min="15" max="15" width="16.26953125" style="45" bestFit="1" customWidth="1"/>
    <col min="16" max="16" width="16.26953125" style="45" hidden="1" customWidth="1" outlineLevel="1"/>
    <col min="17" max="17" width="16.1796875" style="45" customWidth="1" collapsed="1"/>
    <col min="18" max="18" width="17.26953125" style="45" bestFit="1" customWidth="1"/>
    <col min="19" max="19" width="17.453125" style="45" customWidth="1"/>
    <col min="20" max="20" width="15.54296875" style="45" customWidth="1"/>
    <col min="21" max="21" width="13" style="45" customWidth="1"/>
    <col min="22" max="22" width="9.1796875" style="45"/>
    <col min="23" max="23" width="14.26953125" style="45" bestFit="1" customWidth="1"/>
    <col min="24" max="16384" width="9.1796875" style="45"/>
  </cols>
  <sheetData>
    <row r="1" spans="1:36" x14ac:dyDescent="0.35">
      <c r="A1" s="62" t="str">
        <f>'PTD Cycle 3'!A1</f>
        <v>Evergy Metro, Inc. - DSIM Rider Update Filed 06/02/2025</v>
      </c>
      <c r="B1" s="3"/>
      <c r="C1" s="3"/>
      <c r="D1" s="3"/>
    </row>
    <row r="2" spans="1:36" x14ac:dyDescent="0.35">
      <c r="E2" s="3" t="s">
        <v>124</v>
      </c>
    </row>
    <row r="3" spans="1:36" ht="29" x14ac:dyDescent="0.35">
      <c r="E3" s="47" t="s">
        <v>40</v>
      </c>
      <c r="F3" s="47" t="s">
        <v>39</v>
      </c>
      <c r="G3" s="69" t="s">
        <v>0</v>
      </c>
      <c r="H3" s="47" t="s">
        <v>1</v>
      </c>
      <c r="I3" s="69" t="s">
        <v>49</v>
      </c>
      <c r="J3" s="47" t="s">
        <v>8</v>
      </c>
      <c r="K3" s="47" t="s">
        <v>2</v>
      </c>
    </row>
    <row r="4" spans="1:36" x14ac:dyDescent="0.35">
      <c r="A4" s="19" t="s">
        <v>22</v>
      </c>
      <c r="E4" s="21">
        <f>SUM(C29:M29)</f>
        <v>1358215.53</v>
      </c>
      <c r="F4" s="131">
        <f>SUM(C22:M22)</f>
        <v>1284469247.2046096</v>
      </c>
      <c r="G4" s="21">
        <f>SUM(C15:L15)</f>
        <v>410001.92999999964</v>
      </c>
      <c r="H4" s="21">
        <f>G4-E4</f>
        <v>-948213.60000000033</v>
      </c>
      <c r="I4" s="21">
        <f>+B45</f>
        <v>2456213.73</v>
      </c>
      <c r="J4" s="21">
        <f>SUM(C53:L53)</f>
        <v>63427.95</v>
      </c>
      <c r="K4" s="24">
        <f>SUM(H4:J4)</f>
        <v>1571428.0799999996</v>
      </c>
      <c r="L4" s="46">
        <f>+K4-M45</f>
        <v>0</v>
      </c>
      <c r="M4" s="46"/>
    </row>
    <row r="5" spans="1:36" x14ac:dyDescent="0.35">
      <c r="A5" s="19" t="s">
        <v>94</v>
      </c>
      <c r="E5" s="21">
        <f>SUM(C30:M30)</f>
        <v>438411.52999999997</v>
      </c>
      <c r="F5" s="131">
        <f>SUM(C23:M23)</f>
        <v>319793060.99800009</v>
      </c>
      <c r="G5" s="21">
        <f>SUM(C16:L16)</f>
        <v>-69217.2</v>
      </c>
      <c r="H5" s="21">
        <f>G5-E5</f>
        <v>-507628.73</v>
      </c>
      <c r="I5" s="21">
        <f>+B46</f>
        <v>958050.81783979794</v>
      </c>
      <c r="J5" s="21">
        <f>SUM(C54:L54)</f>
        <v>20109.95</v>
      </c>
      <c r="K5" s="24">
        <f>SUM(H5:J5)</f>
        <v>470532.03783979797</v>
      </c>
      <c r="L5" s="46">
        <f t="shared" ref="L5:L7" si="0">+K5-M46</f>
        <v>0</v>
      </c>
      <c r="M5" s="46"/>
    </row>
    <row r="6" spans="1:36" x14ac:dyDescent="0.35">
      <c r="A6" s="19" t="s">
        <v>95</v>
      </c>
      <c r="E6" s="21">
        <f>SUM(C31:M31)</f>
        <v>722626.29999999993</v>
      </c>
      <c r="F6" s="131">
        <f>SUM(C24:M24)</f>
        <v>525800415.16050005</v>
      </c>
      <c r="G6" s="21">
        <f>SUM(C17:L17)</f>
        <v>233861.37999999995</v>
      </c>
      <c r="H6" s="21">
        <f>G6-E6</f>
        <v>-488764.92</v>
      </c>
      <c r="I6" s="21">
        <f>+B47</f>
        <v>1500106.78</v>
      </c>
      <c r="J6" s="21">
        <f>SUM(C55:L55)</f>
        <v>40140.76</v>
      </c>
      <c r="K6" s="24">
        <f>SUM(H6:J6)</f>
        <v>1051482.6200000001</v>
      </c>
      <c r="L6" s="46">
        <f t="shared" si="0"/>
        <v>0</v>
      </c>
      <c r="M6" s="46"/>
    </row>
    <row r="7" spans="1:36" x14ac:dyDescent="0.35">
      <c r="A7" s="19" t="s">
        <v>96</v>
      </c>
      <c r="E7" s="21">
        <f>SUM(C32:M32)</f>
        <v>325058.07999999996</v>
      </c>
      <c r="F7" s="131">
        <f>SUM(C25:M25)</f>
        <v>840805787.95110011</v>
      </c>
      <c r="G7" s="21">
        <f>SUM(C18:L18)</f>
        <v>-531200.54</v>
      </c>
      <c r="H7" s="21">
        <f>G7-E7</f>
        <v>-856258.62</v>
      </c>
      <c r="I7" s="21">
        <f>+B48</f>
        <v>709762.85000000033</v>
      </c>
      <c r="J7" s="21">
        <f>SUM(C56:L56)</f>
        <v>-1076.3699999999999</v>
      </c>
      <c r="K7" s="24">
        <f>SUM(H7:J7)</f>
        <v>-147572.13999999966</v>
      </c>
      <c r="L7" s="46">
        <f t="shared" si="0"/>
        <v>0</v>
      </c>
      <c r="M7" s="46"/>
    </row>
    <row r="8" spans="1:36" ht="15" thickBot="1" x14ac:dyDescent="0.4">
      <c r="A8" s="19" t="s">
        <v>97</v>
      </c>
      <c r="E8" s="21">
        <f>SUM(C33:M33)</f>
        <v>-103389.77000000003</v>
      </c>
      <c r="F8" s="131">
        <f>SUM(C26:M26)</f>
        <v>115122745.19659999</v>
      </c>
      <c r="G8" s="21">
        <f>SUM(C19:L19)</f>
        <v>-285885.92999999964</v>
      </c>
      <c r="H8" s="21">
        <f>G8-E8</f>
        <v>-182496.15999999963</v>
      </c>
      <c r="I8" s="21">
        <f>+B49</f>
        <v>-89387.89783979705</v>
      </c>
      <c r="J8" s="21">
        <f>SUM(C57:L57)</f>
        <v>-9630.66</v>
      </c>
      <c r="K8" s="24">
        <f>SUM(H8:J8)</f>
        <v>-281514.71783979662</v>
      </c>
      <c r="L8" s="46">
        <f>+K8-M49</f>
        <v>0</v>
      </c>
      <c r="M8" s="46"/>
    </row>
    <row r="9" spans="1:36" ht="15.5" thickTop="1" thickBot="1" x14ac:dyDescent="0.4">
      <c r="E9" s="26">
        <f t="shared" ref="E9:I9" si="1">SUM(E4:E8)</f>
        <v>2740921.67</v>
      </c>
      <c r="F9" s="26">
        <f t="shared" si="1"/>
        <v>3085991256.5108099</v>
      </c>
      <c r="G9" s="26">
        <f t="shared" si="1"/>
        <v>-242440.36000000004</v>
      </c>
      <c r="H9" s="26">
        <f t="shared" si="1"/>
        <v>-2983362.03</v>
      </c>
      <c r="I9" s="26">
        <f t="shared" si="1"/>
        <v>5534746.2800000021</v>
      </c>
      <c r="J9" s="26">
        <f>SUM(J4:J8)</f>
        <v>112971.63</v>
      </c>
      <c r="K9" s="26">
        <f>SUM(K4:K8)</f>
        <v>2664355.8800000013</v>
      </c>
    </row>
    <row r="10" spans="1:36" ht="15.5" thickTop="1" thickBot="1" x14ac:dyDescent="0.4">
      <c r="E10" s="38"/>
      <c r="F10" s="38"/>
      <c r="G10" s="38"/>
      <c r="H10" s="38"/>
      <c r="I10" s="38"/>
      <c r="J10" s="38"/>
      <c r="K10" s="38"/>
      <c r="L10" s="38"/>
      <c r="M10" s="38"/>
    </row>
    <row r="11" spans="1:36" ht="96.75" customHeight="1" thickBot="1" x14ac:dyDescent="0.4">
      <c r="B11" s="112" t="str">
        <f>'PCR Cycle 4'!B$11</f>
        <v>Cumulative Over/Under Carryover From 12/01/2024 Filing</v>
      </c>
      <c r="C11" s="256" t="str">
        <f>'PCR Cycle 4'!C$11</f>
        <v>Reverse November 2024 - January 2025 Forecast From 12/01/2024 Filing</v>
      </c>
      <c r="D11" s="331"/>
      <c r="E11" s="357" t="s">
        <v>28</v>
      </c>
      <c r="F11" s="357"/>
      <c r="G11" s="358"/>
      <c r="H11" s="359" t="s">
        <v>28</v>
      </c>
      <c r="I11" s="360"/>
      <c r="J11" s="361"/>
      <c r="K11" s="352" t="s">
        <v>6</v>
      </c>
      <c r="L11" s="353"/>
      <c r="M11" s="354"/>
      <c r="P11" s="274" t="s">
        <v>210</v>
      </c>
    </row>
    <row r="12" spans="1:36" x14ac:dyDescent="0.35">
      <c r="C12" s="13"/>
      <c r="D12" s="18"/>
      <c r="E12" s="18">
        <f>+'PCR Cycle 4'!E$12</f>
        <v>45626</v>
      </c>
      <c r="F12" s="18">
        <f>+'PCR Cycle 4'!F$12</f>
        <v>45657</v>
      </c>
      <c r="G12" s="18">
        <f>+'PCR Cycle 4'!G$12</f>
        <v>45688</v>
      </c>
      <c r="H12" s="13">
        <f>+'PCR Cycle 4'!H$12</f>
        <v>45716</v>
      </c>
      <c r="I12" s="18">
        <f>+'PCR Cycle 4'!I$12</f>
        <v>45747</v>
      </c>
      <c r="J12" s="14">
        <f>+'PCR Cycle 4'!J$12</f>
        <v>45777</v>
      </c>
      <c r="K12" s="18">
        <f>+'PCR Cycle 4'!K$12</f>
        <v>45808</v>
      </c>
      <c r="L12" s="18">
        <f>+'PCR Cycle 4'!L$12</f>
        <v>45838</v>
      </c>
      <c r="M12" s="93">
        <f>+'PCR Cycle 4'!M$12</f>
        <v>45869</v>
      </c>
      <c r="AA12" s="1"/>
      <c r="AB12" s="1"/>
      <c r="AC12" s="1"/>
      <c r="AD12" s="1"/>
      <c r="AE12" s="1"/>
      <c r="AF12" s="1"/>
      <c r="AG12" s="1"/>
      <c r="AH12" s="1"/>
      <c r="AI12" s="1"/>
      <c r="AJ12" s="1"/>
    </row>
    <row r="13" spans="1:36" x14ac:dyDescent="0.35">
      <c r="C13" s="96"/>
      <c r="D13" s="246"/>
      <c r="E13" s="30"/>
      <c r="F13" s="30"/>
      <c r="G13" s="30"/>
      <c r="H13" s="27"/>
      <c r="I13" s="30"/>
      <c r="J13" s="10"/>
      <c r="K13" s="30"/>
      <c r="L13" s="30"/>
      <c r="M13" s="28"/>
      <c r="P13" s="46"/>
    </row>
    <row r="14" spans="1:36" x14ac:dyDescent="0.35">
      <c r="A14" s="45" t="s">
        <v>125</v>
      </c>
      <c r="C14" s="97"/>
      <c r="D14" s="144"/>
      <c r="E14" s="30"/>
      <c r="F14" s="30"/>
      <c r="G14" s="30"/>
      <c r="H14" s="27"/>
      <c r="I14" s="30"/>
      <c r="J14" s="160"/>
      <c r="K14" s="144"/>
      <c r="L14" s="16"/>
      <c r="M14" s="10"/>
      <c r="P14" s="46"/>
    </row>
    <row r="15" spans="1:36" x14ac:dyDescent="0.35">
      <c r="A15" s="45" t="s">
        <v>22</v>
      </c>
      <c r="C15" s="95">
        <v>-1668625.26</v>
      </c>
      <c r="D15" s="245"/>
      <c r="E15" s="106">
        <f>'[3]Pivot - SI Project'!$N$32</f>
        <v>572633.16</v>
      </c>
      <c r="F15" s="106">
        <f>'[4]Pivot - SI Project'!$N$32</f>
        <v>1322365.4799999997</v>
      </c>
      <c r="G15" s="106">
        <f>+'[5]Pivot - SI Project'!$N$32</f>
        <v>7566.6100000000079</v>
      </c>
      <c r="H15" s="280">
        <f>'[6]Pivot - SI Project'!$N$32</f>
        <v>-11877.740000000005</v>
      </c>
      <c r="I15" s="321">
        <f>'[7]Pivot - SI Project'!$N$32</f>
        <v>91474.46</v>
      </c>
      <c r="J15" s="321">
        <f>'[8]Pivot - SI Project'!$N$32</f>
        <v>11415.939999999999</v>
      </c>
      <c r="K15" s="281">
        <f>'[9]Pivot - SI Project'!$N$32</f>
        <v>85049.279999999984</v>
      </c>
      <c r="L15" s="133"/>
      <c r="M15" s="74"/>
      <c r="P15" s="46">
        <f>-SUM(K15:M15)</f>
        <v>-85049.279999999984</v>
      </c>
    </row>
    <row r="16" spans="1:36" x14ac:dyDescent="0.35">
      <c r="A16" s="45" t="s">
        <v>94</v>
      </c>
      <c r="C16" s="95">
        <v>-421001.87</v>
      </c>
      <c r="D16" s="245"/>
      <c r="E16" s="106">
        <f>'[3]Pivot - SI Project'!$O$32</f>
        <v>128114.46</v>
      </c>
      <c r="F16" s="106">
        <f>'[4]Pivot - SI Project'!$O$32</f>
        <v>153451.74</v>
      </c>
      <c r="G16" s="106">
        <f>+'[5]Pivot - SI Project'!$O$32</f>
        <v>55684.399999999994</v>
      </c>
      <c r="H16" s="280">
        <f>'[6]Pivot - SI Project'!$O$32</f>
        <v>4343.68</v>
      </c>
      <c r="I16" s="321">
        <f>'[7]Pivot - SI Project'!$O$32</f>
        <v>2959.94</v>
      </c>
      <c r="J16" s="321">
        <f>'[8]Pivot - SI Project'!$O$32</f>
        <v>-4000.2499999999986</v>
      </c>
      <c r="K16" s="281">
        <f>'[9]Pivot - SI Project'!$O$32</f>
        <v>11230.7</v>
      </c>
      <c r="L16" s="133"/>
      <c r="M16" s="74"/>
      <c r="P16" s="46">
        <f t="shared" ref="P16:P19" si="2">-SUM(K16:M16)</f>
        <v>-11230.7</v>
      </c>
      <c r="Q16" s="243">
        <f>SUM(E16:J16)/SUM($E$16:$J$19)</f>
        <v>0.15172434861693918</v>
      </c>
    </row>
    <row r="17" spans="1:17" x14ac:dyDescent="0.35">
      <c r="A17" s="45" t="s">
        <v>95</v>
      </c>
      <c r="C17" s="95">
        <v>-844645.13</v>
      </c>
      <c r="D17" s="245"/>
      <c r="E17" s="106">
        <f>'[3]Pivot - SI Project'!$P$32</f>
        <v>175880.02000000002</v>
      </c>
      <c r="F17" s="106">
        <f>'[4]Pivot - SI Project'!$P$32</f>
        <v>684372.19</v>
      </c>
      <c r="G17" s="106">
        <f>+'[5]Pivot - SI Project'!$P$32</f>
        <v>173936.6</v>
      </c>
      <c r="H17" s="280">
        <f>'[6]Pivot - SI Project'!$P$32</f>
        <v>11608.78</v>
      </c>
      <c r="I17" s="321">
        <f>'[7]Pivot - SI Project'!$P$32</f>
        <v>8118.75</v>
      </c>
      <c r="J17" s="321">
        <f>'[8]Pivot - SI Project'!$P$32</f>
        <v>-7354.82</v>
      </c>
      <c r="K17" s="281">
        <f>'[9]Pivot - SI Project'!$P$32</f>
        <v>31944.989999999998</v>
      </c>
      <c r="L17" s="133"/>
      <c r="M17" s="74"/>
      <c r="P17" s="46">
        <f t="shared" si="2"/>
        <v>-31944.989999999998</v>
      </c>
      <c r="Q17" s="243">
        <f t="shared" ref="Q17:Q19" si="3">SUM(E17:J17)/SUM($E$16:$J$19)</f>
        <v>0.46626637448846586</v>
      </c>
    </row>
    <row r="18" spans="1:17" x14ac:dyDescent="0.35">
      <c r="A18" s="45" t="s">
        <v>96</v>
      </c>
      <c r="C18" s="95">
        <v>-1343839.3900000001</v>
      </c>
      <c r="D18" s="245"/>
      <c r="E18" s="106">
        <f>'[3]Pivot - SI Project'!$Q$32</f>
        <v>198411.72999999998</v>
      </c>
      <c r="F18" s="106">
        <f>'[4]Pivot - SI Project'!$Q$32</f>
        <v>541717.07000000007</v>
      </c>
      <c r="G18" s="106">
        <f>+'[5]Pivot - SI Project'!$Q$32</f>
        <v>42413.140000000014</v>
      </c>
      <c r="H18" s="280">
        <f>'[6]Pivot - SI Project'!$Q$32</f>
        <v>9532.7800000000007</v>
      </c>
      <c r="I18" s="321">
        <f>'[7]Pivot - SI Project'!$Q$32</f>
        <v>6233.9</v>
      </c>
      <c r="J18" s="321">
        <f>'[8]Pivot - SI Project'!$Q$32</f>
        <v>-11755.600000000002</v>
      </c>
      <c r="K18" s="281">
        <f>'[9]Pivot - SI Project'!$Q$32</f>
        <v>26085.83</v>
      </c>
      <c r="L18" s="133"/>
      <c r="M18" s="74"/>
      <c r="P18" s="46">
        <f t="shared" si="2"/>
        <v>-26085.83</v>
      </c>
      <c r="Q18" s="243">
        <f t="shared" si="3"/>
        <v>0.35042681960861111</v>
      </c>
    </row>
    <row r="19" spans="1:17" x14ac:dyDescent="0.35">
      <c r="A19" s="45" t="s">
        <v>97</v>
      </c>
      <c r="C19" s="95">
        <v>-359138.61</v>
      </c>
      <c r="D19" s="245"/>
      <c r="E19" s="106">
        <f>'[3]Pivot - SI Project'!$R$32</f>
        <v>36392.549999999777</v>
      </c>
      <c r="F19" s="106">
        <f>'[4]Pivot - SI Project'!$R$32</f>
        <v>49590.380000000587</v>
      </c>
      <c r="G19" s="106">
        <f>+'[5]Pivot - SI Project'!$R$32</f>
        <v>-13400.579999999998</v>
      </c>
      <c r="H19" s="280">
        <f>'[6]Pivot - SI Project'!$R$32</f>
        <v>1238.4799999999846</v>
      </c>
      <c r="I19" s="321">
        <f>'[7]Pivot - SI Project'!$R$32</f>
        <v>675.78000000002226</v>
      </c>
      <c r="J19" s="321">
        <f>'[8]Pivot - SI Project'!$R$32</f>
        <v>-3607.9799999999668</v>
      </c>
      <c r="K19" s="281">
        <f>'[9]Pivot - SI Project'!$R$32</f>
        <v>2364.0500000000002</v>
      </c>
      <c r="L19" s="133"/>
      <c r="M19" s="74"/>
      <c r="P19" s="46">
        <f t="shared" si="2"/>
        <v>-2364.0500000000002</v>
      </c>
      <c r="Q19" s="243">
        <f t="shared" si="3"/>
        <v>3.1582457285984002E-2</v>
      </c>
    </row>
    <row r="20" spans="1:17" x14ac:dyDescent="0.35">
      <c r="C20" s="99"/>
      <c r="D20" s="247"/>
      <c r="E20" s="30"/>
      <c r="F20" s="30"/>
      <c r="G20" s="30"/>
      <c r="H20" s="27"/>
      <c r="I20" s="30"/>
      <c r="J20" s="10"/>
      <c r="K20" s="16"/>
      <c r="L20" s="16"/>
      <c r="M20" s="10"/>
    </row>
    <row r="21" spans="1:17" x14ac:dyDescent="0.35">
      <c r="A21" s="38" t="s">
        <v>41</v>
      </c>
      <c r="B21" s="38"/>
      <c r="C21" s="99"/>
      <c r="D21" s="247"/>
      <c r="E21" s="246"/>
      <c r="F21" s="246"/>
      <c r="G21" s="246"/>
      <c r="H21" s="96"/>
      <c r="I21" s="246"/>
      <c r="J21" s="338"/>
      <c r="K21" s="16"/>
      <c r="L21" s="16"/>
      <c r="M21" s="10"/>
    </row>
    <row r="22" spans="1:17" x14ac:dyDescent="0.35">
      <c r="A22" s="45" t="s">
        <v>22</v>
      </c>
      <c r="C22" s="322">
        <v>-674821757</v>
      </c>
      <c r="D22" s="248"/>
      <c r="E22" s="108">
        <f>'PCR Cycle 4'!E22</f>
        <v>149649104.46689987</v>
      </c>
      <c r="F22" s="108">
        <f>'PCR Cycle 4'!F22</f>
        <v>213449217.20499986</v>
      </c>
      <c r="G22" s="108">
        <f>'PCR Cycle 4'!G22</f>
        <v>261019624.50579989</v>
      </c>
      <c r="H22" s="177">
        <f>'PCR Cycle 4'!H22</f>
        <v>285989273.62479985</v>
      </c>
      <c r="I22" s="180">
        <f>'PCR Cycle 4'!I22</f>
        <v>232738549.62549981</v>
      </c>
      <c r="J22" s="173">
        <f>'PCR Cycle 4'!J22</f>
        <v>151419388.44740003</v>
      </c>
      <c r="K22" s="169">
        <f>'PCR Cycle 4'!K22</f>
        <v>157609478.17667899</v>
      </c>
      <c r="L22" s="134">
        <f>'PCR Cycle 4'!L22</f>
        <v>205906653.91496235</v>
      </c>
      <c r="M22" s="75">
        <f>'PCR Cycle 4'!M22</f>
        <v>301509714.2375688</v>
      </c>
      <c r="P22" s="46">
        <f>-SUM(K22:M22)</f>
        <v>-665025846.32921004</v>
      </c>
    </row>
    <row r="23" spans="1:17" x14ac:dyDescent="0.35">
      <c r="A23" s="45" t="s">
        <v>94</v>
      </c>
      <c r="C23" s="322">
        <v>-159252414</v>
      </c>
      <c r="D23" s="248"/>
      <c r="E23" s="108">
        <f>'PCR Cycle 4'!E23</f>
        <v>47178870.071200013</v>
      </c>
      <c r="F23" s="108">
        <f>'PCR Cycle 4'!F23</f>
        <v>56152693.198199987</v>
      </c>
      <c r="G23" s="108">
        <f>'PCR Cycle 4'!G23</f>
        <v>58057164.596899994</v>
      </c>
      <c r="H23" s="177">
        <f>'PCR Cycle 4'!H23</f>
        <v>65952615.427600026</v>
      </c>
      <c r="I23" s="180">
        <f>'PCR Cycle 4'!I23</f>
        <v>41303067.231400058</v>
      </c>
      <c r="J23" s="173">
        <f>'PCR Cycle 4'!J23</f>
        <v>45969530.472700007</v>
      </c>
      <c r="K23" s="169">
        <f>'PCR Cycle 4'!K23</f>
        <v>49123963</v>
      </c>
      <c r="L23" s="134">
        <f>'PCR Cycle 4'!L23</f>
        <v>54344539</v>
      </c>
      <c r="M23" s="75">
        <f>'PCR Cycle 4'!M23</f>
        <v>60963032</v>
      </c>
      <c r="P23" s="46">
        <f t="shared" ref="P23:P26" si="4">-SUM(K23:M23)</f>
        <v>-164431534</v>
      </c>
    </row>
    <row r="24" spans="1:17" x14ac:dyDescent="0.35">
      <c r="A24" s="45" t="s">
        <v>95</v>
      </c>
      <c r="C24" s="322">
        <v>-282020569</v>
      </c>
      <c r="D24" s="248"/>
      <c r="E24" s="108">
        <f>'PCR Cycle 4'!E24</f>
        <v>80578946.172299981</v>
      </c>
      <c r="F24" s="108">
        <f>'PCR Cycle 4'!F24</f>
        <v>90345399.898699999</v>
      </c>
      <c r="G24" s="108">
        <f>'PCR Cycle 4'!G24</f>
        <v>94795570.78019999</v>
      </c>
      <c r="H24" s="177">
        <f>'PCR Cycle 4'!H24</f>
        <v>103621147.79090002</v>
      </c>
      <c r="I24" s="180">
        <f>'PCR Cycle 4'!I24</f>
        <v>81473060.369900003</v>
      </c>
      <c r="J24" s="173">
        <f>'PCR Cycle 4'!J24</f>
        <v>75431927.148500025</v>
      </c>
      <c r="K24" s="169">
        <f>'PCR Cycle 4'!K24</f>
        <v>84120584</v>
      </c>
      <c r="L24" s="134">
        <f>'PCR Cycle 4'!L24</f>
        <v>93060373</v>
      </c>
      <c r="M24" s="75">
        <f>'PCR Cycle 4'!M24</f>
        <v>104393975</v>
      </c>
      <c r="P24" s="46">
        <f t="shared" si="4"/>
        <v>-281574932</v>
      </c>
    </row>
    <row r="25" spans="1:17" x14ac:dyDescent="0.35">
      <c r="A25" s="45" t="s">
        <v>96</v>
      </c>
      <c r="C25" s="322">
        <v>-457167484</v>
      </c>
      <c r="D25" s="248"/>
      <c r="E25" s="108">
        <f>'PCR Cycle 4'!E25</f>
        <v>137786199.5469</v>
      </c>
      <c r="F25" s="108">
        <f>'PCR Cycle 4'!F25</f>
        <v>154542733.21810001</v>
      </c>
      <c r="G25" s="108">
        <f>'PCR Cycle 4'!G25</f>
        <v>157704341.24930006</v>
      </c>
      <c r="H25" s="177">
        <f>'PCR Cycle 4'!H25</f>
        <v>169176405.75279999</v>
      </c>
      <c r="I25" s="180">
        <f>'PCR Cycle 4'!I25</f>
        <v>92656012.208900005</v>
      </c>
      <c r="J25" s="173">
        <f>'PCR Cycle 4'!J25</f>
        <v>126375336.97510001</v>
      </c>
      <c r="K25" s="169">
        <f>'PCR Cycle 4'!K25</f>
        <v>137345127</v>
      </c>
      <c r="L25" s="134">
        <f>'PCR Cycle 4'!L25</f>
        <v>151941274</v>
      </c>
      <c r="M25" s="75">
        <f>'PCR Cycle 4'!M25</f>
        <v>170445842</v>
      </c>
      <c r="P25" s="46">
        <f t="shared" si="4"/>
        <v>-459732243</v>
      </c>
    </row>
    <row r="26" spans="1:17" x14ac:dyDescent="0.35">
      <c r="A26" s="45" t="s">
        <v>97</v>
      </c>
      <c r="C26" s="322">
        <v>-128495502</v>
      </c>
      <c r="D26" s="248"/>
      <c r="E26" s="108">
        <f>'PCR Cycle 4'!E26</f>
        <v>37873077.480899997</v>
      </c>
      <c r="F26" s="108">
        <f>'PCR Cycle 4'!F26</f>
        <v>28488653.657100003</v>
      </c>
      <c r="G26" s="108">
        <f>'PCR Cycle 4'!G26</f>
        <v>36477728.331699997</v>
      </c>
      <c r="H26" s="177">
        <f>'PCR Cycle 4'!H26</f>
        <v>45084065.729199998</v>
      </c>
      <c r="I26" s="180">
        <f>'PCR Cycle 4'!I26</f>
        <v>-42996504.818200007</v>
      </c>
      <c r="J26" s="173">
        <f>'PCR Cycle 4'!J26</f>
        <v>30307815.815900002</v>
      </c>
      <c r="K26" s="169">
        <f>'PCR Cycle 4'!K26</f>
        <v>32379572</v>
      </c>
      <c r="L26" s="134">
        <f>'PCR Cycle 4'!L26</f>
        <v>35820663</v>
      </c>
      <c r="M26" s="75">
        <f>'PCR Cycle 4'!M26</f>
        <v>40183176</v>
      </c>
      <c r="P26" s="46">
        <f t="shared" si="4"/>
        <v>-108383411</v>
      </c>
    </row>
    <row r="27" spans="1:17" x14ac:dyDescent="0.35">
      <c r="C27" s="97"/>
      <c r="D27" s="144"/>
      <c r="E27" s="30"/>
      <c r="F27" s="30"/>
      <c r="G27" s="30"/>
      <c r="H27" s="27"/>
      <c r="I27" s="30"/>
      <c r="J27" s="10"/>
      <c r="K27" s="16"/>
      <c r="L27" s="16"/>
      <c r="M27" s="10"/>
    </row>
    <row r="28" spans="1:17" x14ac:dyDescent="0.35">
      <c r="A28" s="45" t="s">
        <v>29</v>
      </c>
      <c r="C28" s="97"/>
      <c r="D28" s="144"/>
      <c r="E28" s="17"/>
      <c r="F28" s="17"/>
      <c r="G28" s="17"/>
      <c r="H28" s="89"/>
      <c r="I28" s="17"/>
      <c r="J28" s="10"/>
      <c r="K28" s="56"/>
      <c r="L28" s="56"/>
      <c r="M28" s="57"/>
      <c r="N28" s="62" t="s">
        <v>44</v>
      </c>
      <c r="O28" s="38"/>
      <c r="P28" s="38"/>
    </row>
    <row r="29" spans="1:17" x14ac:dyDescent="0.35">
      <c r="A29" s="45" t="s">
        <v>22</v>
      </c>
      <c r="C29" s="95">
        <v>-1147196.98</v>
      </c>
      <c r="D29" s="245"/>
      <c r="E29" s="106">
        <f>+'[10]November 2024'!$G88+'[10]November 2024'!$G96</f>
        <v>254406.77000000002</v>
      </c>
      <c r="F29" s="106">
        <f>+'[10]December 2024'!$G88+'[10]December 2024'!$G96</f>
        <v>362868.27999999997</v>
      </c>
      <c r="G29" s="106">
        <f>+'[10]January 2025'!$G88+'[10]January 2025'!$G96</f>
        <v>443729.53</v>
      </c>
      <c r="H29" s="178">
        <f>+'[10]February 2025'!$G88+'[10]February 2025'!$G96</f>
        <v>415206.32999999996</v>
      </c>
      <c r="I29" s="54">
        <f>+'[10]March 2025'!$G88+'[10]March 2025'!$G96</f>
        <v>229078.86</v>
      </c>
      <c r="J29" s="171">
        <f>+'[10]April 2025'!$G88+'[10]April 2025'!$G96</f>
        <v>148397.41</v>
      </c>
      <c r="K29" s="117">
        <f>ROUND(K22*$N29,2)</f>
        <v>154457.29</v>
      </c>
      <c r="L29" s="40">
        <f t="shared" ref="L29:M29" si="5">ROUND(L22*$N29,2)</f>
        <v>201788.52</v>
      </c>
      <c r="M29" s="60">
        <f t="shared" si="5"/>
        <v>295479.52</v>
      </c>
      <c r="N29" s="71">
        <v>9.7999999999999997E-4</v>
      </c>
      <c r="P29" s="46">
        <f>-SUM(K29:M29)</f>
        <v>-651725.33000000007</v>
      </c>
    </row>
    <row r="30" spans="1:17" x14ac:dyDescent="0.35">
      <c r="A30" s="45" t="s">
        <v>94</v>
      </c>
      <c r="C30" s="95">
        <v>-63700.960000000006</v>
      </c>
      <c r="D30" s="245"/>
      <c r="E30" s="106">
        <f>+'[10]November 2024'!$G89+'[10]November 2024'!$G97</f>
        <v>18461.68</v>
      </c>
      <c r="F30" s="106">
        <f>+'[10]December 2024'!$G89+'[10]December 2024'!$G97</f>
        <v>22454.489999999998</v>
      </c>
      <c r="G30" s="106">
        <f>+'[10]January 2025'!$G89+'[10]January 2025'!$G97</f>
        <v>21770.090000000004</v>
      </c>
      <c r="H30" s="178">
        <f>+'[10]February 2025'!$G89+'[10]February 2025'!$G97</f>
        <v>51408.22</v>
      </c>
      <c r="I30" s="54">
        <f>+'[10]March 2025'!$G89+'[10]March 2025'!$G97</f>
        <v>72653.25</v>
      </c>
      <c r="J30" s="171">
        <f>+'[10]April 2025'!$G89+'[10]April 2025'!$G97</f>
        <v>68717.460000000006</v>
      </c>
      <c r="K30" s="117">
        <f t="shared" ref="K30:M30" si="6">ROUND(K23*$N30,2)</f>
        <v>73685.94</v>
      </c>
      <c r="L30" s="40">
        <f t="shared" si="6"/>
        <v>81516.81</v>
      </c>
      <c r="M30" s="60">
        <f t="shared" si="6"/>
        <v>91444.55</v>
      </c>
      <c r="N30" s="71">
        <v>1.5E-3</v>
      </c>
      <c r="P30" s="46">
        <f t="shared" ref="P30:P33" si="7">-SUM(K30:M30)</f>
        <v>-246647.3</v>
      </c>
    </row>
    <row r="31" spans="1:17" x14ac:dyDescent="0.35">
      <c r="A31" s="45" t="s">
        <v>95</v>
      </c>
      <c r="C31" s="95">
        <v>-524558.26</v>
      </c>
      <c r="D31" s="245"/>
      <c r="E31" s="106">
        <f>+'[10]November 2024'!$G90+'[10]November 2024'!$G98</f>
        <v>149770.35999999999</v>
      </c>
      <c r="F31" s="106">
        <f>+'[10]December 2024'!$G90+'[10]December 2024'!$G98</f>
        <v>167865.65999999997</v>
      </c>
      <c r="G31" s="106">
        <f>+'[10]January 2025'!$G90+'[10]January 2025'!$G98</f>
        <v>176229.24</v>
      </c>
      <c r="H31" s="178">
        <f>+'[10]February 2025'!$G90+'[10]February 2025'!$G98</f>
        <v>175267.26</v>
      </c>
      <c r="I31" s="54">
        <f>+'[10]March 2025'!$G90+'[10]March 2025'!$G98</f>
        <v>103384.4</v>
      </c>
      <c r="J31" s="171">
        <f>+'[10]April 2025'!$G90+'[10]April 2025'!$G98</f>
        <v>100172.97</v>
      </c>
      <c r="K31" s="117">
        <f t="shared" ref="K31:M31" si="8">ROUND(K24*$N31,2)</f>
        <v>111880.38</v>
      </c>
      <c r="L31" s="40">
        <f t="shared" si="8"/>
        <v>123770.3</v>
      </c>
      <c r="M31" s="60">
        <f t="shared" si="8"/>
        <v>138843.99</v>
      </c>
      <c r="N31" s="71">
        <v>1.33E-3</v>
      </c>
      <c r="P31" s="46">
        <f t="shared" si="7"/>
        <v>-374494.67</v>
      </c>
    </row>
    <row r="32" spans="1:17" x14ac:dyDescent="0.35">
      <c r="A32" s="45" t="s">
        <v>96</v>
      </c>
      <c r="C32" s="95">
        <v>-292587.19</v>
      </c>
      <c r="D32" s="245"/>
      <c r="E32" s="106">
        <f>+'[10]November 2024'!$G91+'[10]November 2024'!$G99</f>
        <v>88165.549999999988</v>
      </c>
      <c r="F32" s="106">
        <f>+'[10]December 2024'!$G91+'[10]December 2024'!$G99</f>
        <v>98824.7</v>
      </c>
      <c r="G32" s="106">
        <f>+'[10]January 2025'!$G91+'[10]January 2025'!$G99</f>
        <v>102049.67</v>
      </c>
      <c r="H32" s="178">
        <f>+'[10]February 2025'!$G91+'[10]February 2025'!$G99</f>
        <v>94412.709999999992</v>
      </c>
      <c r="I32" s="54">
        <f>+'[10]March 2025'!$G91+'[10]March 2025'!$G99</f>
        <v>-5859.7800000000061</v>
      </c>
      <c r="J32" s="171">
        <f>+'[10]April 2025'!$G91+'[10]April 2025'!$G99</f>
        <v>51562.2</v>
      </c>
      <c r="K32" s="117">
        <f t="shared" ref="K32:M32" si="9">ROUND(K25*$N32,2)</f>
        <v>56311.5</v>
      </c>
      <c r="L32" s="40">
        <f t="shared" si="9"/>
        <v>62295.92</v>
      </c>
      <c r="M32" s="60">
        <f t="shared" si="9"/>
        <v>69882.8</v>
      </c>
      <c r="N32" s="71">
        <v>4.0999999999999999E-4</v>
      </c>
      <c r="P32" s="46">
        <f t="shared" si="7"/>
        <v>-188490.22</v>
      </c>
    </row>
    <row r="33" spans="1:18" x14ac:dyDescent="0.35">
      <c r="A33" s="45" t="s">
        <v>97</v>
      </c>
      <c r="C33" s="95">
        <v>-173468.93</v>
      </c>
      <c r="D33" s="245"/>
      <c r="E33" s="106">
        <f>+'[10]November 2024'!$G92+'[10]November 2024'!$G100</f>
        <v>50993.829999999994</v>
      </c>
      <c r="F33" s="106">
        <f>+'[10]December 2024'!$G92+'[10]December 2024'!$G100</f>
        <v>38392.06</v>
      </c>
      <c r="G33" s="106">
        <f>+'[10]January 2025'!$G92+'[10]January 2025'!$G100</f>
        <v>49021.79</v>
      </c>
      <c r="H33" s="178">
        <f>+'[10]February 2025'!$G92+'[10]February 2025'!$G100</f>
        <v>36385.58</v>
      </c>
      <c r="I33" s="54">
        <f>+'[10]March 2025'!$G92+'[10]March 2025'!$G100</f>
        <v>-83944.23000000001</v>
      </c>
      <c r="J33" s="171">
        <f>+'[10]April 2025'!$G92+'[10]April 2025'!$G100</f>
        <v>-4512.3500000000004</v>
      </c>
      <c r="K33" s="117">
        <f>ROUND(K26*$N33,2)</f>
        <v>-4856.9399999999996</v>
      </c>
      <c r="L33" s="40">
        <f>ROUND(L26*$N33,2)</f>
        <v>-5373.1</v>
      </c>
      <c r="M33" s="60">
        <f>ROUND(M26*$N33,2)</f>
        <v>-6027.48</v>
      </c>
      <c r="N33" s="71">
        <v>-1.5000000000000001E-4</v>
      </c>
      <c r="P33" s="46">
        <f t="shared" si="7"/>
        <v>16257.52</v>
      </c>
    </row>
    <row r="34" spans="1:18" x14ac:dyDescent="0.35">
      <c r="C34" s="66"/>
      <c r="D34" s="67"/>
      <c r="E34" s="17"/>
      <c r="F34" s="17"/>
      <c r="G34" s="17"/>
      <c r="H34" s="89"/>
      <c r="I34" s="17"/>
      <c r="J34" s="10"/>
      <c r="K34" s="55"/>
      <c r="L34" s="55"/>
      <c r="M34" s="12"/>
      <c r="N34" s="4"/>
    </row>
    <row r="35" spans="1:18" ht="15" thickBot="1" x14ac:dyDescent="0.4">
      <c r="A35" s="45" t="s">
        <v>12</v>
      </c>
      <c r="C35" s="100">
        <v>-45010.539999999994</v>
      </c>
      <c r="D35" s="249"/>
      <c r="E35" s="109">
        <v>16166.490000000002</v>
      </c>
      <c r="F35" s="109">
        <v>21805.550000000003</v>
      </c>
      <c r="G35" s="110">
        <f>25080.25-0.01</f>
        <v>25080.240000000002</v>
      </c>
      <c r="H35" s="25">
        <v>22267.93</v>
      </c>
      <c r="I35" s="116">
        <f>20161.92+0.01</f>
        <v>20161.929999999997</v>
      </c>
      <c r="J35" s="172">
        <f>18899.29+0.01</f>
        <v>18899.3</v>
      </c>
      <c r="K35" s="170">
        <f>ROUND((SUM(J45:J49)+SUM(J53:J57)+SUM(K38:K42)/2)*K$51,2)-0.01</f>
        <v>17567.02</v>
      </c>
      <c r="L35" s="135">
        <f>ROUND((SUM(K45:K49)+SUM(K53:K57)+SUM(L38:L42)/2)*L$51,2)</f>
        <v>16033.71</v>
      </c>
      <c r="M35" s="79"/>
      <c r="P35" s="46">
        <f t="shared" ref="P35" si="10">-SUM(K35:M35)</f>
        <v>-33600.729999999996</v>
      </c>
      <c r="R35" s="315"/>
    </row>
    <row r="36" spans="1:18" x14ac:dyDescent="0.35">
      <c r="C36" s="97"/>
      <c r="D36" s="144"/>
      <c r="E36" s="30"/>
      <c r="F36" s="30"/>
      <c r="G36" s="30"/>
      <c r="H36" s="27"/>
      <c r="I36" s="30"/>
      <c r="J36" s="10"/>
      <c r="K36" s="16"/>
      <c r="L36" s="16"/>
      <c r="M36" s="10"/>
    </row>
    <row r="37" spans="1:18" x14ac:dyDescent="0.35">
      <c r="A37" s="45" t="s">
        <v>46</v>
      </c>
      <c r="C37" s="97"/>
      <c r="D37" s="144"/>
      <c r="E37" s="30"/>
      <c r="F37" s="30"/>
      <c r="G37" s="30"/>
      <c r="H37" s="27"/>
      <c r="I37" s="30"/>
      <c r="J37" s="10"/>
      <c r="K37" s="16"/>
      <c r="L37" s="16"/>
      <c r="M37" s="10"/>
    </row>
    <row r="38" spans="1:18" x14ac:dyDescent="0.35">
      <c r="A38" s="45" t="s">
        <v>22</v>
      </c>
      <c r="C38" s="39">
        <f t="shared" ref="C38:M38" si="11">C15-C29</f>
        <v>-521428.28</v>
      </c>
      <c r="D38" s="117">
        <f>D15-D29</f>
        <v>0</v>
      </c>
      <c r="E38" s="40">
        <f t="shared" si="11"/>
        <v>318226.39</v>
      </c>
      <c r="F38" s="40">
        <f t="shared" si="11"/>
        <v>959497.19999999972</v>
      </c>
      <c r="G38" s="105">
        <f t="shared" si="11"/>
        <v>-436162.92000000004</v>
      </c>
      <c r="H38" s="39">
        <f t="shared" si="11"/>
        <v>-427084.06999999995</v>
      </c>
      <c r="I38" s="40">
        <f t="shared" si="11"/>
        <v>-137604.39999999997</v>
      </c>
      <c r="J38" s="60">
        <f t="shared" si="11"/>
        <v>-136981.47</v>
      </c>
      <c r="K38" s="117">
        <f t="shared" si="11"/>
        <v>-69408.010000000024</v>
      </c>
      <c r="L38" s="40">
        <f t="shared" si="11"/>
        <v>-201788.52</v>
      </c>
      <c r="M38" s="48">
        <f t="shared" si="11"/>
        <v>-295479.52</v>
      </c>
    </row>
    <row r="39" spans="1:18" x14ac:dyDescent="0.35">
      <c r="A39" s="45" t="s">
        <v>94</v>
      </c>
      <c r="C39" s="39">
        <f t="shared" ref="C39:M39" si="12">C16-C30</f>
        <v>-357300.91</v>
      </c>
      <c r="D39" s="117">
        <f>D16-D30</f>
        <v>0</v>
      </c>
      <c r="E39" s="40">
        <f t="shared" si="12"/>
        <v>109652.78</v>
      </c>
      <c r="F39" s="40">
        <f t="shared" si="12"/>
        <v>130997.25</v>
      </c>
      <c r="G39" s="105">
        <f t="shared" si="12"/>
        <v>33914.30999999999</v>
      </c>
      <c r="H39" s="39">
        <f t="shared" si="12"/>
        <v>-47064.54</v>
      </c>
      <c r="I39" s="40">
        <f t="shared" si="12"/>
        <v>-69693.31</v>
      </c>
      <c r="J39" s="60">
        <f t="shared" si="12"/>
        <v>-72717.710000000006</v>
      </c>
      <c r="K39" s="117">
        <f t="shared" si="12"/>
        <v>-62455.240000000005</v>
      </c>
      <c r="L39" s="40">
        <f t="shared" si="12"/>
        <v>-81516.81</v>
      </c>
      <c r="M39" s="48">
        <f t="shared" si="12"/>
        <v>-91444.55</v>
      </c>
    </row>
    <row r="40" spans="1:18" x14ac:dyDescent="0.35">
      <c r="A40" s="45" t="s">
        <v>95</v>
      </c>
      <c r="C40" s="39">
        <f t="shared" ref="C40:M40" si="13">C17-C31</f>
        <v>-320086.87</v>
      </c>
      <c r="D40" s="117">
        <f t="shared" ref="D40" si="14">D17-D31</f>
        <v>0</v>
      </c>
      <c r="E40" s="40">
        <f t="shared" si="13"/>
        <v>26109.660000000033</v>
      </c>
      <c r="F40" s="40">
        <f t="shared" si="13"/>
        <v>516506.52999999997</v>
      </c>
      <c r="G40" s="105">
        <f t="shared" si="13"/>
        <v>-2292.6399999999849</v>
      </c>
      <c r="H40" s="39">
        <f t="shared" si="13"/>
        <v>-163658.48000000001</v>
      </c>
      <c r="I40" s="40">
        <f t="shared" si="13"/>
        <v>-95265.65</v>
      </c>
      <c r="J40" s="60">
        <f t="shared" si="13"/>
        <v>-107527.79000000001</v>
      </c>
      <c r="K40" s="117">
        <f t="shared" si="13"/>
        <v>-79935.390000000014</v>
      </c>
      <c r="L40" s="40">
        <f t="shared" si="13"/>
        <v>-123770.3</v>
      </c>
      <c r="M40" s="48">
        <f t="shared" si="13"/>
        <v>-138843.99</v>
      </c>
    </row>
    <row r="41" spans="1:18" x14ac:dyDescent="0.35">
      <c r="A41" s="45" t="s">
        <v>96</v>
      </c>
      <c r="C41" s="39">
        <f t="shared" ref="C41:M41" si="15">C18-C32</f>
        <v>-1051252.2000000002</v>
      </c>
      <c r="D41" s="117">
        <f t="shared" ref="D41" si="16">D18-D32</f>
        <v>0</v>
      </c>
      <c r="E41" s="40">
        <f t="shared" si="15"/>
        <v>110246.18</v>
      </c>
      <c r="F41" s="40">
        <f t="shared" si="15"/>
        <v>442892.37000000005</v>
      </c>
      <c r="G41" s="105">
        <f t="shared" si="15"/>
        <v>-59636.529999999984</v>
      </c>
      <c r="H41" s="39">
        <f t="shared" si="15"/>
        <v>-84879.93</v>
      </c>
      <c r="I41" s="40">
        <f t="shared" si="15"/>
        <v>12093.680000000006</v>
      </c>
      <c r="J41" s="60">
        <f t="shared" si="15"/>
        <v>-63317.8</v>
      </c>
      <c r="K41" s="117">
        <f t="shared" si="15"/>
        <v>-30225.67</v>
      </c>
      <c r="L41" s="40">
        <f t="shared" si="15"/>
        <v>-62295.92</v>
      </c>
      <c r="M41" s="48">
        <f t="shared" si="15"/>
        <v>-69882.8</v>
      </c>
    </row>
    <row r="42" spans="1:18" x14ac:dyDescent="0.35">
      <c r="A42" s="45" t="s">
        <v>97</v>
      </c>
      <c r="C42" s="39">
        <f t="shared" ref="C42:M42" si="17">C19-C33</f>
        <v>-185669.68</v>
      </c>
      <c r="D42" s="117">
        <f t="shared" ref="D42" si="18">D19-D33</f>
        <v>0</v>
      </c>
      <c r="E42" s="40">
        <f t="shared" si="17"/>
        <v>-14601.280000000217</v>
      </c>
      <c r="F42" s="40">
        <f t="shared" si="17"/>
        <v>11198.320000000589</v>
      </c>
      <c r="G42" s="105">
        <f t="shared" si="17"/>
        <v>-62422.369999999995</v>
      </c>
      <c r="H42" s="39">
        <f t="shared" si="17"/>
        <v>-35147.10000000002</v>
      </c>
      <c r="I42" s="40">
        <f t="shared" si="17"/>
        <v>84620.010000000038</v>
      </c>
      <c r="J42" s="60">
        <f t="shared" si="17"/>
        <v>904.37000000003354</v>
      </c>
      <c r="K42" s="117">
        <f t="shared" si="17"/>
        <v>7220.99</v>
      </c>
      <c r="L42" s="40">
        <f t="shared" si="17"/>
        <v>5373.1</v>
      </c>
      <c r="M42" s="48">
        <f t="shared" si="17"/>
        <v>6027.48</v>
      </c>
    </row>
    <row r="43" spans="1:18" x14ac:dyDescent="0.35">
      <c r="C43" s="97"/>
      <c r="D43" s="144"/>
      <c r="E43" s="30"/>
      <c r="F43" s="30"/>
      <c r="G43" s="30"/>
      <c r="H43" s="27"/>
      <c r="I43" s="30"/>
      <c r="J43" s="10"/>
      <c r="K43" s="16"/>
      <c r="L43" s="16"/>
      <c r="M43" s="10"/>
    </row>
    <row r="44" spans="1:18" ht="15" thickBot="1" x14ac:dyDescent="0.4">
      <c r="A44" s="45" t="s">
        <v>47</v>
      </c>
      <c r="C44" s="101"/>
      <c r="D44" s="250"/>
      <c r="E44" s="30"/>
      <c r="F44" s="30"/>
      <c r="G44" s="30"/>
      <c r="H44" s="27"/>
      <c r="I44" s="30"/>
      <c r="J44" s="10"/>
      <c r="K44" s="16"/>
      <c r="L44" s="16"/>
      <c r="M44" s="10"/>
    </row>
    <row r="45" spans="1:18" x14ac:dyDescent="0.35">
      <c r="A45" s="45" t="s">
        <v>22</v>
      </c>
      <c r="B45" s="285">
        <v>2456213.73</v>
      </c>
      <c r="C45" s="40">
        <f t="shared" ref="C45:M45" si="19">B45+C38+B53</f>
        <v>1934785.45</v>
      </c>
      <c r="D45" s="40">
        <f t="shared" ref="D45:D49" si="20">C45+D38+C53</f>
        <v>1910329.8699999999</v>
      </c>
      <c r="E45" s="40">
        <f t="shared" ref="E45:E49" si="21">D45+E38+D53</f>
        <v>2228556.2599999998</v>
      </c>
      <c r="F45" s="40">
        <f t="shared" si="19"/>
        <v>3198103.7699999996</v>
      </c>
      <c r="G45" s="105">
        <f t="shared" si="19"/>
        <v>2774687.2699999996</v>
      </c>
      <c r="H45" s="39">
        <f t="shared" si="19"/>
        <v>2361402.4099999997</v>
      </c>
      <c r="I45" s="40">
        <f t="shared" si="19"/>
        <v>2235688.4299999997</v>
      </c>
      <c r="J45" s="60">
        <f t="shared" si="19"/>
        <v>2109357.0499999993</v>
      </c>
      <c r="K45" s="117">
        <f t="shared" si="19"/>
        <v>2050012.3099999994</v>
      </c>
      <c r="L45" s="40">
        <f t="shared" si="19"/>
        <v>1857856.7199999993</v>
      </c>
      <c r="M45" s="48">
        <f t="shared" si="19"/>
        <v>1571428.0799999991</v>
      </c>
    </row>
    <row r="46" spans="1:18" x14ac:dyDescent="0.35">
      <c r="A46" s="45" t="s">
        <v>94</v>
      </c>
      <c r="B46" s="287">
        <v>958050.81783979794</v>
      </c>
      <c r="C46" s="40">
        <f t="shared" ref="C46:M46" si="22">B46+C39+B54</f>
        <v>600749.9078397979</v>
      </c>
      <c r="D46" s="40">
        <f t="shared" si="20"/>
        <v>593242.32783979794</v>
      </c>
      <c r="E46" s="40">
        <f t="shared" si="21"/>
        <v>702895.10783979797</v>
      </c>
      <c r="F46" s="40">
        <f t="shared" si="22"/>
        <v>837039.72783979797</v>
      </c>
      <c r="G46" s="105">
        <f t="shared" si="22"/>
        <v>874571.80783979793</v>
      </c>
      <c r="H46" s="39">
        <f t="shared" si="22"/>
        <v>831461.59783979785</v>
      </c>
      <c r="I46" s="40">
        <f t="shared" si="22"/>
        <v>765716.42783979781</v>
      </c>
      <c r="J46" s="60">
        <f t="shared" si="22"/>
        <v>696698.47783979785</v>
      </c>
      <c r="K46" s="117">
        <f t="shared" si="22"/>
        <v>637630.50783979788</v>
      </c>
      <c r="L46" s="40">
        <f t="shared" si="22"/>
        <v>559204.31783979794</v>
      </c>
      <c r="M46" s="48">
        <f t="shared" si="22"/>
        <v>470532.03783979797</v>
      </c>
    </row>
    <row r="47" spans="1:18" x14ac:dyDescent="0.35">
      <c r="A47" s="45" t="s">
        <v>95</v>
      </c>
      <c r="B47" s="287">
        <v>1500106.78</v>
      </c>
      <c r="C47" s="40">
        <f t="shared" ref="C47:M47" si="23">B47+C40+B55</f>
        <v>1180019.9100000001</v>
      </c>
      <c r="D47" s="40">
        <f t="shared" si="20"/>
        <v>1166464.9500000002</v>
      </c>
      <c r="E47" s="40">
        <f t="shared" si="21"/>
        <v>1192574.6100000003</v>
      </c>
      <c r="F47" s="40">
        <f t="shared" si="23"/>
        <v>1714809.5100000005</v>
      </c>
      <c r="G47" s="105">
        <f t="shared" si="23"/>
        <v>1719346.6900000006</v>
      </c>
      <c r="H47" s="39">
        <f t="shared" si="23"/>
        <v>1563621.1500000006</v>
      </c>
      <c r="I47" s="40">
        <f t="shared" si="23"/>
        <v>1475953.7600000007</v>
      </c>
      <c r="J47" s="60">
        <f t="shared" si="23"/>
        <v>1375467.1500000006</v>
      </c>
      <c r="K47" s="117">
        <f t="shared" si="23"/>
        <v>1302135.8700000008</v>
      </c>
      <c r="L47" s="40">
        <f t="shared" si="23"/>
        <v>1184567.0800000008</v>
      </c>
      <c r="M47" s="48">
        <f t="shared" si="23"/>
        <v>1051482.6200000008</v>
      </c>
    </row>
    <row r="48" spans="1:18" x14ac:dyDescent="0.35">
      <c r="A48" s="45" t="s">
        <v>96</v>
      </c>
      <c r="B48" s="287">
        <v>709762.85000000033</v>
      </c>
      <c r="C48" s="40">
        <f t="shared" ref="C48:M48" si="24">B48+C41+B56</f>
        <v>-341489.34999999986</v>
      </c>
      <c r="D48" s="40">
        <f t="shared" si="20"/>
        <v>-342765.41999999987</v>
      </c>
      <c r="E48" s="40">
        <f t="shared" si="21"/>
        <v>-232519.23999999987</v>
      </c>
      <c r="F48" s="40">
        <f t="shared" si="24"/>
        <v>208976.19000000018</v>
      </c>
      <c r="G48" s="105">
        <f t="shared" si="24"/>
        <v>149281.19000000021</v>
      </c>
      <c r="H48" s="39">
        <f t="shared" si="24"/>
        <v>65227.060000000216</v>
      </c>
      <c r="I48" s="40">
        <f t="shared" si="24"/>
        <v>77817.920000000217</v>
      </c>
      <c r="J48" s="60">
        <f t="shared" si="24"/>
        <v>14831.810000000214</v>
      </c>
      <c r="K48" s="117">
        <f t="shared" si="24"/>
        <v>-15179.039999999784</v>
      </c>
      <c r="L48" s="40">
        <f t="shared" si="24"/>
        <v>-77475.269999999786</v>
      </c>
      <c r="M48" s="48">
        <f t="shared" si="24"/>
        <v>-147572.13999999978</v>
      </c>
    </row>
    <row r="49" spans="1:16" ht="15" thickBot="1" x14ac:dyDescent="0.4">
      <c r="A49" s="45" t="s">
        <v>97</v>
      </c>
      <c r="B49" s="286">
        <v>-89387.89783979705</v>
      </c>
      <c r="C49" s="40">
        <f>B49+C42+B57</f>
        <v>-275057.57783979701</v>
      </c>
      <c r="D49" s="40">
        <f t="shared" si="20"/>
        <v>-273273.92783979699</v>
      </c>
      <c r="E49" s="40">
        <f t="shared" si="21"/>
        <v>-287875.20783979719</v>
      </c>
      <c r="F49" s="40">
        <f t="shared" ref="F49:M49" si="25">E49+F42+E57</f>
        <v>-278039.5078397966</v>
      </c>
      <c r="G49" s="105">
        <f t="shared" si="25"/>
        <v>-341791.86783979659</v>
      </c>
      <c r="H49" s="39">
        <f t="shared" si="25"/>
        <v>-378371.0078397966</v>
      </c>
      <c r="I49" s="40">
        <f t="shared" si="25"/>
        <v>-295417.0678397966</v>
      </c>
      <c r="J49" s="60">
        <f t="shared" si="25"/>
        <v>-296073.48783979652</v>
      </c>
      <c r="K49" s="117">
        <f t="shared" si="25"/>
        <v>-290222.66783979652</v>
      </c>
      <c r="L49" s="40">
        <f t="shared" si="25"/>
        <v>-286207.29783979652</v>
      </c>
      <c r="M49" s="48">
        <f t="shared" si="25"/>
        <v>-281514.71783979656</v>
      </c>
    </row>
    <row r="50" spans="1:16" x14ac:dyDescent="0.35">
      <c r="C50" s="97"/>
      <c r="D50" s="144"/>
      <c r="E50" s="30"/>
      <c r="F50" s="30"/>
      <c r="G50" s="30"/>
      <c r="H50" s="27"/>
      <c r="I50" s="30"/>
      <c r="J50" s="10"/>
      <c r="K50" s="16"/>
      <c r="L50" s="16"/>
      <c r="M50" s="10"/>
    </row>
    <row r="51" spans="1:16" x14ac:dyDescent="0.35">
      <c r="A51" s="38" t="s">
        <v>43</v>
      </c>
      <c r="B51" s="38"/>
      <c r="C51" s="101"/>
      <c r="D51" s="250"/>
      <c r="E51" s="81">
        <f>+'[11]Metro ST Rate Nov 2024'!$E$43</f>
        <v>4.8565300000000004E-3</v>
      </c>
      <c r="F51" s="81">
        <f>+'[11]Metro ST Rate Dec 2024'!$E$43</f>
        <v>4.6890200000000003E-3</v>
      </c>
      <c r="G51" s="81">
        <f>+'[11]Metro ST Rate Jan 2025'!$E$43</f>
        <v>4.6108499999999997E-3</v>
      </c>
      <c r="H51" s="82">
        <f>+'[11]Metro ST Rate Feb 2025'!$E$43</f>
        <v>4.6177400000000004E-3</v>
      </c>
      <c r="I51" s="81">
        <f>+'[11]Metro ST Rate Mar 2025'!$E$43</f>
        <v>4.62145E-3</v>
      </c>
      <c r="J51" s="90">
        <f>+'[11]Metro ST Rate Apr 2025'!$E$43</f>
        <v>4.6207399999999999E-3</v>
      </c>
      <c r="K51" s="81">
        <f>+J51</f>
        <v>4.6207399999999999E-3</v>
      </c>
      <c r="L51" s="81">
        <f>+K51</f>
        <v>4.6207399999999999E-3</v>
      </c>
      <c r="M51" s="90"/>
    </row>
    <row r="52" spans="1:16" x14ac:dyDescent="0.35">
      <c r="A52" s="38" t="s">
        <v>31</v>
      </c>
      <c r="B52" s="38"/>
      <c r="C52" s="97"/>
      <c r="D52" s="144"/>
      <c r="E52" s="30"/>
      <c r="F52" s="30"/>
      <c r="G52" s="30"/>
      <c r="H52" s="27"/>
      <c r="I52" s="30"/>
      <c r="J52" s="10"/>
      <c r="K52" s="16"/>
      <c r="L52" s="16"/>
      <c r="M52" s="10"/>
      <c r="N52" s="70"/>
    </row>
    <row r="53" spans="1:16" x14ac:dyDescent="0.35">
      <c r="A53" s="45" t="s">
        <v>22</v>
      </c>
      <c r="C53" s="289">
        <v>-24455.58</v>
      </c>
      <c r="D53" s="117"/>
      <c r="E53" s="40">
        <f>ROUND((C45+C53+D53+E38/2)*E$51,2)</f>
        <v>10050.31</v>
      </c>
      <c r="F53" s="40">
        <f t="shared" ref="F53:L57" si="26">ROUND((E45+E53+F38/2)*F$51,2)</f>
        <v>12746.42</v>
      </c>
      <c r="G53" s="105">
        <f t="shared" si="26"/>
        <v>13799.21</v>
      </c>
      <c r="H53" s="39">
        <f t="shared" si="26"/>
        <v>11890.42</v>
      </c>
      <c r="I53" s="117">
        <f t="shared" si="26"/>
        <v>10650.09</v>
      </c>
      <c r="J53" s="60">
        <f t="shared" si="26"/>
        <v>10063.27</v>
      </c>
      <c r="K53" s="117">
        <f t="shared" si="26"/>
        <v>9632.93</v>
      </c>
      <c r="L53" s="117">
        <f t="shared" si="26"/>
        <v>9050.8799999999992</v>
      </c>
      <c r="M53" s="48"/>
      <c r="P53" s="46">
        <f t="shared" ref="P53:P57" si="27">-SUM(K53:M53)</f>
        <v>-18683.809999999998</v>
      </c>
    </row>
    <row r="54" spans="1:16" x14ac:dyDescent="0.35">
      <c r="A54" s="45" t="s">
        <v>94</v>
      </c>
      <c r="C54" s="323">
        <v>-7507.58</v>
      </c>
      <c r="D54" s="251"/>
      <c r="E54" s="40">
        <f t="shared" ref="E54:E57" si="28">ROUND((C46+C54+D54+E39/2)*E$51,2)</f>
        <v>3147.37</v>
      </c>
      <c r="F54" s="40">
        <f t="shared" si="26"/>
        <v>3617.77</v>
      </c>
      <c r="G54" s="105">
        <f t="shared" si="26"/>
        <v>3954.33</v>
      </c>
      <c r="H54" s="39">
        <f t="shared" si="26"/>
        <v>3948.14</v>
      </c>
      <c r="I54" s="117">
        <f t="shared" si="26"/>
        <v>3699.76</v>
      </c>
      <c r="J54" s="60">
        <f t="shared" si="26"/>
        <v>3387.27</v>
      </c>
      <c r="K54" s="117">
        <f t="shared" si="26"/>
        <v>3090.62</v>
      </c>
      <c r="L54" s="117">
        <f t="shared" si="26"/>
        <v>2772.27</v>
      </c>
      <c r="M54" s="48"/>
      <c r="P54" s="46">
        <f t="shared" si="27"/>
        <v>-5862.8899999999994</v>
      </c>
    </row>
    <row r="55" spans="1:16" x14ac:dyDescent="0.35">
      <c r="A55" s="45" t="s">
        <v>95</v>
      </c>
      <c r="C55" s="323">
        <v>-13554.96</v>
      </c>
      <c r="D55" s="251"/>
      <c r="E55" s="40">
        <f t="shared" si="28"/>
        <v>5728.37</v>
      </c>
      <c r="F55" s="40">
        <f t="shared" si="26"/>
        <v>6829.82</v>
      </c>
      <c r="G55" s="105">
        <f t="shared" si="26"/>
        <v>7932.94</v>
      </c>
      <c r="H55" s="39">
        <f t="shared" si="26"/>
        <v>7598.26</v>
      </c>
      <c r="I55" s="117">
        <f t="shared" si="26"/>
        <v>7041.18</v>
      </c>
      <c r="J55" s="60">
        <f t="shared" si="26"/>
        <v>6604.11</v>
      </c>
      <c r="K55" s="117">
        <f t="shared" si="26"/>
        <v>6201.51</v>
      </c>
      <c r="L55" s="117">
        <f t="shared" si="26"/>
        <v>5759.53</v>
      </c>
      <c r="M55" s="48"/>
      <c r="P55" s="46">
        <f t="shared" si="27"/>
        <v>-11961.04</v>
      </c>
    </row>
    <row r="56" spans="1:16" x14ac:dyDescent="0.35">
      <c r="A56" s="45" t="s">
        <v>96</v>
      </c>
      <c r="C56" s="323">
        <v>-1276.07</v>
      </c>
      <c r="D56" s="251"/>
      <c r="E56" s="40">
        <f t="shared" si="28"/>
        <v>-1396.94</v>
      </c>
      <c r="F56" s="40">
        <f t="shared" si="26"/>
        <v>-58.47</v>
      </c>
      <c r="G56" s="105">
        <f t="shared" si="26"/>
        <v>825.8</v>
      </c>
      <c r="H56" s="39">
        <f t="shared" si="26"/>
        <v>497.18</v>
      </c>
      <c r="I56" s="117">
        <f t="shared" si="26"/>
        <v>331.69</v>
      </c>
      <c r="J56" s="60">
        <f t="shared" si="26"/>
        <v>214.82</v>
      </c>
      <c r="K56" s="117">
        <f t="shared" si="26"/>
        <v>-0.31</v>
      </c>
      <c r="L56" s="117">
        <f t="shared" si="26"/>
        <v>-214.07</v>
      </c>
      <c r="M56" s="48"/>
      <c r="P56" s="46">
        <f t="shared" si="27"/>
        <v>214.38</v>
      </c>
    </row>
    <row r="57" spans="1:16" ht="15" thickBot="1" x14ac:dyDescent="0.4">
      <c r="A57" s="45" t="s">
        <v>97</v>
      </c>
      <c r="C57" s="324">
        <v>1783.65</v>
      </c>
      <c r="D57" s="251"/>
      <c r="E57" s="40">
        <f t="shared" si="28"/>
        <v>-1362.62</v>
      </c>
      <c r="F57" s="40">
        <f t="shared" si="26"/>
        <v>-1329.99</v>
      </c>
      <c r="G57" s="105">
        <f t="shared" si="26"/>
        <v>-1432.04</v>
      </c>
      <c r="H57" s="39">
        <f t="shared" si="26"/>
        <v>-1666.07</v>
      </c>
      <c r="I57" s="117">
        <f t="shared" si="26"/>
        <v>-1560.79</v>
      </c>
      <c r="J57" s="60">
        <f t="shared" si="26"/>
        <v>-1370.17</v>
      </c>
      <c r="K57" s="117">
        <f t="shared" si="26"/>
        <v>-1357.73</v>
      </c>
      <c r="L57" s="117">
        <f t="shared" si="26"/>
        <v>-1334.9</v>
      </c>
      <c r="M57" s="48"/>
      <c r="N57" s="282"/>
      <c r="O57" s="282"/>
      <c r="P57" s="46">
        <f t="shared" si="27"/>
        <v>2692.63</v>
      </c>
    </row>
    <row r="58" spans="1:16" ht="15.5" thickTop="1" thickBot="1" x14ac:dyDescent="0.4">
      <c r="A58" s="53" t="s">
        <v>20</v>
      </c>
      <c r="B58" s="53"/>
      <c r="C58" s="111">
        <v>0</v>
      </c>
      <c r="D58" s="252"/>
      <c r="E58" s="31">
        <f t="shared" ref="E58:M58" si="29">SUM(E53:E57)+SUM(E45:E49)-E61</f>
        <v>0</v>
      </c>
      <c r="F58" s="31">
        <f t="shared" si="29"/>
        <v>0</v>
      </c>
      <c r="G58" s="49">
        <f t="shared" si="29"/>
        <v>0</v>
      </c>
      <c r="H58" s="118">
        <f t="shared" si="29"/>
        <v>0</v>
      </c>
      <c r="I58" s="31">
        <f t="shared" si="29"/>
        <v>0</v>
      </c>
      <c r="J58" s="61">
        <f t="shared" si="29"/>
        <v>0</v>
      </c>
      <c r="K58" s="158">
        <f t="shared" si="29"/>
        <v>0</v>
      </c>
      <c r="L58" s="31">
        <f t="shared" si="29"/>
        <v>0</v>
      </c>
      <c r="M58" s="94">
        <f t="shared" si="29"/>
        <v>0</v>
      </c>
    </row>
    <row r="59" spans="1:16" ht="15.5" thickTop="1" thickBot="1" x14ac:dyDescent="0.4">
      <c r="A59" s="53" t="s">
        <v>21</v>
      </c>
      <c r="B59" s="53"/>
      <c r="C59" s="104">
        <v>0</v>
      </c>
      <c r="D59" s="253"/>
      <c r="E59" s="31">
        <f t="shared" ref="E59:J59" si="30">SUM(E53:E57)-E35</f>
        <v>0</v>
      </c>
      <c r="F59" s="31">
        <f t="shared" si="30"/>
        <v>0</v>
      </c>
      <c r="G59" s="49">
        <f t="shared" ref="G59:I59" si="31">SUM(G53:G57)-G35</f>
        <v>0</v>
      </c>
      <c r="H59" s="50">
        <f t="shared" si="31"/>
        <v>0</v>
      </c>
      <c r="I59" s="31">
        <f t="shared" si="31"/>
        <v>0</v>
      </c>
      <c r="J59" s="61">
        <f t="shared" si="30"/>
        <v>0</v>
      </c>
      <c r="K59" s="158">
        <f t="shared" ref="K59:M59" si="32">SUM(K53:K57)-K35</f>
        <v>0</v>
      </c>
      <c r="L59" s="31">
        <f t="shared" si="32"/>
        <v>0</v>
      </c>
      <c r="M59" s="94">
        <f t="shared" si="32"/>
        <v>0</v>
      </c>
    </row>
    <row r="60" spans="1:16" ht="15.5" thickTop="1" thickBot="1" x14ac:dyDescent="0.4">
      <c r="C60" s="97"/>
      <c r="D60" s="144"/>
      <c r="E60" s="16"/>
      <c r="F60" s="16"/>
      <c r="G60" s="16"/>
      <c r="H60" s="9"/>
      <c r="I60" s="16"/>
      <c r="J60" s="10"/>
      <c r="K60" s="16"/>
      <c r="L60" s="16"/>
      <c r="M60" s="10"/>
    </row>
    <row r="61" spans="1:16" ht="15" thickBot="1" x14ac:dyDescent="0.4">
      <c r="A61" s="45" t="s">
        <v>30</v>
      </c>
      <c r="B61" s="113">
        <f>SUM(B45:B49)</f>
        <v>5534746.2800000021</v>
      </c>
      <c r="C61" s="39">
        <f>(SUM(C15:C19)-SUM(C29:C33))+SUM(C53:C57)+B61</f>
        <v>3053997.8000000012</v>
      </c>
      <c r="D61" s="40">
        <f>(SUM(D15:D19)-SUM(D29:D33))+SUM(D53:D57)+C61</f>
        <v>3053997.8000000012</v>
      </c>
      <c r="E61" s="40">
        <f>(SUM(E15:E19)-SUM(E29:E33))+SUM(D53:E57)+C61</f>
        <v>3619798.0200000014</v>
      </c>
      <c r="F61" s="40">
        <f t="shared" ref="F61:M61" si="33">(SUM(F15:F19)-SUM(F29:F33))+SUM(F53:F57)+E61</f>
        <v>5702695.2400000021</v>
      </c>
      <c r="G61" s="105">
        <f t="shared" si="33"/>
        <v>5201175.3300000019</v>
      </c>
      <c r="H61" s="39">
        <f t="shared" si="33"/>
        <v>4465609.1400000025</v>
      </c>
      <c r="I61" s="40">
        <f t="shared" si="33"/>
        <v>4279921.4000000022</v>
      </c>
      <c r="J61" s="60">
        <f t="shared" si="33"/>
        <v>3919180.3000000021</v>
      </c>
      <c r="K61" s="117">
        <f t="shared" si="33"/>
        <v>3701944.0000000023</v>
      </c>
      <c r="L61" s="40">
        <f t="shared" si="33"/>
        <v>3253979.2600000026</v>
      </c>
      <c r="M61" s="60">
        <f t="shared" si="33"/>
        <v>2664355.8800000027</v>
      </c>
    </row>
    <row r="62" spans="1:16" x14ac:dyDescent="0.35">
      <c r="A62" s="45" t="s">
        <v>10</v>
      </c>
      <c r="C62" s="114"/>
      <c r="D62" s="16"/>
      <c r="E62" s="55"/>
      <c r="F62" s="55"/>
      <c r="G62" s="55"/>
      <c r="H62" s="11"/>
      <c r="I62" s="55"/>
      <c r="J62" s="10"/>
      <c r="K62" s="16"/>
      <c r="L62" s="16"/>
      <c r="M62" s="10"/>
    </row>
    <row r="63" spans="1:16" ht="15" thickBot="1" x14ac:dyDescent="0.4">
      <c r="B63" s="16"/>
      <c r="C63" s="42"/>
      <c r="D63" s="43"/>
      <c r="E63" s="43"/>
      <c r="F63" s="43"/>
      <c r="G63" s="43"/>
      <c r="H63" s="42"/>
      <c r="I63" s="43"/>
      <c r="J63" s="44"/>
      <c r="K63" s="43"/>
      <c r="L63" s="43"/>
      <c r="M63" s="44"/>
    </row>
    <row r="64" spans="1:16" x14ac:dyDescent="0.35">
      <c r="D64" s="46"/>
    </row>
    <row r="65" spans="1:13" x14ac:dyDescent="0.35">
      <c r="A65" s="68" t="s">
        <v>9</v>
      </c>
      <c r="B65" s="68"/>
      <c r="C65" s="68"/>
      <c r="D65" s="68"/>
    </row>
    <row r="66" spans="1:13" ht="81" customHeight="1" x14ac:dyDescent="0.35">
      <c r="A66" s="355" t="s">
        <v>292</v>
      </c>
      <c r="B66" s="355"/>
      <c r="C66" s="355"/>
      <c r="D66" s="355"/>
      <c r="E66" s="355"/>
      <c r="F66" s="355"/>
      <c r="G66" s="355"/>
      <c r="H66" s="355"/>
      <c r="I66" s="355"/>
      <c r="J66" s="355"/>
      <c r="K66" s="221"/>
      <c r="L66" s="221"/>
      <c r="M66" s="221"/>
    </row>
    <row r="67" spans="1:13" ht="59.25" customHeight="1" x14ac:dyDescent="0.35">
      <c r="A67" s="355" t="s">
        <v>307</v>
      </c>
      <c r="B67" s="355"/>
      <c r="C67" s="355"/>
      <c r="D67" s="355"/>
      <c r="E67" s="355"/>
      <c r="F67" s="355"/>
      <c r="G67" s="355"/>
      <c r="H67" s="355"/>
      <c r="I67" s="355"/>
      <c r="J67" s="355"/>
      <c r="K67" s="221"/>
      <c r="L67" s="221"/>
      <c r="M67" s="221"/>
    </row>
    <row r="68" spans="1:13" ht="63.75" customHeight="1" x14ac:dyDescent="0.35">
      <c r="A68" s="355" t="s">
        <v>245</v>
      </c>
      <c r="B68" s="355"/>
      <c r="C68" s="355"/>
      <c r="D68" s="355"/>
      <c r="E68" s="355"/>
      <c r="F68" s="355"/>
      <c r="G68" s="355"/>
      <c r="H68" s="355"/>
      <c r="I68" s="355"/>
      <c r="J68" s="355"/>
      <c r="K68" s="221"/>
      <c r="L68" s="221"/>
      <c r="M68" s="221"/>
    </row>
    <row r="69" spans="1:13" x14ac:dyDescent="0.35">
      <c r="A69" s="355" t="s">
        <v>224</v>
      </c>
      <c r="B69" s="355"/>
      <c r="C69" s="355"/>
      <c r="D69" s="355"/>
      <c r="E69" s="355"/>
      <c r="F69" s="355"/>
      <c r="G69" s="355"/>
      <c r="H69" s="355"/>
      <c r="I69" s="355"/>
      <c r="J69" s="355"/>
    </row>
    <row r="70" spans="1:13" x14ac:dyDescent="0.35">
      <c r="A70" s="62" t="s">
        <v>250</v>
      </c>
      <c r="B70" s="62"/>
      <c r="C70" s="62"/>
      <c r="D70" s="62"/>
      <c r="E70" s="38"/>
      <c r="F70" s="38"/>
      <c r="G70" s="38"/>
      <c r="H70" s="38"/>
      <c r="I70" s="38"/>
      <c r="J70" s="306"/>
    </row>
    <row r="71" spans="1:13" x14ac:dyDescent="0.35">
      <c r="A71" s="3" t="s">
        <v>45</v>
      </c>
      <c r="B71" s="3"/>
      <c r="C71" s="3"/>
      <c r="D71" s="3"/>
      <c r="J71" s="4"/>
    </row>
    <row r="72" spans="1:13" x14ac:dyDescent="0.35">
      <c r="A72" s="317"/>
    </row>
    <row r="73" spans="1:13" ht="33.75" customHeight="1" x14ac:dyDescent="0.35">
      <c r="A73" s="356"/>
      <c r="B73" s="356"/>
      <c r="C73" s="356"/>
      <c r="D73" s="356"/>
      <c r="E73" s="356"/>
      <c r="F73" s="356"/>
      <c r="G73" s="356"/>
    </row>
    <row r="75" spans="1:13" ht="31.5" customHeight="1" x14ac:dyDescent="0.35">
      <c r="A75" s="356"/>
      <c r="B75" s="356"/>
      <c r="C75" s="356"/>
      <c r="D75" s="356"/>
      <c r="E75" s="356"/>
      <c r="F75" s="356"/>
      <c r="G75" s="356"/>
    </row>
    <row r="81" spans="14:14" x14ac:dyDescent="0.35">
      <c r="N81" s="7"/>
    </row>
  </sheetData>
  <mergeCells count="9">
    <mergeCell ref="K11:M11"/>
    <mergeCell ref="A66:J66"/>
    <mergeCell ref="A67:J67"/>
    <mergeCell ref="A75:G75"/>
    <mergeCell ref="A73:G73"/>
    <mergeCell ref="A68:J68"/>
    <mergeCell ref="E11:G11"/>
    <mergeCell ref="H11:J11"/>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F8D-5DDA-4043-8094-E35F198FC98E}">
  <sheetPr codeName="Sheet11">
    <pageSetUpPr fitToPage="1"/>
  </sheetPr>
  <dimension ref="A1:AJ81"/>
  <sheetViews>
    <sheetView zoomScale="85" zoomScaleNormal="85" workbookViewId="0">
      <selection activeCell="A11" sqref="A11"/>
    </sheetView>
  </sheetViews>
  <sheetFormatPr defaultColWidth="9.1796875" defaultRowHeight="14.5" outlineLevelCol="1" x14ac:dyDescent="0.35"/>
  <cols>
    <col min="1" max="1" width="54.54296875" style="45" customWidth="1"/>
    <col min="2" max="2" width="14.7265625" style="45" customWidth="1"/>
    <col min="3" max="3" width="15" style="45" customWidth="1"/>
    <col min="4" max="4" width="15" style="45" customWidth="1" outlineLevel="1"/>
    <col min="5" max="5" width="15.26953125" style="45" customWidth="1"/>
    <col min="6" max="6" width="15.81640625" style="45" customWidth="1"/>
    <col min="7" max="7" width="17.54296875" style="45" customWidth="1"/>
    <col min="8" max="9" width="13.26953125" style="45" customWidth="1"/>
    <col min="10" max="10" width="15.7265625" style="45" customWidth="1"/>
    <col min="11" max="12" width="12.54296875" style="45" bestFit="1" customWidth="1"/>
    <col min="13" max="13" width="14.453125" style="45" customWidth="1"/>
    <col min="14" max="14" width="15" style="45" bestFit="1" customWidth="1"/>
    <col min="15" max="15" width="16.26953125" style="45" bestFit="1" customWidth="1"/>
    <col min="16" max="16" width="16.26953125" style="45" hidden="1" customWidth="1" outlineLevel="1"/>
    <col min="17" max="17" width="16.1796875" style="45" customWidth="1" collapsed="1"/>
    <col min="18" max="18" width="17.26953125" style="45" bestFit="1" customWidth="1"/>
    <col min="19" max="19" width="17.453125" style="45" customWidth="1"/>
    <col min="20" max="20" width="15.54296875" style="45" customWidth="1"/>
    <col min="21" max="21" width="13" style="45" customWidth="1"/>
    <col min="22" max="22" width="9.1796875" style="45"/>
    <col min="23" max="23" width="14.26953125" style="45" bestFit="1" customWidth="1"/>
    <col min="24" max="16384" width="9.1796875" style="45"/>
  </cols>
  <sheetData>
    <row r="1" spans="1:36" x14ac:dyDescent="0.35">
      <c r="A1" s="62" t="str">
        <f>'PTD Cycle 3'!A1</f>
        <v>Evergy Metro, Inc. - DSIM Rider Update Filed 06/02/2025</v>
      </c>
      <c r="B1" s="3"/>
      <c r="C1" s="3"/>
      <c r="D1" s="3"/>
    </row>
    <row r="2" spans="1:36" x14ac:dyDescent="0.35">
      <c r="E2" s="3" t="s">
        <v>223</v>
      </c>
    </row>
    <row r="3" spans="1:36" ht="29" x14ac:dyDescent="0.35">
      <c r="E3" s="47" t="s">
        <v>40</v>
      </c>
      <c r="F3" s="47" t="s">
        <v>39</v>
      </c>
      <c r="G3" s="69" t="s">
        <v>0</v>
      </c>
      <c r="H3" s="47" t="s">
        <v>1</v>
      </c>
      <c r="I3" s="69" t="s">
        <v>49</v>
      </c>
      <c r="J3" s="47" t="s">
        <v>8</v>
      </c>
      <c r="K3" s="47" t="s">
        <v>2</v>
      </c>
    </row>
    <row r="4" spans="1:36" x14ac:dyDescent="0.35">
      <c r="A4" s="19" t="s">
        <v>22</v>
      </c>
      <c r="E4" s="21">
        <f>SUM(C29:M29)</f>
        <v>2924577.53</v>
      </c>
      <c r="F4" s="131">
        <f>SUM(C22:M22)</f>
        <v>1284469247.2046096</v>
      </c>
      <c r="G4" s="21">
        <f>SUM(C15:L15)</f>
        <v>1462179.8</v>
      </c>
      <c r="H4" s="21">
        <f>G4-E4</f>
        <v>-1462397.7299999997</v>
      </c>
      <c r="I4" s="21">
        <f>+B45</f>
        <v>27292.67</v>
      </c>
      <c r="J4" s="21">
        <f>SUM(C53:L53)</f>
        <v>-10907.41</v>
      </c>
      <c r="K4" s="24">
        <f>SUM(H4:J4)</f>
        <v>-1446012.4699999997</v>
      </c>
      <c r="L4" s="46">
        <f>+K4-M45</f>
        <v>0</v>
      </c>
    </row>
    <row r="5" spans="1:36" x14ac:dyDescent="0.35">
      <c r="A5" s="19" t="s">
        <v>94</v>
      </c>
      <c r="E5" s="21">
        <f>SUM(C30:M30)</f>
        <v>228689.66999999998</v>
      </c>
      <c r="F5" s="131">
        <f>SUM(C23:M23)</f>
        <v>319793060.99800009</v>
      </c>
      <c r="G5" s="21">
        <f>SUM(C16:L16)</f>
        <v>152982.29999999999</v>
      </c>
      <c r="H5" s="21">
        <f>G5-E5</f>
        <v>-75707.37</v>
      </c>
      <c r="I5" s="21">
        <f>+B46</f>
        <v>2884.6499999999996</v>
      </c>
      <c r="J5" s="21">
        <f>SUM(C54:L54)</f>
        <v>-700.06</v>
      </c>
      <c r="K5" s="24">
        <f>SUM(H5:J5)</f>
        <v>-73522.78</v>
      </c>
      <c r="L5" s="46">
        <f t="shared" ref="L5:L7" si="0">+K5-M46</f>
        <v>0</v>
      </c>
    </row>
    <row r="6" spans="1:36" x14ac:dyDescent="0.35">
      <c r="A6" s="19" t="s">
        <v>95</v>
      </c>
      <c r="E6" s="21">
        <f>SUM(C31:M31)</f>
        <v>1221290.74</v>
      </c>
      <c r="F6" s="131">
        <f>SUM(C24:M24)</f>
        <v>525800415.16050005</v>
      </c>
      <c r="G6" s="21">
        <f>SUM(C17:L17)</f>
        <v>940008.39999999991</v>
      </c>
      <c r="H6" s="21">
        <f>G6-E6</f>
        <v>-281282.34000000008</v>
      </c>
      <c r="I6" s="21">
        <f>+B47</f>
        <v>2212.1200000000013</v>
      </c>
      <c r="J6" s="21">
        <f>SUM(C55:L55)</f>
        <v>-3616.14</v>
      </c>
      <c r="K6" s="24">
        <f>SUM(H6:J6)</f>
        <v>-282686.3600000001</v>
      </c>
      <c r="L6" s="46">
        <f t="shared" si="0"/>
        <v>0</v>
      </c>
    </row>
    <row r="7" spans="1:36" x14ac:dyDescent="0.35">
      <c r="A7" s="19" t="s">
        <v>96</v>
      </c>
      <c r="E7" s="21">
        <f>SUM(C32:M32)</f>
        <v>827662.34999999986</v>
      </c>
      <c r="F7" s="131">
        <f>SUM(C25:M25)</f>
        <v>840805787.95110011</v>
      </c>
      <c r="G7" s="21">
        <f>SUM(C18:L18)</f>
        <v>493129.63</v>
      </c>
      <c r="H7" s="21">
        <f>G7-E7</f>
        <v>-334532.71999999986</v>
      </c>
      <c r="I7" s="21">
        <f>+B48</f>
        <v>3939.26</v>
      </c>
      <c r="J7" s="21">
        <f>SUM(C56:L56)</f>
        <v>-3636.65</v>
      </c>
      <c r="K7" s="24">
        <f>SUM(H7:J7)</f>
        <v>-334230.10999999987</v>
      </c>
      <c r="L7" s="46">
        <f t="shared" si="0"/>
        <v>0</v>
      </c>
    </row>
    <row r="8" spans="1:36" ht="15" thickBot="1" x14ac:dyDescent="0.4">
      <c r="A8" s="19" t="s">
        <v>97</v>
      </c>
      <c r="E8" s="21">
        <f>SUM(C33:M33)</f>
        <v>246030.59</v>
      </c>
      <c r="F8" s="131">
        <f>SUM(C26:M26)</f>
        <v>115122745.19659999</v>
      </c>
      <c r="G8" s="21">
        <f>SUM(C19:L19)</f>
        <v>180507.34</v>
      </c>
      <c r="H8" s="21">
        <f>G8-E8</f>
        <v>-65523.25</v>
      </c>
      <c r="I8" s="21">
        <f>+B49</f>
        <v>8226.9900000000016</v>
      </c>
      <c r="J8" s="21">
        <f>SUM(C57:L57)</f>
        <v>-667.74</v>
      </c>
      <c r="K8" s="24">
        <f>SUM(H8:J8)</f>
        <v>-57963.999999999993</v>
      </c>
      <c r="L8" s="46">
        <f>+K8-M49</f>
        <v>0</v>
      </c>
    </row>
    <row r="9" spans="1:36" ht="15.5" thickTop="1" thickBot="1" x14ac:dyDescent="0.4">
      <c r="E9" s="26">
        <f t="shared" ref="E9:I9" si="1">SUM(E4:E8)</f>
        <v>5448250.879999999</v>
      </c>
      <c r="F9" s="26">
        <f t="shared" si="1"/>
        <v>3085991256.5108099</v>
      </c>
      <c r="G9" s="26">
        <f t="shared" si="1"/>
        <v>3228807.4699999997</v>
      </c>
      <c r="H9" s="26">
        <f t="shared" si="1"/>
        <v>-2219443.4099999997</v>
      </c>
      <c r="I9" s="26">
        <f t="shared" si="1"/>
        <v>44555.69</v>
      </c>
      <c r="J9" s="26">
        <f>SUM(J4:J8)</f>
        <v>-19528</v>
      </c>
      <c r="K9" s="26">
        <f>SUM(K4:K8)</f>
        <v>-2194415.7199999997</v>
      </c>
    </row>
    <row r="10" spans="1:36" ht="15.5" thickTop="1" thickBot="1" x14ac:dyDescent="0.4"/>
    <row r="11" spans="1:36" ht="96.75" customHeight="1" thickBot="1" x14ac:dyDescent="0.4">
      <c r="B11" s="112" t="s">
        <v>243</v>
      </c>
      <c r="C11" s="256" t="s">
        <v>244</v>
      </c>
      <c r="D11" s="256"/>
      <c r="E11" s="357" t="s">
        <v>28</v>
      </c>
      <c r="F11" s="357"/>
      <c r="G11" s="358"/>
      <c r="H11" s="359" t="s">
        <v>28</v>
      </c>
      <c r="I11" s="360"/>
      <c r="J11" s="361"/>
      <c r="K11" s="352" t="s">
        <v>6</v>
      </c>
      <c r="L11" s="353"/>
      <c r="M11" s="354"/>
      <c r="P11" s="274" t="s">
        <v>210</v>
      </c>
    </row>
    <row r="12" spans="1:36" x14ac:dyDescent="0.35">
      <c r="C12" s="13"/>
      <c r="D12" s="18"/>
      <c r="E12" s="296">
        <v>45626</v>
      </c>
      <c r="F12" s="18">
        <f t="shared" ref="F12:M12" si="2">EOMONTH(E12,1)</f>
        <v>45657</v>
      </c>
      <c r="G12" s="18">
        <f t="shared" si="2"/>
        <v>45688</v>
      </c>
      <c r="H12" s="13">
        <f t="shared" si="2"/>
        <v>45716</v>
      </c>
      <c r="I12" s="18">
        <f t="shared" si="2"/>
        <v>45747</v>
      </c>
      <c r="J12" s="14">
        <f t="shared" si="2"/>
        <v>45777</v>
      </c>
      <c r="K12" s="18">
        <f t="shared" si="2"/>
        <v>45808</v>
      </c>
      <c r="L12" s="18">
        <f t="shared" si="2"/>
        <v>45838</v>
      </c>
      <c r="M12" s="14">
        <f t="shared" si="2"/>
        <v>45869</v>
      </c>
      <c r="AA12" s="1"/>
      <c r="AB12" s="1"/>
      <c r="AC12" s="1"/>
      <c r="AD12" s="1"/>
      <c r="AE12" s="1"/>
      <c r="AF12" s="1"/>
      <c r="AG12" s="1"/>
      <c r="AH12" s="1"/>
      <c r="AI12" s="1"/>
      <c r="AJ12" s="1"/>
    </row>
    <row r="13" spans="1:36" x14ac:dyDescent="0.35">
      <c r="C13" s="96"/>
      <c r="D13" s="246"/>
      <c r="E13" s="30"/>
      <c r="F13" s="30"/>
      <c r="G13" s="30"/>
      <c r="H13" s="27"/>
      <c r="I13" s="30"/>
      <c r="J13" s="10"/>
      <c r="K13" s="30"/>
      <c r="L13" s="30"/>
      <c r="M13" s="28"/>
      <c r="P13" s="46"/>
    </row>
    <row r="14" spans="1:36" x14ac:dyDescent="0.35">
      <c r="A14" s="45" t="s">
        <v>125</v>
      </c>
      <c r="C14" s="97"/>
      <c r="D14" s="144"/>
      <c r="E14" s="30"/>
      <c r="F14" s="30"/>
      <c r="G14" s="246"/>
      <c r="H14" s="96"/>
      <c r="I14" s="246"/>
      <c r="J14" s="346"/>
      <c r="K14" s="16"/>
      <c r="L14" s="16"/>
      <c r="M14" s="10"/>
      <c r="P14" s="46"/>
    </row>
    <row r="15" spans="1:36" x14ac:dyDescent="0.35">
      <c r="A15" s="45" t="s">
        <v>22</v>
      </c>
      <c r="C15" s="95">
        <v>0</v>
      </c>
      <c r="D15" s="245"/>
      <c r="E15" s="106"/>
      <c r="F15" s="106"/>
      <c r="G15" s="106">
        <f>+'[12]Pivot - SI Project Metro'!$N$40</f>
        <v>35040.17</v>
      </c>
      <c r="H15" s="280">
        <f>+'[13]Pivot - SI Project Metro'!$N$40</f>
        <v>135969.19</v>
      </c>
      <c r="I15" s="321">
        <f>+'[14]Pivot - SI Project Metro'!$N$40</f>
        <v>116145.19</v>
      </c>
      <c r="J15" s="321">
        <f>+'[15]Pivot - SI Project Metro'!$N$40</f>
        <v>172149</v>
      </c>
      <c r="K15" s="281">
        <f>ROUND('[2]KCPL STIP IMPORT'!K104,2)</f>
        <v>375927.72</v>
      </c>
      <c r="L15" s="133">
        <f>ROUND('[2]KCPL STIP IMPORT'!L104,2)</f>
        <v>626948.53</v>
      </c>
      <c r="M15" s="74"/>
      <c r="P15" s="46">
        <f>-SUM(K15:M15)</f>
        <v>-1002876.25</v>
      </c>
    </row>
    <row r="16" spans="1:36" x14ac:dyDescent="0.35">
      <c r="A16" s="45" t="s">
        <v>94</v>
      </c>
      <c r="C16" s="95">
        <v>0</v>
      </c>
      <c r="D16" s="245"/>
      <c r="E16" s="106"/>
      <c r="F16" s="106"/>
      <c r="G16" s="106">
        <f>+'[12]Pivot - SI Project Metro'!$O$40</f>
        <v>3931.42</v>
      </c>
      <c r="H16" s="280">
        <f>+'[13]Pivot - SI Project Metro'!$O$40</f>
        <v>9800.2699999999986</v>
      </c>
      <c r="I16" s="321">
        <f>+'[14]Pivot - SI Project Metro'!$O$40</f>
        <v>14186.02</v>
      </c>
      <c r="J16" s="321">
        <f>+'[15]Pivot - SI Project Metro'!$O$40</f>
        <v>16695.260000000002</v>
      </c>
      <c r="K16" s="281">
        <f>ROUND('[2]KCPL STIP IMPORT'!K105,2)</f>
        <v>27978.09</v>
      </c>
      <c r="L16" s="133">
        <f>ROUND('[2]KCPL STIP IMPORT'!L105,2)</f>
        <v>80391.240000000005</v>
      </c>
      <c r="M16" s="74"/>
      <c r="P16" s="46">
        <f t="shared" ref="P16:P19" si="3">-SUM(K16:M16)</f>
        <v>-108369.33</v>
      </c>
      <c r="Q16" s="243">
        <f>SUM(E16:J16)/SUM($E$16:$J$19)</f>
        <v>0.10695919477483139</v>
      </c>
    </row>
    <row r="17" spans="1:17" x14ac:dyDescent="0.35">
      <c r="A17" s="45" t="s">
        <v>95</v>
      </c>
      <c r="C17" s="95">
        <v>0</v>
      </c>
      <c r="D17" s="245"/>
      <c r="E17" s="106"/>
      <c r="F17" s="106"/>
      <c r="G17" s="106">
        <f>+'[12]Pivot - SI Project Metro'!$P$40</f>
        <v>15746.05</v>
      </c>
      <c r="H17" s="280">
        <f>+'[13]Pivot - SI Project Metro'!$P$40</f>
        <v>66783.399999999994</v>
      </c>
      <c r="I17" s="321">
        <f>+'[14]Pivot - SI Project Metro'!$P$40</f>
        <v>38320.050000000017</v>
      </c>
      <c r="J17" s="321">
        <f>+'[15]Pivot - SI Project Metro'!$P$40</f>
        <v>152698.72999999998</v>
      </c>
      <c r="K17" s="281">
        <f>ROUND('[2]KCPL STIP IMPORT'!K106,2)</f>
        <v>81583.31</v>
      </c>
      <c r="L17" s="133">
        <f>ROUND('[2]KCPL STIP IMPORT'!L106,2)</f>
        <v>584876.86</v>
      </c>
      <c r="M17" s="74"/>
      <c r="P17" s="46">
        <f t="shared" si="3"/>
        <v>-666460.16999999993</v>
      </c>
      <c r="Q17" s="243">
        <f t="shared" ref="Q17:Q19" si="4">SUM(E17:J17)/SUM($E$16:$J$19)</f>
        <v>0.6558294238845872</v>
      </c>
    </row>
    <row r="18" spans="1:17" x14ac:dyDescent="0.35">
      <c r="A18" s="45" t="s">
        <v>96</v>
      </c>
      <c r="C18" s="95">
        <v>0</v>
      </c>
      <c r="D18" s="245"/>
      <c r="E18" s="106"/>
      <c r="F18" s="106"/>
      <c r="G18" s="106">
        <f>+'[12]Pivot - SI Project Metro'!$Q$40</f>
        <v>13336.42</v>
      </c>
      <c r="H18" s="280">
        <f>+'[13]Pivot - SI Project Metro'!$Q$40</f>
        <v>39665.600000000006</v>
      </c>
      <c r="I18" s="321">
        <f>+'[14]Pivot - SI Project Metro'!$Q$40</f>
        <v>43809.180000000008</v>
      </c>
      <c r="J18" s="321">
        <f>+'[15]Pivot - SI Project Metro'!$Q$40</f>
        <v>-25500.690000000017</v>
      </c>
      <c r="K18" s="281">
        <f>ROUND('[2]KCPL STIP IMPORT'!K107,2)</f>
        <v>87802.69</v>
      </c>
      <c r="L18" s="133">
        <f>ROUND('[2]KCPL STIP IMPORT'!L107,2)</f>
        <v>334016.43</v>
      </c>
      <c r="M18" s="74"/>
      <c r="P18" s="46">
        <f t="shared" si="3"/>
        <v>-421819.12</v>
      </c>
      <c r="Q18" s="243">
        <f t="shared" si="4"/>
        <v>0.17096630707578001</v>
      </c>
    </row>
    <row r="19" spans="1:17" x14ac:dyDescent="0.35">
      <c r="A19" s="45" t="s">
        <v>97</v>
      </c>
      <c r="C19" s="95">
        <v>0</v>
      </c>
      <c r="D19" s="245"/>
      <c r="E19" s="106"/>
      <c r="F19" s="106"/>
      <c r="G19" s="106">
        <f>+'[12]Pivot - SI Project Metro'!$R$40</f>
        <v>4382.4699999999993</v>
      </c>
      <c r="H19" s="280">
        <f>+'[13]Pivot - SI Project Metro'!$R$40</f>
        <v>14723.969999999996</v>
      </c>
      <c r="I19" s="321">
        <f>+'[14]Pivot - SI Project Metro'!$R$40</f>
        <v>13261.04</v>
      </c>
      <c r="J19" s="321">
        <f>+'[15]Pivot - SI Project Metro'!$R$40</f>
        <v>-4736.4799999999959</v>
      </c>
      <c r="K19" s="281">
        <f>ROUND('[2]KCPL STIP IMPORT'!K108,2)</f>
        <v>26982.79</v>
      </c>
      <c r="L19" s="133">
        <f>ROUND('[2]KCPL STIP IMPORT'!L108,2)</f>
        <v>125893.55</v>
      </c>
      <c r="M19" s="74"/>
      <c r="P19" s="46">
        <f t="shared" si="3"/>
        <v>-152876.34</v>
      </c>
      <c r="Q19" s="243">
        <f t="shared" si="4"/>
        <v>6.6245074264801598E-2</v>
      </c>
    </row>
    <row r="20" spans="1:17" x14ac:dyDescent="0.35">
      <c r="C20" s="97"/>
      <c r="D20" s="144"/>
      <c r="E20" s="300"/>
      <c r="F20" s="300"/>
      <c r="G20" s="246"/>
      <c r="H20" s="96"/>
      <c r="I20" s="246"/>
      <c r="J20" s="246"/>
      <c r="K20" s="27"/>
      <c r="L20" s="16"/>
      <c r="M20" s="10"/>
    </row>
    <row r="21" spans="1:17" x14ac:dyDescent="0.35">
      <c r="A21" s="38" t="s">
        <v>41</v>
      </c>
      <c r="B21" s="38"/>
      <c r="C21" s="99"/>
      <c r="D21" s="247"/>
      <c r="E21" s="30"/>
      <c r="F21" s="30"/>
      <c r="G21" s="30"/>
      <c r="H21" s="27"/>
      <c r="I21" s="30"/>
      <c r="J21" s="10"/>
      <c r="K21" s="16"/>
      <c r="L21" s="16"/>
      <c r="M21" s="10"/>
    </row>
    <row r="22" spans="1:17" x14ac:dyDescent="0.35">
      <c r="A22" s="45" t="s">
        <v>22</v>
      </c>
      <c r="C22" s="322">
        <v>-674821757</v>
      </c>
      <c r="D22" s="248"/>
      <c r="E22" s="108">
        <f>'[10]November 2024'!$G193</f>
        <v>149649104.46689987</v>
      </c>
      <c r="F22" s="108">
        <f>'[10]December 2024'!$G193</f>
        <v>213449217.20499986</v>
      </c>
      <c r="G22" s="108">
        <f>'[10]January 2025'!$G193</f>
        <v>261019624.50579989</v>
      </c>
      <c r="H22" s="340">
        <f>'[10]February 2025'!$G193</f>
        <v>285989273.62479985</v>
      </c>
      <c r="I22" s="341">
        <f>'[10]March 2025'!$G193</f>
        <v>232738549.62549981</v>
      </c>
      <c r="J22" s="173">
        <f>'[10]April 2025'!$G193</f>
        <v>151419388.44740003</v>
      </c>
      <c r="K22" s="169">
        <f>'[1]KCPL Billed kWh Sales'!R27</f>
        <v>157609478.17667899</v>
      </c>
      <c r="L22" s="134">
        <f>'[1]KCPL Billed kWh Sales'!S27</f>
        <v>205906653.91496235</v>
      </c>
      <c r="M22" s="75">
        <f>'[1]KCPL Billed kWh Sales'!T27</f>
        <v>301509714.2375688</v>
      </c>
      <c r="P22" s="46">
        <f>-SUM(K22:M22)</f>
        <v>-665025846.32921004</v>
      </c>
    </row>
    <row r="23" spans="1:17" x14ac:dyDescent="0.35">
      <c r="A23" s="45" t="s">
        <v>94</v>
      </c>
      <c r="C23" s="322">
        <v>-159252414</v>
      </c>
      <c r="D23" s="248"/>
      <c r="E23" s="108">
        <f>'[10]November 2024'!$G194</f>
        <v>47178870.071200013</v>
      </c>
      <c r="F23" s="108">
        <f>'[10]December 2024'!$G194</f>
        <v>56152693.198199987</v>
      </c>
      <c r="G23" s="108">
        <f>'[10]January 2025'!$G194</f>
        <v>58057164.596899994</v>
      </c>
      <c r="H23" s="340">
        <f>'[10]February 2025'!$G194</f>
        <v>65952615.427600026</v>
      </c>
      <c r="I23" s="341">
        <f>'[10]March 2025'!$G194</f>
        <v>41303067.231400058</v>
      </c>
      <c r="J23" s="173">
        <f>'[10]April 2025'!$G194</f>
        <v>45969530.472700007</v>
      </c>
      <c r="K23" s="169">
        <f>'[1]KCPL Billed kWh Sales'!R28</f>
        <v>49123963</v>
      </c>
      <c r="L23" s="134">
        <f>'[1]KCPL Billed kWh Sales'!S28</f>
        <v>54344539</v>
      </c>
      <c r="M23" s="75">
        <f>'[1]KCPL Billed kWh Sales'!T28</f>
        <v>60963032</v>
      </c>
      <c r="P23" s="46">
        <f t="shared" ref="P23:P26" si="5">-SUM(K23:M23)</f>
        <v>-164431534</v>
      </c>
    </row>
    <row r="24" spans="1:17" x14ac:dyDescent="0.35">
      <c r="A24" s="45" t="s">
        <v>95</v>
      </c>
      <c r="C24" s="322">
        <v>-282020569</v>
      </c>
      <c r="D24" s="248"/>
      <c r="E24" s="108">
        <f>'[10]November 2024'!$G195</f>
        <v>80578946.172299981</v>
      </c>
      <c r="F24" s="108">
        <f>'[10]December 2024'!$G195</f>
        <v>90345399.898699999</v>
      </c>
      <c r="G24" s="108">
        <f>'[10]January 2025'!$G195</f>
        <v>94795570.78019999</v>
      </c>
      <c r="H24" s="340">
        <f>'[10]February 2025'!$G195</f>
        <v>103621147.79090002</v>
      </c>
      <c r="I24" s="341">
        <f>'[10]March 2025'!$G195</f>
        <v>81473060.369900003</v>
      </c>
      <c r="J24" s="173">
        <f>'[10]April 2025'!$G195</f>
        <v>75431927.148500025</v>
      </c>
      <c r="K24" s="169">
        <f>'[1]KCPL Billed kWh Sales'!R29</f>
        <v>84120584</v>
      </c>
      <c r="L24" s="134">
        <f>'[1]KCPL Billed kWh Sales'!S29</f>
        <v>93060373</v>
      </c>
      <c r="M24" s="75">
        <f>'[1]KCPL Billed kWh Sales'!T29</f>
        <v>104393975</v>
      </c>
      <c r="P24" s="46">
        <f t="shared" si="5"/>
        <v>-281574932</v>
      </c>
    </row>
    <row r="25" spans="1:17" x14ac:dyDescent="0.35">
      <c r="A25" s="45" t="s">
        <v>96</v>
      </c>
      <c r="C25" s="322">
        <v>-457167484</v>
      </c>
      <c r="D25" s="248"/>
      <c r="E25" s="108">
        <f>'[10]November 2024'!$G196</f>
        <v>137786199.5469</v>
      </c>
      <c r="F25" s="108">
        <f>'[10]December 2024'!$G196</f>
        <v>154542733.21810001</v>
      </c>
      <c r="G25" s="108">
        <f>'[10]January 2025'!$G196</f>
        <v>157704341.24930006</v>
      </c>
      <c r="H25" s="340">
        <f>'[10]February 2025'!$G196</f>
        <v>169176405.75279999</v>
      </c>
      <c r="I25" s="341">
        <f>'[10]March 2025'!$G196</f>
        <v>92656012.208900005</v>
      </c>
      <c r="J25" s="173">
        <f>'[10]April 2025'!$G196</f>
        <v>126375336.97510001</v>
      </c>
      <c r="K25" s="169">
        <f>'[1]KCPL Billed kWh Sales'!R30</f>
        <v>137345127</v>
      </c>
      <c r="L25" s="134">
        <f>'[1]KCPL Billed kWh Sales'!S30</f>
        <v>151941274</v>
      </c>
      <c r="M25" s="75">
        <f>'[1]KCPL Billed kWh Sales'!T30</f>
        <v>170445842</v>
      </c>
      <c r="P25" s="46">
        <f t="shared" si="5"/>
        <v>-459732243</v>
      </c>
    </row>
    <row r="26" spans="1:17" x14ac:dyDescent="0.35">
      <c r="A26" s="45" t="s">
        <v>97</v>
      </c>
      <c r="C26" s="322">
        <v>-128495502</v>
      </c>
      <c r="D26" s="248"/>
      <c r="E26" s="108">
        <f>'[10]November 2024'!$G197</f>
        <v>37873077.480899997</v>
      </c>
      <c r="F26" s="108">
        <f>'[10]December 2024'!$G197</f>
        <v>28488653.657100003</v>
      </c>
      <c r="G26" s="108">
        <f>'[10]January 2025'!$G197</f>
        <v>36477728.331699997</v>
      </c>
      <c r="H26" s="340">
        <f>'[10]February 2025'!$G197</f>
        <v>45084065.729199998</v>
      </c>
      <c r="I26" s="341">
        <f>'[10]March 2025'!$G197</f>
        <v>-42996504.818200007</v>
      </c>
      <c r="J26" s="173">
        <f>'[10]April 2025'!$G197</f>
        <v>30307815.815900002</v>
      </c>
      <c r="K26" s="169">
        <f>'[1]KCPL Billed kWh Sales'!R31</f>
        <v>32379572</v>
      </c>
      <c r="L26" s="134">
        <f>'[1]KCPL Billed kWh Sales'!S31</f>
        <v>35820663</v>
      </c>
      <c r="M26" s="75">
        <f>'[1]KCPL Billed kWh Sales'!T31</f>
        <v>40183176</v>
      </c>
      <c r="P26" s="46">
        <f t="shared" si="5"/>
        <v>-108383411</v>
      </c>
    </row>
    <row r="27" spans="1:17" x14ac:dyDescent="0.35">
      <c r="C27" s="97"/>
      <c r="D27" s="144"/>
      <c r="E27" s="30"/>
      <c r="F27" s="30"/>
      <c r="G27" s="30"/>
      <c r="H27" s="27"/>
      <c r="I27" s="30"/>
      <c r="J27" s="10"/>
      <c r="K27" s="16"/>
      <c r="L27" s="16"/>
      <c r="M27" s="10"/>
    </row>
    <row r="28" spans="1:17" x14ac:dyDescent="0.35">
      <c r="A28" s="45" t="s">
        <v>29</v>
      </c>
      <c r="C28" s="97"/>
      <c r="D28" s="144"/>
      <c r="E28" s="17"/>
      <c r="F28" s="17"/>
      <c r="G28" s="17"/>
      <c r="H28" s="89"/>
      <c r="I28" s="17"/>
      <c r="J28" s="28"/>
      <c r="K28" s="56"/>
      <c r="L28" s="56"/>
      <c r="M28" s="57"/>
      <c r="N28" s="62" t="s">
        <v>44</v>
      </c>
      <c r="O28" s="38"/>
      <c r="P28" s="38"/>
    </row>
    <row r="29" spans="1:17" x14ac:dyDescent="0.35">
      <c r="A29" s="45" t="s">
        <v>22</v>
      </c>
      <c r="C29" s="95">
        <v>-6748.22</v>
      </c>
      <c r="D29" s="245"/>
      <c r="E29" s="106">
        <f>'[10]November 2024'!$G136+'[10]November 2024'!$G144</f>
        <v>1496.45</v>
      </c>
      <c r="F29" s="106">
        <f>'[10]December 2024'!$G136+'[10]December 2024'!$G144</f>
        <v>2134.4499999999998</v>
      </c>
      <c r="G29" s="106">
        <f>'[10]January 2025'!$G136+'[10]January 2025'!$G144</f>
        <v>2610.31</v>
      </c>
      <c r="H29" s="178">
        <f>'[10]February 2025'!$G136+'[10]February 2025'!$G144</f>
        <v>253234.00999999998</v>
      </c>
      <c r="I29" s="54">
        <f>'[10]March 2025'!$G136+'[10]March 2025'!$G144</f>
        <v>590022.98</v>
      </c>
      <c r="J29" s="171">
        <f>'[10]April 2025'!$G136+'[10]April 2025'!$G144</f>
        <v>386011.64</v>
      </c>
      <c r="K29" s="117">
        <f>ROUND(K22*$N29,2)</f>
        <v>401904.17</v>
      </c>
      <c r="L29" s="40">
        <f t="shared" ref="L29:M29" si="6">ROUND(L22*$N29,2)</f>
        <v>525061.97</v>
      </c>
      <c r="M29" s="60">
        <f t="shared" si="6"/>
        <v>768849.77</v>
      </c>
      <c r="N29" s="71">
        <v>2.5500000000000002E-3</v>
      </c>
      <c r="P29" s="46">
        <f>-SUM(K29:M29)</f>
        <v>-1695815.91</v>
      </c>
    </row>
    <row r="30" spans="1:17" x14ac:dyDescent="0.35">
      <c r="A30" s="45" t="s">
        <v>94</v>
      </c>
      <c r="C30" s="95">
        <v>0</v>
      </c>
      <c r="D30" s="245"/>
      <c r="E30" s="106">
        <f>'[10]November 2024'!$G137+'[10]November 2024'!$G145</f>
        <v>0</v>
      </c>
      <c r="F30" s="106">
        <f>'[10]December 2024'!$G137+'[10]December 2024'!$G145</f>
        <v>0</v>
      </c>
      <c r="G30" s="106">
        <f>'[10]January 2025'!$G137+'[10]January 2025'!$G145</f>
        <v>0</v>
      </c>
      <c r="H30" s="178">
        <f>'[10]February 2025'!$G137+'[10]February 2025'!$G145</f>
        <v>17918.27</v>
      </c>
      <c r="I30" s="54">
        <f>'[10]March 2025'!$G137+'[10]March 2025'!$G145</f>
        <v>44868.17</v>
      </c>
      <c r="J30" s="171">
        <f>'[10]April 2025'!$G137+'[10]April 2025'!$G145</f>
        <v>36002.31</v>
      </c>
      <c r="K30" s="117">
        <f t="shared" ref="K30:M32" si="7">ROUND(K23*$N30,2)</f>
        <v>38807.93</v>
      </c>
      <c r="L30" s="40">
        <f t="shared" si="7"/>
        <v>42932.19</v>
      </c>
      <c r="M30" s="60">
        <f t="shared" si="7"/>
        <v>48160.800000000003</v>
      </c>
      <c r="N30" s="71">
        <v>7.9000000000000001E-4</v>
      </c>
      <c r="P30" s="46">
        <f t="shared" ref="P30:P33" si="8">-SUM(K30:M30)</f>
        <v>-129900.92</v>
      </c>
    </row>
    <row r="31" spans="1:17" x14ac:dyDescent="0.35">
      <c r="A31" s="45" t="s">
        <v>95</v>
      </c>
      <c r="C31" s="95">
        <v>-2820.21</v>
      </c>
      <c r="D31" s="245"/>
      <c r="E31" s="106">
        <f>'[10]November 2024'!$G138+'[10]November 2024'!$G146</f>
        <v>804.38</v>
      </c>
      <c r="F31" s="106">
        <f>'[10]December 2024'!$G138+'[10]December 2024'!$G146</f>
        <v>902.5</v>
      </c>
      <c r="G31" s="106">
        <f>'[10]January 2025'!$G138+'[10]January 2025'!$G146</f>
        <v>939.5</v>
      </c>
      <c r="H31" s="178">
        <f>'[10]February 2025'!$G138+'[10]February 2025'!$G146</f>
        <v>83309.790000000008</v>
      </c>
      <c r="I31" s="54">
        <f>'[10]March 2025'!$G138+'[10]March 2025'!$G146</f>
        <v>234587.02</v>
      </c>
      <c r="J31" s="171">
        <f>'[10]April 2025'!$G138+'[10]April 2025'!$G146</f>
        <v>191183.18</v>
      </c>
      <c r="K31" s="117">
        <f t="shared" si="7"/>
        <v>212825.08</v>
      </c>
      <c r="L31" s="40">
        <f t="shared" si="7"/>
        <v>235442.74</v>
      </c>
      <c r="M31" s="60">
        <f t="shared" si="7"/>
        <v>264116.76</v>
      </c>
      <c r="N31" s="71">
        <v>2.5300000000000001E-3</v>
      </c>
      <c r="P31" s="46">
        <f t="shared" si="8"/>
        <v>-712384.58</v>
      </c>
    </row>
    <row r="32" spans="1:17" x14ac:dyDescent="0.35">
      <c r="A32" s="45" t="s">
        <v>96</v>
      </c>
      <c r="C32" s="95">
        <v>-4571.68</v>
      </c>
      <c r="D32" s="245"/>
      <c r="E32" s="106">
        <f>'[10]November 2024'!$G139+'[10]November 2024'!$G147</f>
        <v>1377.59</v>
      </c>
      <c r="F32" s="106">
        <f>'[10]December 2024'!$G139+'[10]December 2024'!$G147</f>
        <v>1544.14</v>
      </c>
      <c r="G32" s="106">
        <f>'[10]January 2025'!$G139+'[10]January 2025'!$G147</f>
        <v>1566.41</v>
      </c>
      <c r="H32" s="178">
        <f>'[10]February 2025'!$G139+'[10]February 2025'!$G147</f>
        <v>63757.369999999995</v>
      </c>
      <c r="I32" s="54">
        <f>'[10]March 2025'!$G139+'[10]March 2025'!$G147</f>
        <v>153511.1</v>
      </c>
      <c r="J32" s="171">
        <f>'[10]April 2025'!$G139+'[10]April 2025'!$G147</f>
        <v>132355.88999999998</v>
      </c>
      <c r="K32" s="117">
        <f t="shared" si="7"/>
        <v>142838.93</v>
      </c>
      <c r="L32" s="40">
        <f t="shared" si="7"/>
        <v>158018.92000000001</v>
      </c>
      <c r="M32" s="60">
        <f t="shared" si="7"/>
        <v>177263.68</v>
      </c>
      <c r="N32" s="71">
        <v>1.0399999999999999E-3</v>
      </c>
      <c r="P32" s="46">
        <f t="shared" si="8"/>
        <v>-478121.52999999997</v>
      </c>
    </row>
    <row r="33" spans="1:16" x14ac:dyDescent="0.35">
      <c r="A33" s="45" t="s">
        <v>97</v>
      </c>
      <c r="C33" s="95">
        <v>-2569.91</v>
      </c>
      <c r="D33" s="245"/>
      <c r="E33" s="106">
        <f>'[10]November 2024'!$G140+'[10]November 2024'!$G148</f>
        <v>757.46</v>
      </c>
      <c r="F33" s="106">
        <f>'[10]December 2024'!$G140+'[10]December 2024'!$G148</f>
        <v>569.77</v>
      </c>
      <c r="G33" s="106">
        <f>'[10]January 2025'!$G140+'[10]January 2025'!$G148</f>
        <v>729.55</v>
      </c>
      <c r="H33" s="178">
        <f>'[10]February 2025'!$G140+'[10]February 2025'!$G148</f>
        <v>22193.46</v>
      </c>
      <c r="I33" s="54">
        <f>'[10]March 2025'!$G140+'[10]March 2025'!$G148</f>
        <v>38504</v>
      </c>
      <c r="J33" s="171">
        <f>'[10]April 2025'!$G140+'[10]April 2025'!$G148</f>
        <v>40612.480000000003</v>
      </c>
      <c r="K33" s="117">
        <f>ROUND(K26*$N33,2)</f>
        <v>43388.63</v>
      </c>
      <c r="L33" s="40">
        <f>ROUND(L26*$N33,2)</f>
        <v>47999.69</v>
      </c>
      <c r="M33" s="60">
        <f>ROUND(M26*$N33,2)</f>
        <v>53845.46</v>
      </c>
      <c r="N33" s="71">
        <v>1.34E-3</v>
      </c>
      <c r="P33" s="46">
        <f t="shared" si="8"/>
        <v>-145233.78</v>
      </c>
    </row>
    <row r="34" spans="1:16" x14ac:dyDescent="0.35">
      <c r="C34" s="66"/>
      <c r="D34" s="67"/>
      <c r="E34" s="17"/>
      <c r="F34" s="17"/>
      <c r="G34" s="17"/>
      <c r="H34" s="89"/>
      <c r="I34" s="17"/>
      <c r="J34" s="10"/>
      <c r="K34" s="55"/>
      <c r="L34" s="55"/>
      <c r="M34" s="12"/>
      <c r="N34" s="4"/>
    </row>
    <row r="35" spans="1:16" ht="15" thickBot="1" x14ac:dyDescent="0.4">
      <c r="A35" s="45" t="s">
        <v>12</v>
      </c>
      <c r="C35" s="100">
        <v>0</v>
      </c>
      <c r="D35" s="249"/>
      <c r="E35" s="109">
        <v>0</v>
      </c>
      <c r="F35" s="109">
        <v>0</v>
      </c>
      <c r="G35" s="110">
        <v>391.7999999999999</v>
      </c>
      <c r="H35" s="25">
        <v>147.42000000000002</v>
      </c>
      <c r="I35" s="116">
        <v>-2183.8600000000006</v>
      </c>
      <c r="J35" s="172">
        <v>-5221.6500000000005</v>
      </c>
      <c r="K35" s="170">
        <f>ROUND((SUM(J45:J49)+SUM(J53:J57)+SUM(K38:K42)/2)*K$51,2)</f>
        <v>-6896.19</v>
      </c>
      <c r="L35" s="135">
        <f>ROUND((SUM(K45:K49)+SUM(K53:K57)+SUM(L38:L42)/2)*L$51,2)+0.01</f>
        <v>-5765.5199999999995</v>
      </c>
      <c r="M35" s="79"/>
      <c r="P35" s="46">
        <f t="shared" ref="P35" si="9">-SUM(K35:M35)</f>
        <v>12661.71</v>
      </c>
    </row>
    <row r="36" spans="1:16" x14ac:dyDescent="0.35">
      <c r="C36" s="97"/>
      <c r="D36" s="144"/>
      <c r="E36" s="30"/>
      <c r="F36" s="30"/>
      <c r="G36" s="30"/>
      <c r="H36" s="27"/>
      <c r="I36" s="30"/>
      <c r="J36" s="10"/>
      <c r="K36" s="16"/>
      <c r="L36" s="16"/>
      <c r="M36" s="10"/>
    </row>
    <row r="37" spans="1:16" x14ac:dyDescent="0.35">
      <c r="A37" s="45" t="s">
        <v>46</v>
      </c>
      <c r="C37" s="97"/>
      <c r="D37" s="144"/>
      <c r="E37" s="30"/>
      <c r="F37" s="30"/>
      <c r="G37" s="30"/>
      <c r="H37" s="27"/>
      <c r="I37" s="30"/>
      <c r="J37" s="10"/>
      <c r="K37" s="16"/>
      <c r="L37" s="16"/>
      <c r="M37" s="10"/>
    </row>
    <row r="38" spans="1:16" x14ac:dyDescent="0.35">
      <c r="A38" s="45" t="s">
        <v>22</v>
      </c>
      <c r="C38" s="39">
        <f t="shared" ref="C38:M42" si="10">C15-C29</f>
        <v>6748.22</v>
      </c>
      <c r="D38" s="117">
        <f t="shared" si="10"/>
        <v>0</v>
      </c>
      <c r="E38" s="40">
        <f t="shared" si="10"/>
        <v>-1496.45</v>
      </c>
      <c r="F38" s="40">
        <f t="shared" si="10"/>
        <v>-2134.4499999999998</v>
      </c>
      <c r="G38" s="105">
        <f t="shared" si="10"/>
        <v>32429.859999999997</v>
      </c>
      <c r="H38" s="39">
        <f t="shared" si="10"/>
        <v>-117264.81999999998</v>
      </c>
      <c r="I38" s="40">
        <f t="shared" si="10"/>
        <v>-473877.79</v>
      </c>
      <c r="J38" s="60">
        <f t="shared" si="10"/>
        <v>-213862.64</v>
      </c>
      <c r="K38" s="117">
        <f t="shared" si="10"/>
        <v>-25976.450000000012</v>
      </c>
      <c r="L38" s="40">
        <f t="shared" si="10"/>
        <v>101886.56000000006</v>
      </c>
      <c r="M38" s="48">
        <f t="shared" si="10"/>
        <v>-768849.77</v>
      </c>
    </row>
    <row r="39" spans="1:16" x14ac:dyDescent="0.35">
      <c r="A39" s="45" t="s">
        <v>94</v>
      </c>
      <c r="C39" s="39">
        <f t="shared" si="10"/>
        <v>0</v>
      </c>
      <c r="D39" s="117">
        <f t="shared" si="10"/>
        <v>0</v>
      </c>
      <c r="E39" s="40">
        <f t="shared" si="10"/>
        <v>0</v>
      </c>
      <c r="F39" s="40">
        <f t="shared" si="10"/>
        <v>0</v>
      </c>
      <c r="G39" s="105">
        <f t="shared" si="10"/>
        <v>3931.42</v>
      </c>
      <c r="H39" s="39">
        <f t="shared" si="10"/>
        <v>-8118.0000000000018</v>
      </c>
      <c r="I39" s="40">
        <f t="shared" si="10"/>
        <v>-30682.149999999998</v>
      </c>
      <c r="J39" s="60">
        <f t="shared" si="10"/>
        <v>-19307.049999999996</v>
      </c>
      <c r="K39" s="117">
        <f t="shared" si="10"/>
        <v>-10829.84</v>
      </c>
      <c r="L39" s="40">
        <f t="shared" si="10"/>
        <v>37459.050000000003</v>
      </c>
      <c r="M39" s="48">
        <f t="shared" si="10"/>
        <v>-48160.800000000003</v>
      </c>
    </row>
    <row r="40" spans="1:16" x14ac:dyDescent="0.35">
      <c r="A40" s="45" t="s">
        <v>95</v>
      </c>
      <c r="C40" s="39">
        <f t="shared" si="10"/>
        <v>2820.21</v>
      </c>
      <c r="D40" s="117">
        <f t="shared" si="10"/>
        <v>0</v>
      </c>
      <c r="E40" s="40">
        <f t="shared" si="10"/>
        <v>-804.38</v>
      </c>
      <c r="F40" s="40">
        <f t="shared" si="10"/>
        <v>-902.5</v>
      </c>
      <c r="G40" s="105">
        <f t="shared" si="10"/>
        <v>14806.55</v>
      </c>
      <c r="H40" s="39">
        <f t="shared" si="10"/>
        <v>-16526.390000000014</v>
      </c>
      <c r="I40" s="40">
        <f t="shared" si="10"/>
        <v>-196266.96999999997</v>
      </c>
      <c r="J40" s="60">
        <f t="shared" si="10"/>
        <v>-38484.450000000012</v>
      </c>
      <c r="K40" s="117">
        <f t="shared" si="10"/>
        <v>-131241.76999999999</v>
      </c>
      <c r="L40" s="40">
        <f t="shared" si="10"/>
        <v>349434.12</v>
      </c>
      <c r="M40" s="48">
        <f t="shared" si="10"/>
        <v>-264116.76</v>
      </c>
    </row>
    <row r="41" spans="1:16" x14ac:dyDescent="0.35">
      <c r="A41" s="45" t="s">
        <v>96</v>
      </c>
      <c r="C41" s="39">
        <f t="shared" si="10"/>
        <v>4571.68</v>
      </c>
      <c r="D41" s="117">
        <f t="shared" si="10"/>
        <v>0</v>
      </c>
      <c r="E41" s="40">
        <f t="shared" si="10"/>
        <v>-1377.59</v>
      </c>
      <c r="F41" s="40">
        <f t="shared" si="10"/>
        <v>-1544.14</v>
      </c>
      <c r="G41" s="105">
        <f t="shared" si="10"/>
        <v>11770.01</v>
      </c>
      <c r="H41" s="39">
        <f t="shared" si="10"/>
        <v>-24091.76999999999</v>
      </c>
      <c r="I41" s="40">
        <f t="shared" si="10"/>
        <v>-109701.92</v>
      </c>
      <c r="J41" s="60">
        <f t="shared" si="10"/>
        <v>-157856.58000000002</v>
      </c>
      <c r="K41" s="117">
        <f t="shared" si="10"/>
        <v>-55036.239999999991</v>
      </c>
      <c r="L41" s="40">
        <f t="shared" si="10"/>
        <v>175997.50999999998</v>
      </c>
      <c r="M41" s="48">
        <f t="shared" si="10"/>
        <v>-177263.68</v>
      </c>
    </row>
    <row r="42" spans="1:16" x14ac:dyDescent="0.35">
      <c r="A42" s="45" t="s">
        <v>97</v>
      </c>
      <c r="C42" s="39">
        <f t="shared" si="10"/>
        <v>2569.91</v>
      </c>
      <c r="D42" s="117">
        <f t="shared" si="10"/>
        <v>0</v>
      </c>
      <c r="E42" s="40">
        <f t="shared" si="10"/>
        <v>-757.46</v>
      </c>
      <c r="F42" s="40">
        <f t="shared" si="10"/>
        <v>-569.77</v>
      </c>
      <c r="G42" s="105">
        <f t="shared" si="10"/>
        <v>3652.9199999999992</v>
      </c>
      <c r="H42" s="39">
        <f t="shared" si="10"/>
        <v>-7469.4900000000034</v>
      </c>
      <c r="I42" s="40">
        <f t="shared" si="10"/>
        <v>-25242.959999999999</v>
      </c>
      <c r="J42" s="60">
        <f t="shared" si="10"/>
        <v>-45348.959999999999</v>
      </c>
      <c r="K42" s="117">
        <f t="shared" si="10"/>
        <v>-16405.839999999997</v>
      </c>
      <c r="L42" s="40">
        <f t="shared" si="10"/>
        <v>77893.86</v>
      </c>
      <c r="M42" s="48">
        <f t="shared" si="10"/>
        <v>-53845.46</v>
      </c>
    </row>
    <row r="43" spans="1:16" x14ac:dyDescent="0.35">
      <c r="C43" s="97"/>
      <c r="D43" s="144"/>
      <c r="E43" s="30"/>
      <c r="F43" s="30"/>
      <c r="G43" s="30"/>
      <c r="H43" s="27"/>
      <c r="I43" s="30"/>
      <c r="J43" s="10"/>
      <c r="K43" s="16"/>
      <c r="L43" s="16"/>
      <c r="M43" s="10"/>
    </row>
    <row r="44" spans="1:16" ht="15" thickBot="1" x14ac:dyDescent="0.4">
      <c r="A44" s="45" t="s">
        <v>47</v>
      </c>
      <c r="C44" s="101"/>
      <c r="D44" s="250"/>
      <c r="E44" s="30"/>
      <c r="F44" s="30"/>
      <c r="G44" s="30"/>
      <c r="H44" s="27"/>
      <c r="I44" s="30"/>
      <c r="J44" s="10"/>
      <c r="K44" s="16"/>
      <c r="L44" s="16"/>
      <c r="M44" s="10"/>
    </row>
    <row r="45" spans="1:16" x14ac:dyDescent="0.35">
      <c r="A45" s="45" t="s">
        <v>22</v>
      </c>
      <c r="B45" s="285">
        <v>27292.67</v>
      </c>
      <c r="C45" s="40">
        <f t="shared" ref="C45:M49" si="11">B45+C38+B53</f>
        <v>34040.89</v>
      </c>
      <c r="D45" s="40">
        <f t="shared" si="11"/>
        <v>34040.89</v>
      </c>
      <c r="E45" s="40">
        <f t="shared" si="11"/>
        <v>32544.44</v>
      </c>
      <c r="F45" s="40">
        <f t="shared" si="11"/>
        <v>30409.989999999998</v>
      </c>
      <c r="G45" s="105">
        <f t="shared" si="11"/>
        <v>62839.849999999991</v>
      </c>
      <c r="H45" s="39">
        <f t="shared" si="11"/>
        <v>-54209.989999999983</v>
      </c>
      <c r="I45" s="40">
        <f t="shared" si="11"/>
        <v>-528067.35999999987</v>
      </c>
      <c r="J45" s="60">
        <f t="shared" si="11"/>
        <v>-743275.43999999983</v>
      </c>
      <c r="K45" s="117">
        <f t="shared" si="11"/>
        <v>-772192.2699999999</v>
      </c>
      <c r="L45" s="40">
        <f t="shared" si="11"/>
        <v>-673813.7899999998</v>
      </c>
      <c r="M45" s="48">
        <f t="shared" si="11"/>
        <v>-1446012.4699999997</v>
      </c>
    </row>
    <row r="46" spans="1:16" x14ac:dyDescent="0.35">
      <c r="A46" s="45" t="s">
        <v>94</v>
      </c>
      <c r="B46" s="287">
        <v>2884.6499999999996</v>
      </c>
      <c r="C46" s="40">
        <f t="shared" si="11"/>
        <v>2884.6499999999996</v>
      </c>
      <c r="D46" s="40">
        <f t="shared" si="11"/>
        <v>2884.6499999999996</v>
      </c>
      <c r="E46" s="40">
        <f t="shared" si="11"/>
        <v>2884.6499999999996</v>
      </c>
      <c r="F46" s="40">
        <f t="shared" si="11"/>
        <v>2884.6499999999996</v>
      </c>
      <c r="G46" s="105">
        <f t="shared" si="11"/>
        <v>6816.07</v>
      </c>
      <c r="H46" s="39">
        <f t="shared" si="11"/>
        <v>-1279.5700000000022</v>
      </c>
      <c r="I46" s="40">
        <f t="shared" si="11"/>
        <v>-31948.89</v>
      </c>
      <c r="J46" s="60">
        <f t="shared" si="11"/>
        <v>-51332.689999999995</v>
      </c>
      <c r="K46" s="117">
        <f t="shared" si="11"/>
        <v>-62355.119999999995</v>
      </c>
      <c r="L46" s="40">
        <f t="shared" si="11"/>
        <v>-25159.179999999993</v>
      </c>
      <c r="M46" s="48">
        <f t="shared" si="11"/>
        <v>-73522.78</v>
      </c>
    </row>
    <row r="47" spans="1:16" x14ac:dyDescent="0.35">
      <c r="A47" s="45" t="s">
        <v>95</v>
      </c>
      <c r="B47" s="287">
        <v>2212.1200000000013</v>
      </c>
      <c r="C47" s="40">
        <f t="shared" si="11"/>
        <v>5032.3300000000017</v>
      </c>
      <c r="D47" s="40">
        <f t="shared" si="11"/>
        <v>5032.3300000000017</v>
      </c>
      <c r="E47" s="40">
        <f t="shared" si="11"/>
        <v>4227.9500000000016</v>
      </c>
      <c r="F47" s="40">
        <f t="shared" si="11"/>
        <v>3325.4500000000016</v>
      </c>
      <c r="G47" s="105">
        <f t="shared" si="11"/>
        <v>18132</v>
      </c>
      <c r="H47" s="39">
        <f t="shared" si="11"/>
        <v>1655.0799999999861</v>
      </c>
      <c r="I47" s="40">
        <f t="shared" si="11"/>
        <v>-194566.09</v>
      </c>
      <c r="J47" s="60">
        <f t="shared" si="11"/>
        <v>-233496.2</v>
      </c>
      <c r="K47" s="117">
        <f t="shared" si="11"/>
        <v>-365727.98</v>
      </c>
      <c r="L47" s="40">
        <f t="shared" si="11"/>
        <v>-17680.579999999987</v>
      </c>
      <c r="M47" s="48">
        <f t="shared" si="11"/>
        <v>-282686.36</v>
      </c>
    </row>
    <row r="48" spans="1:16" x14ac:dyDescent="0.35">
      <c r="A48" s="45" t="s">
        <v>96</v>
      </c>
      <c r="B48" s="287">
        <v>3939.26</v>
      </c>
      <c r="C48" s="40">
        <f t="shared" si="11"/>
        <v>8510.94</v>
      </c>
      <c r="D48" s="40">
        <f t="shared" si="11"/>
        <v>8510.94</v>
      </c>
      <c r="E48" s="40">
        <f t="shared" si="11"/>
        <v>7133.35</v>
      </c>
      <c r="F48" s="40">
        <f t="shared" si="11"/>
        <v>5589.21</v>
      </c>
      <c r="G48" s="105">
        <f t="shared" si="11"/>
        <v>17359.22</v>
      </c>
      <c r="H48" s="39">
        <f t="shared" si="11"/>
        <v>-6679.6399999999885</v>
      </c>
      <c r="I48" s="40">
        <f t="shared" si="11"/>
        <v>-116356.77999999998</v>
      </c>
      <c r="J48" s="60">
        <f t="shared" si="11"/>
        <v>-274497.61</v>
      </c>
      <c r="K48" s="117">
        <f t="shared" si="11"/>
        <v>-330437.51999999996</v>
      </c>
      <c r="L48" s="40">
        <f t="shared" si="11"/>
        <v>-155839.71999999997</v>
      </c>
      <c r="M48" s="48">
        <f t="shared" si="11"/>
        <v>-334230.11</v>
      </c>
    </row>
    <row r="49" spans="1:16" ht="15" thickBot="1" x14ac:dyDescent="0.4">
      <c r="A49" s="45" t="s">
        <v>97</v>
      </c>
      <c r="B49" s="286">
        <v>8226.9900000000016</v>
      </c>
      <c r="C49" s="40">
        <f>B49+C42+B57</f>
        <v>10796.900000000001</v>
      </c>
      <c r="D49" s="40">
        <f t="shared" si="11"/>
        <v>10796.900000000001</v>
      </c>
      <c r="E49" s="40">
        <f t="shared" si="11"/>
        <v>10039.440000000002</v>
      </c>
      <c r="F49" s="40">
        <f t="shared" si="11"/>
        <v>9469.6700000000019</v>
      </c>
      <c r="G49" s="105">
        <f t="shared" si="11"/>
        <v>13122.59</v>
      </c>
      <c r="H49" s="39">
        <f t="shared" si="11"/>
        <v>5705.1799999999967</v>
      </c>
      <c r="I49" s="40">
        <f t="shared" si="11"/>
        <v>-19494.190000000002</v>
      </c>
      <c r="J49" s="60">
        <f t="shared" si="11"/>
        <v>-64874.91</v>
      </c>
      <c r="K49" s="117">
        <f t="shared" si="11"/>
        <v>-81475.75</v>
      </c>
      <c r="L49" s="40">
        <f t="shared" si="11"/>
        <v>-3920.4599999999996</v>
      </c>
      <c r="M49" s="48">
        <f t="shared" si="11"/>
        <v>-57964</v>
      </c>
    </row>
    <row r="50" spans="1:16" x14ac:dyDescent="0.35">
      <c r="C50" s="97"/>
      <c r="D50" s="144"/>
      <c r="E50" s="30"/>
      <c r="F50" s="30"/>
      <c r="G50" s="30"/>
      <c r="H50" s="27"/>
      <c r="I50" s="30"/>
      <c r="J50" s="10"/>
      <c r="K50" s="16"/>
      <c r="L50" s="16"/>
      <c r="M50" s="10"/>
    </row>
    <row r="51" spans="1:16" x14ac:dyDescent="0.35">
      <c r="A51" s="38" t="s">
        <v>43</v>
      </c>
      <c r="B51" s="38"/>
      <c r="C51" s="101"/>
      <c r="D51" s="250"/>
      <c r="E51" s="305">
        <v>0</v>
      </c>
      <c r="F51" s="305">
        <v>0</v>
      </c>
      <c r="G51" s="81">
        <f>'PCR Cycle 3'!G$51</f>
        <v>4.6108499999999997E-3</v>
      </c>
      <c r="H51" s="82">
        <f>'PCR Cycle 3'!H$51</f>
        <v>4.6177400000000004E-3</v>
      </c>
      <c r="I51" s="81">
        <f>'PCR Cycle 3'!I$51</f>
        <v>4.62145E-3</v>
      </c>
      <c r="J51" s="90">
        <f>'PCR Cycle 3'!J$51</f>
        <v>4.6207399999999999E-3</v>
      </c>
      <c r="K51" s="81">
        <f>'PCR Cycle 3'!K$51</f>
        <v>4.6207399999999999E-3</v>
      </c>
      <c r="L51" s="81">
        <f>'PCR Cycle 3'!L$51</f>
        <v>4.6207399999999999E-3</v>
      </c>
      <c r="M51" s="90"/>
    </row>
    <row r="52" spans="1:16" x14ac:dyDescent="0.35">
      <c r="A52" s="38" t="s">
        <v>31</v>
      </c>
      <c r="B52" s="38"/>
      <c r="C52" s="97"/>
      <c r="D52" s="144"/>
      <c r="E52" s="30"/>
      <c r="F52" s="30"/>
      <c r="G52" s="30"/>
      <c r="H52" s="27"/>
      <c r="I52" s="30"/>
      <c r="J52" s="10"/>
      <c r="K52" s="16"/>
      <c r="L52" s="16"/>
      <c r="M52" s="10"/>
      <c r="N52" s="70"/>
    </row>
    <row r="53" spans="1:16" x14ac:dyDescent="0.35">
      <c r="A53" s="45" t="s">
        <v>22</v>
      </c>
      <c r="C53" s="289">
        <v>0</v>
      </c>
      <c r="D53" s="117"/>
      <c r="E53" s="40">
        <f>ROUND((C45+C53+D53+E38/2)*E$51,2)</f>
        <v>0</v>
      </c>
      <c r="F53" s="40">
        <f t="shared" ref="F53:L57" si="12">ROUND((E45+E53+F38/2)*F$51,2)</f>
        <v>0</v>
      </c>
      <c r="G53" s="105">
        <f t="shared" si="12"/>
        <v>214.98</v>
      </c>
      <c r="H53" s="39">
        <f t="shared" si="12"/>
        <v>20.420000000000002</v>
      </c>
      <c r="I53" s="117">
        <f t="shared" si="12"/>
        <v>-1345.44</v>
      </c>
      <c r="J53" s="60">
        <f t="shared" si="12"/>
        <v>-2940.38</v>
      </c>
      <c r="K53" s="117">
        <f t="shared" si="12"/>
        <v>-3508.08</v>
      </c>
      <c r="L53" s="117">
        <f t="shared" si="12"/>
        <v>-3348.91</v>
      </c>
      <c r="M53" s="48"/>
      <c r="P53" s="46">
        <f t="shared" ref="P53:P57" si="13">-SUM(K53:M53)</f>
        <v>6856.99</v>
      </c>
    </row>
    <row r="54" spans="1:16" x14ac:dyDescent="0.35">
      <c r="A54" s="45" t="s">
        <v>94</v>
      </c>
      <c r="C54" s="323">
        <v>0</v>
      </c>
      <c r="D54" s="251"/>
      <c r="E54" s="40">
        <f t="shared" ref="E54:E57" si="14">ROUND((C46+C54+D54+E39/2)*E$51,2)</f>
        <v>0</v>
      </c>
      <c r="F54" s="40">
        <f t="shared" si="12"/>
        <v>0</v>
      </c>
      <c r="G54" s="105">
        <f t="shared" si="12"/>
        <v>22.36</v>
      </c>
      <c r="H54" s="39">
        <f t="shared" si="12"/>
        <v>12.83</v>
      </c>
      <c r="I54" s="117">
        <f t="shared" si="12"/>
        <v>-76.75</v>
      </c>
      <c r="J54" s="60">
        <f t="shared" si="12"/>
        <v>-192.59</v>
      </c>
      <c r="K54" s="117">
        <f t="shared" si="12"/>
        <v>-263.11</v>
      </c>
      <c r="L54" s="117">
        <f t="shared" si="12"/>
        <v>-202.8</v>
      </c>
      <c r="M54" s="48"/>
      <c r="P54" s="46">
        <f t="shared" si="13"/>
        <v>465.91</v>
      </c>
    </row>
    <row r="55" spans="1:16" x14ac:dyDescent="0.35">
      <c r="A55" s="45" t="s">
        <v>95</v>
      </c>
      <c r="C55" s="323">
        <v>0</v>
      </c>
      <c r="D55" s="251"/>
      <c r="E55" s="40">
        <f t="shared" si="14"/>
        <v>0</v>
      </c>
      <c r="F55" s="40">
        <f t="shared" si="12"/>
        <v>0</v>
      </c>
      <c r="G55" s="105">
        <f t="shared" si="12"/>
        <v>49.47</v>
      </c>
      <c r="H55" s="39">
        <f t="shared" si="12"/>
        <v>45.8</v>
      </c>
      <c r="I55" s="117">
        <f t="shared" si="12"/>
        <v>-445.66</v>
      </c>
      <c r="J55" s="60">
        <f t="shared" si="12"/>
        <v>-990.01</v>
      </c>
      <c r="K55" s="117">
        <f t="shared" si="12"/>
        <v>-1386.72</v>
      </c>
      <c r="L55" s="117">
        <f t="shared" si="12"/>
        <v>-889.02</v>
      </c>
      <c r="M55" s="48"/>
      <c r="P55" s="46">
        <f t="shared" si="13"/>
        <v>2275.7399999999998</v>
      </c>
    </row>
    <row r="56" spans="1:16" x14ac:dyDescent="0.35">
      <c r="A56" s="45" t="s">
        <v>96</v>
      </c>
      <c r="C56" s="323">
        <v>0</v>
      </c>
      <c r="D56" s="251"/>
      <c r="E56" s="40">
        <f t="shared" si="14"/>
        <v>0</v>
      </c>
      <c r="F56" s="40">
        <f t="shared" si="12"/>
        <v>0</v>
      </c>
      <c r="G56" s="105">
        <f t="shared" si="12"/>
        <v>52.91</v>
      </c>
      <c r="H56" s="39">
        <f t="shared" si="12"/>
        <v>24.78</v>
      </c>
      <c r="I56" s="117">
        <f t="shared" si="12"/>
        <v>-284.25</v>
      </c>
      <c r="J56" s="60">
        <f t="shared" si="12"/>
        <v>-903.67</v>
      </c>
      <c r="K56" s="117">
        <f t="shared" si="12"/>
        <v>-1399.71</v>
      </c>
      <c r="L56" s="117">
        <f t="shared" si="12"/>
        <v>-1126.71</v>
      </c>
      <c r="M56" s="48"/>
      <c r="P56" s="46">
        <f t="shared" si="13"/>
        <v>2526.42</v>
      </c>
    </row>
    <row r="57" spans="1:16" ht="15" thickBot="1" x14ac:dyDescent="0.4">
      <c r="A57" s="45" t="s">
        <v>97</v>
      </c>
      <c r="C57" s="324">
        <v>0</v>
      </c>
      <c r="D57" s="251"/>
      <c r="E57" s="40">
        <f t="shared" si="14"/>
        <v>0</v>
      </c>
      <c r="F57" s="40">
        <f t="shared" si="12"/>
        <v>0</v>
      </c>
      <c r="G57" s="105">
        <f t="shared" si="12"/>
        <v>52.08</v>
      </c>
      <c r="H57" s="39">
        <f t="shared" si="12"/>
        <v>43.59</v>
      </c>
      <c r="I57" s="117">
        <f t="shared" si="12"/>
        <v>-31.76</v>
      </c>
      <c r="J57" s="60">
        <f t="shared" si="12"/>
        <v>-195</v>
      </c>
      <c r="K57" s="117">
        <f t="shared" si="12"/>
        <v>-338.57</v>
      </c>
      <c r="L57" s="117">
        <f t="shared" si="12"/>
        <v>-198.08</v>
      </c>
      <c r="M57" s="48"/>
      <c r="N57" s="282"/>
      <c r="O57" s="282"/>
      <c r="P57" s="46">
        <f t="shared" si="13"/>
        <v>536.65</v>
      </c>
    </row>
    <row r="58" spans="1:16" ht="15.5" thickTop="1" thickBot="1" x14ac:dyDescent="0.4">
      <c r="A58" s="53" t="s">
        <v>20</v>
      </c>
      <c r="B58" s="53"/>
      <c r="C58" s="111">
        <v>0</v>
      </c>
      <c r="D58" s="252"/>
      <c r="E58" s="31">
        <f t="shared" ref="E58:M58" si="15">SUM(E53:E57)+SUM(E45:E49)-E61</f>
        <v>0</v>
      </c>
      <c r="F58" s="31">
        <f t="shared" si="15"/>
        <v>0</v>
      </c>
      <c r="G58" s="49">
        <f t="shared" si="15"/>
        <v>0</v>
      </c>
      <c r="H58" s="118">
        <f t="shared" si="15"/>
        <v>0</v>
      </c>
      <c r="I58" s="31">
        <f t="shared" si="15"/>
        <v>0</v>
      </c>
      <c r="J58" s="61">
        <f t="shared" si="15"/>
        <v>0</v>
      </c>
      <c r="K58" s="158">
        <f t="shared" si="15"/>
        <v>0</v>
      </c>
      <c r="L58" s="31">
        <f t="shared" si="15"/>
        <v>0</v>
      </c>
      <c r="M58" s="94">
        <f t="shared" si="15"/>
        <v>0</v>
      </c>
    </row>
    <row r="59" spans="1:16" ht="15.5" thickTop="1" thickBot="1" x14ac:dyDescent="0.4">
      <c r="A59" s="53" t="s">
        <v>21</v>
      </c>
      <c r="B59" s="53"/>
      <c r="C59" s="104">
        <v>0</v>
      </c>
      <c r="D59" s="253"/>
      <c r="E59" s="31">
        <f t="shared" ref="E59:J59" si="16">SUM(E53:E57)-E35</f>
        <v>0</v>
      </c>
      <c r="F59" s="31">
        <f t="shared" si="16"/>
        <v>0</v>
      </c>
      <c r="G59" s="49">
        <f t="shared" ref="G59:I59" si="17">SUM(G53:G57)-G35</f>
        <v>0</v>
      </c>
      <c r="H59" s="50">
        <f t="shared" si="17"/>
        <v>0</v>
      </c>
      <c r="I59" s="31">
        <f t="shared" si="17"/>
        <v>0</v>
      </c>
      <c r="J59" s="61">
        <f t="shared" si="16"/>
        <v>0</v>
      </c>
      <c r="K59" s="158">
        <f t="shared" ref="K59:M59" si="18">SUM(K53:K57)-K35</f>
        <v>0</v>
      </c>
      <c r="L59" s="31">
        <f t="shared" si="18"/>
        <v>0</v>
      </c>
      <c r="M59" s="94">
        <f t="shared" si="18"/>
        <v>0</v>
      </c>
    </row>
    <row r="60" spans="1:16" ht="15.5" thickTop="1" thickBot="1" x14ac:dyDescent="0.4">
      <c r="C60" s="97"/>
      <c r="D60" s="144"/>
      <c r="E60" s="16"/>
      <c r="F60" s="16"/>
      <c r="G60" s="16"/>
      <c r="H60" s="9"/>
      <c r="I60" s="16"/>
      <c r="J60" s="10"/>
      <c r="K60" s="16"/>
      <c r="L60" s="16"/>
      <c r="M60" s="10"/>
    </row>
    <row r="61" spans="1:16" ht="15" thickBot="1" x14ac:dyDescent="0.4">
      <c r="A61" s="45" t="s">
        <v>30</v>
      </c>
      <c r="B61" s="113">
        <f>SUM(B45:B49)</f>
        <v>44555.69</v>
      </c>
      <c r="C61" s="39">
        <f>(SUM(C15:C19)-SUM(C29:C33))+SUM(C53:C57)+B61</f>
        <v>61265.710000000006</v>
      </c>
      <c r="D61" s="40">
        <f>(SUM(D15:D19)-SUM(D29:D33))+SUM(D53:D57)+C61</f>
        <v>61265.710000000006</v>
      </c>
      <c r="E61" s="40">
        <f>(SUM(E15:E19)-SUM(E29:E33))+SUM(D53:E57)+C61</f>
        <v>56829.830000000009</v>
      </c>
      <c r="F61" s="40">
        <f t="shared" ref="F61:M61" si="19">(SUM(F15:F19)-SUM(F29:F33))+SUM(F53:F57)+E61</f>
        <v>51678.970000000008</v>
      </c>
      <c r="G61" s="105">
        <f t="shared" si="19"/>
        <v>118661.53</v>
      </c>
      <c r="H61" s="39">
        <f t="shared" si="19"/>
        <v>-54661.51999999996</v>
      </c>
      <c r="I61" s="40">
        <f t="shared" si="19"/>
        <v>-892617.16999999993</v>
      </c>
      <c r="J61" s="60">
        <f t="shared" si="19"/>
        <v>-1372698.5</v>
      </c>
      <c r="K61" s="117">
        <f t="shared" si="19"/>
        <v>-1619084.8299999998</v>
      </c>
      <c r="L61" s="40">
        <f t="shared" si="19"/>
        <v>-882179.25</v>
      </c>
      <c r="M61" s="60">
        <f t="shared" si="19"/>
        <v>-2194415.7199999997</v>
      </c>
    </row>
    <row r="62" spans="1:16" x14ac:dyDescent="0.35">
      <c r="A62" s="45" t="s">
        <v>10</v>
      </c>
      <c r="C62" s="114"/>
      <c r="D62" s="16"/>
      <c r="E62" s="55"/>
      <c r="F62" s="55"/>
      <c r="G62" s="55"/>
      <c r="H62" s="11"/>
      <c r="I62" s="55"/>
      <c r="J62" s="10"/>
      <c r="K62" s="16"/>
      <c r="L62" s="16"/>
      <c r="M62" s="10"/>
    </row>
    <row r="63" spans="1:16" ht="15" thickBot="1" x14ac:dyDescent="0.4">
      <c r="B63" s="16"/>
      <c r="C63" s="42"/>
      <c r="D63" s="43"/>
      <c r="E63" s="43"/>
      <c r="F63" s="43"/>
      <c r="G63" s="43"/>
      <c r="H63" s="42"/>
      <c r="I63" s="43"/>
      <c r="J63" s="44"/>
      <c r="K63" s="43"/>
      <c r="L63" s="43"/>
      <c r="M63" s="44"/>
    </row>
    <row r="64" spans="1:16" x14ac:dyDescent="0.35">
      <c r="D64" s="46"/>
    </row>
    <row r="65" spans="1:13" x14ac:dyDescent="0.35">
      <c r="A65" s="68" t="s">
        <v>9</v>
      </c>
      <c r="B65" s="68"/>
      <c r="C65" s="68"/>
      <c r="D65" s="68"/>
    </row>
    <row r="66" spans="1:13" ht="74.25" customHeight="1" x14ac:dyDescent="0.35">
      <c r="A66" s="355" t="s">
        <v>293</v>
      </c>
      <c r="B66" s="355"/>
      <c r="C66" s="355"/>
      <c r="D66" s="355"/>
      <c r="E66" s="355"/>
      <c r="F66" s="355"/>
      <c r="G66" s="355"/>
      <c r="H66" s="355"/>
      <c r="I66" s="355"/>
      <c r="J66" s="355"/>
      <c r="K66" s="297"/>
      <c r="L66" s="297"/>
      <c r="M66" s="297"/>
    </row>
    <row r="67" spans="1:13" ht="60.75" customHeight="1" x14ac:dyDescent="0.35">
      <c r="A67" s="355" t="s">
        <v>307</v>
      </c>
      <c r="B67" s="355"/>
      <c r="C67" s="355"/>
      <c r="D67" s="355"/>
      <c r="E67" s="355"/>
      <c r="F67" s="355"/>
      <c r="G67" s="355"/>
      <c r="H67" s="355"/>
      <c r="I67" s="355"/>
      <c r="J67" s="355"/>
      <c r="K67" s="297"/>
      <c r="L67" s="297"/>
      <c r="M67" s="297"/>
    </row>
    <row r="68" spans="1:13" ht="57" customHeight="1" x14ac:dyDescent="0.35">
      <c r="A68" s="355" t="s">
        <v>245</v>
      </c>
      <c r="B68" s="355"/>
      <c r="C68" s="355"/>
      <c r="D68" s="355"/>
      <c r="E68" s="355"/>
      <c r="F68" s="355"/>
      <c r="G68" s="355"/>
      <c r="H68" s="355"/>
      <c r="I68" s="355"/>
      <c r="J68" s="355"/>
      <c r="K68" s="297"/>
      <c r="L68" s="297"/>
      <c r="M68" s="297"/>
    </row>
    <row r="69" spans="1:13" x14ac:dyDescent="0.35">
      <c r="A69" s="355" t="s">
        <v>224</v>
      </c>
      <c r="B69" s="355"/>
      <c r="C69" s="355"/>
      <c r="D69" s="355"/>
      <c r="E69" s="355"/>
      <c r="F69" s="355"/>
      <c r="G69" s="355"/>
      <c r="H69" s="355"/>
      <c r="I69" s="355"/>
      <c r="J69" s="355"/>
    </row>
    <row r="70" spans="1:13" x14ac:dyDescent="0.35">
      <c r="A70" s="62" t="s">
        <v>250</v>
      </c>
      <c r="B70" s="62"/>
      <c r="C70" s="310"/>
      <c r="D70" s="62"/>
      <c r="E70" s="38"/>
      <c r="F70" s="38"/>
      <c r="G70" s="38"/>
      <c r="H70" s="38"/>
      <c r="I70" s="38"/>
      <c r="J70" s="306"/>
    </row>
    <row r="71" spans="1:13" x14ac:dyDescent="0.35">
      <c r="A71" s="62" t="s">
        <v>45</v>
      </c>
      <c r="B71" s="62"/>
      <c r="C71" s="62"/>
      <c r="D71" s="62"/>
      <c r="E71" s="38"/>
      <c r="F71" s="38"/>
      <c r="G71" s="38"/>
      <c r="H71" s="38"/>
      <c r="I71" s="38"/>
      <c r="J71" s="306"/>
    </row>
    <row r="72" spans="1:13" x14ac:dyDescent="0.35">
      <c r="A72" s="3"/>
    </row>
    <row r="73" spans="1:13" ht="33.75" customHeight="1" x14ac:dyDescent="0.35">
      <c r="A73" s="356"/>
      <c r="B73" s="356"/>
      <c r="C73" s="356"/>
      <c r="D73" s="356"/>
      <c r="E73" s="356"/>
      <c r="F73" s="356"/>
      <c r="G73" s="356"/>
    </row>
    <row r="75" spans="1:13" ht="31.5" customHeight="1" x14ac:dyDescent="0.35">
      <c r="A75" s="356"/>
      <c r="B75" s="356"/>
      <c r="C75" s="356"/>
      <c r="D75" s="356"/>
      <c r="E75" s="356"/>
      <c r="F75" s="356"/>
      <c r="G75" s="356"/>
    </row>
    <row r="81" spans="14:14" x14ac:dyDescent="0.35">
      <c r="N81" s="7"/>
    </row>
  </sheetData>
  <mergeCells count="9">
    <mergeCell ref="A73:G73"/>
    <mergeCell ref="A75:G75"/>
    <mergeCell ref="E11:G11"/>
    <mergeCell ref="H11:J11"/>
    <mergeCell ref="K11:M11"/>
    <mergeCell ref="A66:J66"/>
    <mergeCell ref="A67:J67"/>
    <mergeCell ref="A68:J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codeName="Sheet13">
    <pageSetUpPr fitToPage="1"/>
  </sheetPr>
  <dimension ref="A1:W39"/>
  <sheetViews>
    <sheetView workbookViewId="0"/>
  </sheetViews>
  <sheetFormatPr defaultColWidth="9.1796875" defaultRowHeight="14.5" x14ac:dyDescent="0.35"/>
  <cols>
    <col min="1" max="1" width="24.7265625" style="45" customWidth="1"/>
    <col min="2" max="2" width="16.1796875" style="45" customWidth="1"/>
    <col min="3" max="3" width="15.1796875" style="45" customWidth="1"/>
    <col min="4" max="4" width="12.54296875" style="45" bestFit="1" customWidth="1"/>
    <col min="5" max="5" width="13.26953125" style="45" customWidth="1"/>
    <col min="6" max="6" width="11.54296875" style="45" customWidth="1"/>
    <col min="7" max="7" width="9.1796875" style="45"/>
    <col min="8" max="8" width="11.54296875" style="45" bestFit="1" customWidth="1"/>
    <col min="9" max="16384" width="9.1796875" style="45"/>
  </cols>
  <sheetData>
    <row r="1" spans="1:23" x14ac:dyDescent="0.35">
      <c r="A1" s="62" t="s">
        <v>308</v>
      </c>
    </row>
    <row r="2" spans="1:23" x14ac:dyDescent="0.35">
      <c r="A2" s="345" t="s">
        <v>240</v>
      </c>
    </row>
    <row r="3" spans="1:23" x14ac:dyDescent="0.35">
      <c r="A3" s="8"/>
    </row>
    <row r="4" spans="1:23" ht="40.5" customHeight="1" x14ac:dyDescent="0.35">
      <c r="B4" s="349" t="s">
        <v>99</v>
      </c>
      <c r="C4" s="349"/>
    </row>
    <row r="5" spans="1:23" ht="58" x14ac:dyDescent="0.35">
      <c r="B5" s="145" t="s">
        <v>57</v>
      </c>
      <c r="C5" s="47" t="s">
        <v>26</v>
      </c>
      <c r="D5" s="267" t="s">
        <v>252</v>
      </c>
      <c r="E5" s="267" t="s">
        <v>253</v>
      </c>
      <c r="F5" s="267" t="s">
        <v>254</v>
      </c>
    </row>
    <row r="6" spans="1:23" x14ac:dyDescent="0.35">
      <c r="A6" s="19" t="s">
        <v>22</v>
      </c>
      <c r="B6" s="22">
        <f>ROUND(SUM('[16]Summary Monthly TD Calc'!$AH18:$AS18),4)</f>
        <v>39663295.6884</v>
      </c>
      <c r="C6" s="84">
        <f ca="1">SUM(OFFSET(C6,0,1):OFFSET(G6,0,-1))</f>
        <v>2518507.37</v>
      </c>
      <c r="D6" s="218">
        <f>ROUND(+SUM('[16]Monthly TD Calc-PY5'!$BS711:$CD711),2)</f>
        <v>453008.75</v>
      </c>
      <c r="E6" s="218">
        <f>ROUND(+SUM('[16]Monthly TD Calc-PY4'!$BS575:$CD575),2)</f>
        <v>665090.56999999995</v>
      </c>
      <c r="F6" s="218">
        <f>ROUND(SUM('[16]Monthly TD Calc-PY1-3'!$BS563:$CD563),2)</f>
        <v>1400408.05</v>
      </c>
      <c r="H6" s="120"/>
    </row>
    <row r="7" spans="1:23" x14ac:dyDescent="0.35">
      <c r="A7" s="19" t="s">
        <v>94</v>
      </c>
      <c r="B7" s="22">
        <f>ROUND(SUM('[16]Summary Monthly TD Calc'!$AH19:$AS19),4)</f>
        <v>12854255.159700001</v>
      </c>
      <c r="C7" s="84">
        <f ca="1">SUM(OFFSET(C7,0,1):OFFSET(G7,0,-1))</f>
        <v>842684.81</v>
      </c>
      <c r="D7" s="218">
        <f>ROUND(+SUM('[16]Monthly TD Calc-PY5'!$BS712:$CD712),2)</f>
        <v>524347.05000000005</v>
      </c>
      <c r="E7" s="218">
        <f>ROUND(+SUM('[16]Monthly TD Calc-PY4'!$BS576:$CD576),2)</f>
        <v>84656.47</v>
      </c>
      <c r="F7" s="218">
        <f>ROUND(SUM('[16]Monthly TD Calc-PY1-3'!$BS564:$CD564),2)</f>
        <v>233681.29</v>
      </c>
      <c r="H7" s="120"/>
    </row>
    <row r="8" spans="1:23" x14ac:dyDescent="0.35">
      <c r="A8" s="19" t="s">
        <v>95</v>
      </c>
      <c r="B8" s="22">
        <f>ROUND(SUM('[16]Summary Monthly TD Calc'!$AH20:$AS20),4)</f>
        <v>30964533.721900001</v>
      </c>
      <c r="C8" s="84">
        <f ca="1">SUM(OFFSET(C8,0,1):OFFSET(G8,0,-1))</f>
        <v>1452671.65</v>
      </c>
      <c r="D8" s="218">
        <f>ROUND(+SUM('[16]Monthly TD Calc-PY5'!$BS713:$CD713),2)</f>
        <v>524098.98</v>
      </c>
      <c r="E8" s="218">
        <f>ROUND(+SUM('[16]Monthly TD Calc-PY4'!$BS577:$CD577),2)</f>
        <v>473253.56</v>
      </c>
      <c r="F8" s="218">
        <f>ROUND(SUM('[16]Monthly TD Calc-PY1-3'!$BS565:$CD565),2)</f>
        <v>455319.11</v>
      </c>
      <c r="H8" s="120"/>
    </row>
    <row r="9" spans="1:23" x14ac:dyDescent="0.35">
      <c r="A9" s="19" t="s">
        <v>96</v>
      </c>
      <c r="B9" s="22">
        <f>ROUND(SUM('[16]Summary Monthly TD Calc'!$AH21:$AS21),4)</f>
        <v>31062149.569200002</v>
      </c>
      <c r="C9" s="84">
        <f ca="1">SUM(OFFSET(C9,0,1):OFFSET(G9,0,-1))</f>
        <v>939743.79</v>
      </c>
      <c r="D9" s="218">
        <f>ROUND(+SUM('[16]Monthly TD Calc-PY5'!$BS714:$CD714),2)</f>
        <v>166968.4</v>
      </c>
      <c r="E9" s="218">
        <f>ROUND(+SUM('[16]Monthly TD Calc-PY4'!$BS578:$CD578),2)</f>
        <v>357544.3</v>
      </c>
      <c r="F9" s="218">
        <f>ROUND(SUM('[16]Monthly TD Calc-PY1-3'!$BS566:$CD566),2)</f>
        <v>415231.09</v>
      </c>
      <c r="H9" s="120"/>
    </row>
    <row r="10" spans="1:23" x14ac:dyDescent="0.35">
      <c r="A10" s="19" t="s">
        <v>97</v>
      </c>
      <c r="B10" s="22">
        <f>ROUND(SUM('[16]Summary Monthly TD Calc'!$AH22:$AS22),4)</f>
        <v>4193850.1869999999</v>
      </c>
      <c r="C10" s="84">
        <f ca="1">SUM(OFFSET(C10,0,1):OFFSET(G10,0,-1))</f>
        <v>61776.71</v>
      </c>
      <c r="D10" s="218">
        <f>ROUND(+SUM('[16]Monthly TD Calc-PY5'!$BS715:$CD715),2)</f>
        <v>15160.63</v>
      </c>
      <c r="E10" s="218">
        <f>ROUND(+SUM('[16]Monthly TD Calc-PY4'!$BS579:$CD579),2)</f>
        <v>24374.54</v>
      </c>
      <c r="F10" s="218">
        <f>ROUND(SUM('[16]Monthly TD Calc-PY1-3'!$BS567:$CD567),2)</f>
        <v>22241.54</v>
      </c>
      <c r="H10" s="120"/>
    </row>
    <row r="11" spans="1:23" x14ac:dyDescent="0.35">
      <c r="A11" s="29" t="s">
        <v>3</v>
      </c>
      <c r="B11" s="23">
        <f>SUM(B6:B10)</f>
        <v>118738084.32620001</v>
      </c>
      <c r="C11" s="270">
        <f ca="1">SUM(C6:C10)</f>
        <v>5815384.3300000001</v>
      </c>
      <c r="D11" s="270">
        <f t="shared" ref="D11" si="0">SUM(D6:D10)</f>
        <v>1683583.8099999998</v>
      </c>
      <c r="E11" s="270">
        <f>SUM(E6:E10)</f>
        <v>1604919.44</v>
      </c>
      <c r="F11" s="270">
        <f t="shared" ref="F11" si="1">SUM(F6:F10)</f>
        <v>2526881.08</v>
      </c>
    </row>
    <row r="13" spans="1:23" x14ac:dyDescent="0.35">
      <c r="A13" s="68" t="s">
        <v>27</v>
      </c>
      <c r="B13" s="19"/>
      <c r="C13" s="20"/>
      <c r="N13" s="1"/>
      <c r="O13" s="1"/>
      <c r="P13" s="1"/>
      <c r="Q13" s="1"/>
      <c r="R13" s="1"/>
      <c r="S13" s="1"/>
      <c r="T13" s="1"/>
      <c r="U13" s="1"/>
      <c r="V13" s="1"/>
      <c r="W13" s="1"/>
    </row>
    <row r="14" spans="1:23" s="38" customFormat="1" ht="45" customHeight="1" x14ac:dyDescent="0.35">
      <c r="A14" s="348" t="s">
        <v>255</v>
      </c>
      <c r="B14" s="348"/>
      <c r="C14" s="348"/>
      <c r="D14" s="348"/>
      <c r="E14" s="348"/>
      <c r="F14" s="269"/>
      <c r="G14" s="269"/>
      <c r="H14" s="269"/>
      <c r="I14" s="269"/>
      <c r="J14" s="269"/>
      <c r="K14" s="269"/>
      <c r="L14" s="269"/>
      <c r="M14" s="269"/>
    </row>
    <row r="15" spans="1:23" s="38" customFormat="1" x14ac:dyDescent="0.35">
      <c r="A15" s="350" t="s">
        <v>226</v>
      </c>
      <c r="B15" s="350"/>
      <c r="C15" s="350"/>
      <c r="D15" s="350"/>
      <c r="E15" s="350"/>
      <c r="F15" s="350"/>
      <c r="G15" s="350"/>
      <c r="H15" s="350"/>
      <c r="I15" s="350"/>
      <c r="J15" s="350"/>
      <c r="K15" s="350"/>
      <c r="L15" s="350"/>
      <c r="M15" s="350"/>
    </row>
    <row r="16" spans="1:23" ht="29.25" customHeight="1" x14ac:dyDescent="0.35">
      <c r="A16" s="362" t="s">
        <v>256</v>
      </c>
      <c r="B16" s="362"/>
      <c r="C16" s="362"/>
      <c r="D16" s="362"/>
      <c r="E16" s="362"/>
      <c r="F16" s="269"/>
      <c r="G16" s="269"/>
      <c r="H16" s="269"/>
      <c r="I16" s="269"/>
      <c r="J16" s="269"/>
      <c r="K16" s="269"/>
      <c r="L16" s="269"/>
      <c r="M16" s="269"/>
    </row>
    <row r="17" spans="1:13" ht="27.75" customHeight="1" x14ac:dyDescent="0.35">
      <c r="A17" s="348" t="s">
        <v>257</v>
      </c>
      <c r="B17" s="348"/>
      <c r="C17" s="348"/>
      <c r="D17" s="348"/>
      <c r="E17" s="348"/>
      <c r="F17" s="269"/>
      <c r="G17" s="269"/>
      <c r="H17" s="269"/>
      <c r="I17" s="269"/>
      <c r="J17" s="269"/>
      <c r="K17" s="269"/>
      <c r="L17" s="269"/>
      <c r="M17" s="269"/>
    </row>
    <row r="18" spans="1:13" ht="31.5" customHeight="1" x14ac:dyDescent="0.35">
      <c r="A18" s="348" t="s">
        <v>258</v>
      </c>
      <c r="B18" s="348"/>
      <c r="C18" s="348"/>
      <c r="D18" s="348"/>
      <c r="E18" s="348"/>
      <c r="F18" s="38"/>
      <c r="G18" s="269"/>
      <c r="H18" s="38"/>
      <c r="I18" s="38"/>
      <c r="J18" s="38"/>
      <c r="K18" s="38"/>
      <c r="L18" s="38"/>
      <c r="M18" s="38"/>
    </row>
    <row r="35" spans="2:3" x14ac:dyDescent="0.35">
      <c r="B35" s="7"/>
      <c r="C35" s="7"/>
    </row>
    <row r="39" spans="2:3" x14ac:dyDescent="0.35">
      <c r="B39" s="7"/>
      <c r="C39" s="7"/>
    </row>
  </sheetData>
  <mergeCells count="6">
    <mergeCell ref="A18:E18"/>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97A9-86F0-4DC5-B0B7-D5AE2D28BC10}">
  <sheetPr codeName="Sheet14">
    <pageSetUpPr fitToPage="1"/>
  </sheetPr>
  <dimension ref="A1:W37"/>
  <sheetViews>
    <sheetView workbookViewId="0"/>
  </sheetViews>
  <sheetFormatPr defaultColWidth="9.1796875" defaultRowHeight="14.5" x14ac:dyDescent="0.35"/>
  <cols>
    <col min="1" max="1" width="24.7265625" style="45" customWidth="1"/>
    <col min="2" max="2" width="16.1796875" style="45" customWidth="1"/>
    <col min="3" max="3" width="15.1796875" style="45" customWidth="1"/>
    <col min="4" max="4" width="12.54296875" style="45" bestFit="1" customWidth="1"/>
    <col min="5" max="5" width="13.26953125" style="45" customWidth="1"/>
    <col min="6" max="6" width="11.54296875" style="45" customWidth="1"/>
    <col min="7" max="16384" width="9.1796875" style="45"/>
  </cols>
  <sheetData>
    <row r="1" spans="1:23" x14ac:dyDescent="0.35">
      <c r="A1" s="62" t="str">
        <f>'PTD Cycle 3'!A1</f>
        <v>Evergy Metro, Inc. - DSIM Rider Update Filed 06/02/2025</v>
      </c>
    </row>
    <row r="2" spans="1:23" x14ac:dyDescent="0.35">
      <c r="A2" s="8" t="str">
        <f>+'PPC Cycle 4'!A2</f>
        <v>Projections for Cycle 4 July 2025 - June 2026 DSIM</v>
      </c>
    </row>
    <row r="3" spans="1:23" x14ac:dyDescent="0.35">
      <c r="A3" s="8"/>
    </row>
    <row r="4" spans="1:23" ht="40.5" customHeight="1" x14ac:dyDescent="0.35">
      <c r="B4" s="349" t="s">
        <v>228</v>
      </c>
      <c r="C4" s="349"/>
    </row>
    <row r="5" spans="1:23" ht="43.5" x14ac:dyDescent="0.35">
      <c r="B5" s="145" t="s">
        <v>57</v>
      </c>
      <c r="C5" s="47" t="s">
        <v>26</v>
      </c>
      <c r="D5" s="325" t="str">
        <f>+'PPC Cycle 4'!D4</f>
        <v>3. Cycle 4 - July 2025 - June 2026</v>
      </c>
    </row>
    <row r="6" spans="1:23" x14ac:dyDescent="0.35">
      <c r="A6" s="19" t="s">
        <v>22</v>
      </c>
      <c r="B6" s="22">
        <f>ROUND(SUM('[17]Summary Monthly TD Calc'!$H18:$S18),4)</f>
        <v>2031578.1507999999</v>
      </c>
      <c r="C6" s="84">
        <f ca="1">SUM(OFFSET(C6,0,1):OFFSET(E6,0,-1))</f>
        <v>216365.36</v>
      </c>
      <c r="D6" s="218">
        <f>ROUND(SUM('[17]Summary Monthly TD Calc'!$H3:$S3),4)</f>
        <v>216365.36</v>
      </c>
    </row>
    <row r="7" spans="1:23" x14ac:dyDescent="0.35">
      <c r="A7" s="19" t="s">
        <v>94</v>
      </c>
      <c r="B7" s="22">
        <f>ROUND(SUM('[17]Summary Monthly TD Calc'!$H19:$S19),4)</f>
        <v>781727.49919999996</v>
      </c>
      <c r="C7" s="84">
        <f ca="1">SUM(OFFSET(C7,0,1):OFFSET(E7,0,-1))</f>
        <v>50287.56</v>
      </c>
      <c r="D7" s="218">
        <f>ROUND(SUM('[17]Summary Monthly TD Calc'!$H4:$S4),4)</f>
        <v>50287.56</v>
      </c>
    </row>
    <row r="8" spans="1:23" x14ac:dyDescent="0.35">
      <c r="A8" s="19" t="s">
        <v>95</v>
      </c>
      <c r="B8" s="22">
        <f>ROUND(SUM('[17]Summary Monthly TD Calc'!$H20:$S20),4)</f>
        <v>1484090.1777999999</v>
      </c>
      <c r="C8" s="84">
        <f ca="1">SUM(OFFSET(C8,0,1):OFFSET(E8,0,-1))</f>
        <v>66116.91</v>
      </c>
      <c r="D8" s="218">
        <f>ROUND(SUM('[17]Summary Monthly TD Calc'!$H5:$S5),4)</f>
        <v>66116.91</v>
      </c>
    </row>
    <row r="9" spans="1:23" x14ac:dyDescent="0.35">
      <c r="A9" s="19" t="s">
        <v>96</v>
      </c>
      <c r="B9" s="22">
        <f>ROUND(SUM('[17]Summary Monthly TD Calc'!$H21:$S21),4)</f>
        <v>2157772.4045000002</v>
      </c>
      <c r="C9" s="84">
        <f ca="1">SUM(OFFSET(C9,0,1):OFFSET(E9,0,-1))</f>
        <v>58959</v>
      </c>
      <c r="D9" s="218">
        <f>ROUND(SUM('[17]Summary Monthly TD Calc'!$H6:$S6),4)</f>
        <v>58959</v>
      </c>
    </row>
    <row r="10" spans="1:23" x14ac:dyDescent="0.35">
      <c r="A10" s="19" t="s">
        <v>97</v>
      </c>
      <c r="B10" s="22">
        <f>ROUND(SUM('[17]Summary Monthly TD Calc'!$H22:$S22),4)</f>
        <v>606257.01679999998</v>
      </c>
      <c r="C10" s="84">
        <f ca="1">SUM(OFFSET(C10,0,1):OFFSET(E10,0,-1))</f>
        <v>5231.47</v>
      </c>
      <c r="D10" s="218">
        <f>ROUND(SUM('[17]Summary Monthly TD Calc'!$H7:$S7),4)</f>
        <v>5231.47</v>
      </c>
    </row>
    <row r="11" spans="1:23" x14ac:dyDescent="0.35">
      <c r="A11" s="29" t="s">
        <v>3</v>
      </c>
      <c r="B11" s="23">
        <f>SUM(B6:B10)</f>
        <v>7061425.2491000006</v>
      </c>
      <c r="C11" s="270">
        <f ca="1">SUM(C6:C10)</f>
        <v>396960.29999999993</v>
      </c>
      <c r="D11" s="270">
        <f t="shared" ref="D11" si="0">SUM(D6:D10)</f>
        <v>396960.29999999993</v>
      </c>
    </row>
    <row r="13" spans="1:23" x14ac:dyDescent="0.35">
      <c r="A13" s="68" t="s">
        <v>27</v>
      </c>
      <c r="B13" s="19"/>
      <c r="C13" s="20"/>
      <c r="N13" s="1"/>
      <c r="O13" s="1"/>
      <c r="P13" s="1"/>
      <c r="Q13" s="1"/>
      <c r="R13" s="1"/>
      <c r="S13" s="1"/>
      <c r="T13" s="1"/>
      <c r="U13" s="1"/>
      <c r="V13" s="1"/>
      <c r="W13" s="1"/>
    </row>
    <row r="14" spans="1:23" s="38" customFormat="1" ht="45" customHeight="1" x14ac:dyDescent="0.35">
      <c r="A14" s="348" t="s">
        <v>296</v>
      </c>
      <c r="B14" s="348"/>
      <c r="C14" s="348"/>
      <c r="D14" s="348"/>
      <c r="E14" s="348"/>
      <c r="F14" s="269"/>
      <c r="G14" s="269"/>
      <c r="H14" s="269"/>
      <c r="I14" s="269"/>
      <c r="J14" s="269"/>
      <c r="K14" s="269"/>
      <c r="L14" s="269"/>
      <c r="M14" s="269"/>
    </row>
    <row r="15" spans="1:23" s="38" customFormat="1" x14ac:dyDescent="0.35">
      <c r="A15" s="350" t="s">
        <v>239</v>
      </c>
      <c r="B15" s="350"/>
      <c r="C15" s="350"/>
      <c r="D15" s="350"/>
      <c r="E15" s="350"/>
      <c r="F15" s="350"/>
      <c r="G15" s="350"/>
      <c r="H15" s="350"/>
      <c r="I15" s="350"/>
      <c r="J15" s="350"/>
      <c r="K15" s="350"/>
      <c r="L15" s="350"/>
      <c r="M15" s="350"/>
    </row>
    <row r="16" spans="1:23" ht="29.25" customHeight="1" x14ac:dyDescent="0.35">
      <c r="A16" s="362" t="s">
        <v>295</v>
      </c>
      <c r="B16" s="362"/>
      <c r="C16" s="362"/>
      <c r="D16" s="362"/>
      <c r="E16" s="362"/>
      <c r="F16" s="269"/>
      <c r="G16" s="269"/>
      <c r="H16" s="269"/>
      <c r="I16" s="269"/>
      <c r="J16" s="269"/>
      <c r="K16" s="269"/>
      <c r="L16" s="269"/>
      <c r="M16" s="269"/>
    </row>
    <row r="33" spans="2:3" x14ac:dyDescent="0.35">
      <c r="B33" s="7"/>
      <c r="C33" s="7"/>
    </row>
    <row r="37" spans="2:3" x14ac:dyDescent="0.35">
      <c r="B37" s="7"/>
      <c r="C37" s="7"/>
    </row>
  </sheetData>
  <mergeCells count="4">
    <mergeCell ref="B4:C4"/>
    <mergeCell ref="A14:E14"/>
    <mergeCell ref="A15:M15"/>
    <mergeCell ref="A16:E16"/>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AI69"/>
  <sheetViews>
    <sheetView zoomScale="85" zoomScaleNormal="85" workbookViewId="0"/>
  </sheetViews>
  <sheetFormatPr defaultColWidth="9.1796875" defaultRowHeight="14.5" outlineLevelCol="1" x14ac:dyDescent="0.35"/>
  <cols>
    <col min="1" max="1" width="61.7265625" style="45" customWidth="1"/>
    <col min="2" max="2" width="12.1796875" style="45" customWidth="1"/>
    <col min="3" max="3" width="12.453125" style="45" customWidth="1"/>
    <col min="4" max="4" width="12.453125" style="45" customWidth="1" outlineLevel="1"/>
    <col min="5" max="5" width="15.453125" style="45" customWidth="1"/>
    <col min="6" max="6" width="15.81640625" style="45" customWidth="1"/>
    <col min="7" max="7" width="12.26953125" style="45" customWidth="1"/>
    <col min="8" max="9" width="13.26953125" style="45" customWidth="1"/>
    <col min="10" max="10" width="12.26953125" style="45" bestFit="1" customWidth="1"/>
    <col min="11" max="11" width="11.54296875" style="45" bestFit="1" customWidth="1"/>
    <col min="12" max="12" width="12.81640625" style="45" customWidth="1"/>
    <col min="13" max="13" width="11.54296875" style="45" bestFit="1" customWidth="1"/>
    <col min="14" max="14" width="15" style="45" bestFit="1" customWidth="1"/>
    <col min="15" max="15" width="16" style="45" bestFit="1" customWidth="1"/>
    <col min="16" max="16" width="15" style="45" hidden="1" customWidth="1" outlineLevel="1"/>
    <col min="17" max="17" width="17.453125" style="45" bestFit="1" customWidth="1" collapsed="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62" t="str">
        <f>'PTD Cycle 3'!A1</f>
        <v>Evergy Metro, Inc. - DSIM Rider Update Filed 06/02/2025</v>
      </c>
      <c r="B1" s="3"/>
      <c r="C1" s="3"/>
      <c r="D1" s="3"/>
    </row>
    <row r="2" spans="1:35" x14ac:dyDescent="0.35">
      <c r="E2" s="3" t="s">
        <v>54</v>
      </c>
    </row>
    <row r="3" spans="1:35" ht="29" x14ac:dyDescent="0.35">
      <c r="E3" s="47" t="s">
        <v>40</v>
      </c>
      <c r="F3" s="69" t="s">
        <v>62</v>
      </c>
      <c r="G3" s="69" t="s">
        <v>48</v>
      </c>
      <c r="H3" s="47" t="s">
        <v>1</v>
      </c>
      <c r="I3" s="69" t="s">
        <v>49</v>
      </c>
      <c r="J3" s="47" t="s">
        <v>8</v>
      </c>
      <c r="K3" s="47" t="s">
        <v>7</v>
      </c>
      <c r="S3" s="47"/>
    </row>
    <row r="4" spans="1:35" x14ac:dyDescent="0.35">
      <c r="A4" s="19" t="s">
        <v>22</v>
      </c>
      <c r="B4" s="19"/>
      <c r="C4" s="19"/>
      <c r="D4" s="19"/>
      <c r="E4" s="21">
        <f>SUM(C19:M19)</f>
        <v>29821.059076584199</v>
      </c>
      <c r="F4" s="131">
        <f>N26</f>
        <v>0</v>
      </c>
      <c r="G4" s="21">
        <f>SUM(C33:L33)</f>
        <v>0</v>
      </c>
      <c r="H4" s="21">
        <f>G4-E4</f>
        <v>-29821.059076584199</v>
      </c>
      <c r="I4" s="21">
        <f>+B46</f>
        <v>67328.872149999763</v>
      </c>
      <c r="J4" s="21">
        <f>SUM(C51:L51)</f>
        <v>1577.23</v>
      </c>
      <c r="K4" s="24">
        <f>SUM(H4:J4)</f>
        <v>39085.043073415567</v>
      </c>
      <c r="L4" s="46">
        <f>+K4-M46</f>
        <v>0</v>
      </c>
      <c r="M4" s="46"/>
    </row>
    <row r="5" spans="1:35" ht="15" thickBot="1" x14ac:dyDescent="0.4">
      <c r="A5" s="19" t="s">
        <v>23</v>
      </c>
      <c r="B5" s="19"/>
      <c r="C5" s="19"/>
      <c r="D5" s="19"/>
      <c r="E5" s="21">
        <f>SUM(C20:M23)</f>
        <v>17416.180959999994</v>
      </c>
      <c r="F5" s="131">
        <f>SUM(N27:N30)</f>
        <v>0</v>
      </c>
      <c r="G5" s="21">
        <f>SUM(C34:L37)</f>
        <v>0</v>
      </c>
      <c r="H5" s="21">
        <f>G5-E5</f>
        <v>-17416.180959999994</v>
      </c>
      <c r="I5" s="21">
        <f>+B47</f>
        <v>54039.100439999209</v>
      </c>
      <c r="J5" s="21">
        <f>SUM(C52:L52)</f>
        <v>1386.12</v>
      </c>
      <c r="K5" s="24">
        <f>SUM(H5:J5)</f>
        <v>38009.039479999214</v>
      </c>
      <c r="L5" s="46">
        <f>+K5-M47</f>
        <v>0</v>
      </c>
      <c r="M5" s="46"/>
    </row>
    <row r="6" spans="1:35" ht="15.5" thickTop="1" thickBot="1" x14ac:dyDescent="0.4">
      <c r="E6" s="26">
        <f t="shared" ref="E6" si="0">SUM(E4:E5)</f>
        <v>47237.24003658419</v>
      </c>
      <c r="F6" s="132">
        <f t="shared" ref="F6:I6" si="1">SUM(F4:F5)</f>
        <v>0</v>
      </c>
      <c r="G6" s="26">
        <f t="shared" si="1"/>
        <v>0</v>
      </c>
      <c r="H6" s="26">
        <f t="shared" si="1"/>
        <v>-47237.24003658419</v>
      </c>
      <c r="I6" s="26">
        <f t="shared" si="1"/>
        <v>121367.97258999897</v>
      </c>
      <c r="J6" s="26">
        <f>SUM(J4:J5)</f>
        <v>2963.35</v>
      </c>
      <c r="K6" s="26">
        <f>SUM(K4:K5)</f>
        <v>77094.082553414773</v>
      </c>
      <c r="T6" s="5"/>
    </row>
    <row r="7" spans="1:35" ht="44" thickTop="1" x14ac:dyDescent="0.35">
      <c r="K7" s="217"/>
      <c r="L7" s="216" t="s">
        <v>110</v>
      </c>
    </row>
    <row r="8" spans="1:35" x14ac:dyDescent="0.35">
      <c r="A8" s="19" t="s">
        <v>94</v>
      </c>
      <c r="K8" s="24">
        <f>ROUND($K$5*L8,2)</f>
        <v>5160.28</v>
      </c>
      <c r="L8" s="214">
        <f>+'[18]Monthly TD Calc'!$DC$44</f>
        <v>0.13576441564001979</v>
      </c>
    </row>
    <row r="9" spans="1:35" x14ac:dyDescent="0.35">
      <c r="A9" s="19" t="s">
        <v>95</v>
      </c>
      <c r="K9" s="24">
        <f t="shared" ref="K9:K11" si="2">ROUND($K$5*L9,2)</f>
        <v>13535.62</v>
      </c>
      <c r="L9" s="214">
        <f>+'[18]Monthly TD Calc'!$DD$44</f>
        <v>0.35611574316442379</v>
      </c>
    </row>
    <row r="10" spans="1:35" x14ac:dyDescent="0.35">
      <c r="A10" s="19" t="s">
        <v>96</v>
      </c>
      <c r="K10" s="24">
        <f t="shared" si="2"/>
        <v>15899.89</v>
      </c>
      <c r="L10" s="214">
        <f>+'[18]Monthly TD Calc'!$DE$44</f>
        <v>0.4183185730547726</v>
      </c>
    </row>
    <row r="11" spans="1:35" ht="15" thickBot="1" x14ac:dyDescent="0.4">
      <c r="A11" s="19" t="s">
        <v>97</v>
      </c>
      <c r="J11" s="4"/>
      <c r="K11" s="24">
        <f t="shared" si="2"/>
        <v>3413.26</v>
      </c>
      <c r="L11" s="214">
        <f>+'[18]Monthly TD Calc'!$DF$44</f>
        <v>8.9801268140783777E-2</v>
      </c>
      <c r="V11" s="4"/>
    </row>
    <row r="12" spans="1:35" ht="15.5" thickTop="1" thickBot="1" x14ac:dyDescent="0.4">
      <c r="A12" s="19" t="s">
        <v>98</v>
      </c>
      <c r="K12" s="26">
        <f>SUM(K8:K11)</f>
        <v>38009.050000000003</v>
      </c>
      <c r="L12" s="215">
        <f>SUM(L8:L11)</f>
        <v>1</v>
      </c>
      <c r="V12" s="4"/>
      <c r="W12" s="5"/>
    </row>
    <row r="13" spans="1:35" ht="15.5" thickTop="1" thickBot="1" x14ac:dyDescent="0.4">
      <c r="V13" s="4"/>
      <c r="W13" s="5"/>
    </row>
    <row r="14" spans="1:35" ht="116.5" thickBot="1" x14ac:dyDescent="0.4">
      <c r="B14" s="112" t="str">
        <f>'PCR Cycle 4'!B$11</f>
        <v>Cumulative Over/Under Carryover From 12/01/2024 Filing</v>
      </c>
      <c r="C14" s="146" t="str">
        <f>'PCR Cycle 4'!C$11</f>
        <v>Reverse November 2024 - January 2025 Forecast From 12/01/2024 Filing</v>
      </c>
      <c r="D14" s="146"/>
      <c r="E14" s="357" t="s">
        <v>28</v>
      </c>
      <c r="F14" s="357"/>
      <c r="G14" s="358"/>
      <c r="H14" s="363" t="s">
        <v>28</v>
      </c>
      <c r="I14" s="364"/>
      <c r="J14" s="365"/>
      <c r="K14" s="352" t="s">
        <v>6</v>
      </c>
      <c r="L14" s="353"/>
      <c r="M14" s="354"/>
      <c r="P14" s="274" t="s">
        <v>210</v>
      </c>
    </row>
    <row r="15" spans="1:35" x14ac:dyDescent="0.35">
      <c r="A15" s="45" t="s">
        <v>56</v>
      </c>
      <c r="C15" s="102"/>
      <c r="D15" s="201"/>
      <c r="E15" s="18">
        <f>+'PCR Cycle 4'!E$12</f>
        <v>45626</v>
      </c>
      <c r="F15" s="18">
        <f>+'PCR Cycle 4'!F$12</f>
        <v>45657</v>
      </c>
      <c r="G15" s="18">
        <f>+'PCR Cycle 4'!G$12</f>
        <v>45688</v>
      </c>
      <c r="H15" s="13">
        <f>+'PCR Cycle 4'!H$12</f>
        <v>45716</v>
      </c>
      <c r="I15" s="18">
        <f>+'PCR Cycle 4'!I$12</f>
        <v>45747</v>
      </c>
      <c r="J15" s="14">
        <f>+'PCR Cycle 4'!J$12</f>
        <v>45777</v>
      </c>
      <c r="K15" s="18">
        <f>+'PCR Cycle 4'!K$12</f>
        <v>45808</v>
      </c>
      <c r="L15" s="18">
        <f>+'PCR Cycle 4'!L$12</f>
        <v>45838</v>
      </c>
      <c r="M15" s="93">
        <f>+'PCR Cycle 4'!M$12</f>
        <v>45869</v>
      </c>
      <c r="P15" s="181"/>
      <c r="Z15" s="1"/>
      <c r="AA15" s="1"/>
      <c r="AB15" s="1"/>
      <c r="AC15" s="1"/>
      <c r="AD15" s="1"/>
      <c r="AE15" s="1"/>
      <c r="AF15" s="1"/>
      <c r="AG15" s="1"/>
      <c r="AH15" s="1"/>
      <c r="AI15" s="1"/>
    </row>
    <row r="16" spans="1:35" x14ac:dyDescent="0.35">
      <c r="A16" s="45" t="s">
        <v>3</v>
      </c>
      <c r="C16" s="183"/>
      <c r="D16" s="185">
        <f t="shared" ref="D16" si="3">+D33+D37</f>
        <v>0</v>
      </c>
      <c r="E16" s="106">
        <f>SUM(E33:E37)</f>
        <v>0</v>
      </c>
      <c r="F16" s="106">
        <f t="shared" ref="F16:L16" si="4">SUM(F33:F37)</f>
        <v>0</v>
      </c>
      <c r="G16" s="107">
        <f t="shared" si="4"/>
        <v>0</v>
      </c>
      <c r="H16" s="15">
        <f t="shared" si="4"/>
        <v>0</v>
      </c>
      <c r="I16" s="54">
        <f t="shared" si="4"/>
        <v>0</v>
      </c>
      <c r="J16" s="159">
        <f t="shared" si="4"/>
        <v>0</v>
      </c>
      <c r="K16" s="152">
        <f t="shared" si="4"/>
        <v>0</v>
      </c>
      <c r="L16" s="76">
        <f t="shared" si="4"/>
        <v>0</v>
      </c>
      <c r="M16" s="77"/>
      <c r="P16" s="181">
        <f>-SUM(K16:M16)</f>
        <v>0</v>
      </c>
    </row>
    <row r="17" spans="1:16" x14ac:dyDescent="0.35">
      <c r="C17" s="97"/>
      <c r="D17" s="186"/>
      <c r="E17" s="16"/>
      <c r="F17" s="16"/>
      <c r="G17" s="16"/>
      <c r="H17" s="9"/>
      <c r="I17" s="16"/>
      <c r="J17" s="10"/>
      <c r="K17" s="30"/>
      <c r="L17" s="30"/>
      <c r="M17" s="28"/>
      <c r="P17" s="181"/>
    </row>
    <row r="18" spans="1:16" x14ac:dyDescent="0.35">
      <c r="A18" s="45" t="s">
        <v>55</v>
      </c>
      <c r="C18" s="97"/>
      <c r="D18" s="186"/>
      <c r="E18" s="17"/>
      <c r="F18" s="17"/>
      <c r="G18" s="17"/>
      <c r="H18" s="89"/>
      <c r="I18" s="17"/>
      <c r="J18" s="160"/>
      <c r="K18" s="30"/>
      <c r="L18" s="30"/>
      <c r="M18" s="28"/>
      <c r="N18" s="62" t="s">
        <v>59</v>
      </c>
      <c r="O18" s="38"/>
      <c r="P18" s="181"/>
    </row>
    <row r="19" spans="1:16" x14ac:dyDescent="0.35">
      <c r="A19" s="45" t="s">
        <v>22</v>
      </c>
      <c r="C19" s="183">
        <v>-33741.087850000004</v>
      </c>
      <c r="D19" s="185">
        <v>0</v>
      </c>
      <c r="E19" s="129">
        <f>'[10]November 2024'!$G61</f>
        <v>7482.5700000000006</v>
      </c>
      <c r="F19" s="129">
        <f>'[10]December 2024'!$G61</f>
        <v>10671.99</v>
      </c>
      <c r="G19" s="129">
        <f>'[10]January 2025'!$G61</f>
        <v>13046.37</v>
      </c>
      <c r="H19" s="15">
        <f>'[10]February 2025'!$G61</f>
        <v>11341.82</v>
      </c>
      <c r="I19" s="115">
        <f>'[10]March 2025'!$G61</f>
        <v>4706.0600000000004</v>
      </c>
      <c r="J19" s="164">
        <f>'[10]April 2025'!$G61</f>
        <v>3012.82</v>
      </c>
      <c r="K19" s="117">
        <f>'PCR Cycle 4'!K22*'TDR Cycle 2'!$N19</f>
        <v>3152.18956353358</v>
      </c>
      <c r="L19" s="40">
        <f>'PCR Cycle 4'!L22*'TDR Cycle 2'!$N19</f>
        <v>4118.1330782992472</v>
      </c>
      <c r="M19" s="60">
        <f>'PCR Cycle 4'!M22*'TDR Cycle 2'!$N19</f>
        <v>6030.1942847513765</v>
      </c>
      <c r="N19" s="71">
        <v>2.0000000000000002E-5</v>
      </c>
      <c r="O19" s="4"/>
      <c r="P19" s="181">
        <f t="shared" ref="P19:P23" si="5">-SUM(K19:M19)</f>
        <v>-13300.516926584203</v>
      </c>
    </row>
    <row r="20" spans="1:16" x14ac:dyDescent="0.35">
      <c r="A20" s="45" t="s">
        <v>94</v>
      </c>
      <c r="C20" s="183">
        <v>-4777.5724200000004</v>
      </c>
      <c r="D20" s="185"/>
      <c r="E20" s="129">
        <f>'[10]November 2024'!$G62</f>
        <v>1391.8400000000001</v>
      </c>
      <c r="F20" s="129">
        <f>'[10]December 2024'!$G62</f>
        <v>1676.28</v>
      </c>
      <c r="G20" s="129">
        <f>'[10]January 2025'!$G62</f>
        <v>1651.28</v>
      </c>
      <c r="H20" s="15">
        <f>'[10]February 2025'!$G62</f>
        <v>1527.43</v>
      </c>
      <c r="I20" s="115">
        <f>'[10]March 2025'!$G62</f>
        <v>-2331.38</v>
      </c>
      <c r="J20" s="164">
        <f>'[10]April 2025'!$G62</f>
        <v>590.57000000000005</v>
      </c>
      <c r="K20" s="117">
        <f>'PCR Cycle 4'!K23*'TDR Cycle 2'!$N20</f>
        <v>491.23963000000003</v>
      </c>
      <c r="L20" s="40">
        <f>'PCR Cycle 4'!L23*'TDR Cycle 2'!$N20</f>
        <v>543.44539000000009</v>
      </c>
      <c r="M20" s="60">
        <f>'PCR Cycle 4'!M23*'TDR Cycle 2'!$N20</f>
        <v>609.6303200000001</v>
      </c>
      <c r="N20" s="71">
        <v>1.0000000000000001E-5</v>
      </c>
      <c r="O20" s="4"/>
      <c r="P20" s="181">
        <f t="shared" si="5"/>
        <v>-1644.3153400000001</v>
      </c>
    </row>
    <row r="21" spans="1:16" x14ac:dyDescent="0.35">
      <c r="A21" s="45" t="s">
        <v>95</v>
      </c>
      <c r="C21" s="183">
        <v>-11280.822760000001</v>
      </c>
      <c r="D21" s="185"/>
      <c r="E21" s="129">
        <f>'[10]November 2024'!$G63</f>
        <v>3212.3500000000004</v>
      </c>
      <c r="F21" s="129">
        <f>'[10]December 2024'!$G63</f>
        <v>3593.76</v>
      </c>
      <c r="G21" s="129">
        <f>'[10]January 2025'!$G63</f>
        <v>3820.33</v>
      </c>
      <c r="H21" s="15">
        <f>'[10]February 2025'!$G63</f>
        <v>3473.42</v>
      </c>
      <c r="I21" s="115">
        <f>'[10]March 2025'!$G63</f>
        <v>-908.23</v>
      </c>
      <c r="J21" s="164">
        <f>'[10]April 2025'!$G63</f>
        <v>1166.44</v>
      </c>
      <c r="K21" s="117">
        <f>'PCR Cycle 4'!K24*'TDR Cycle 2'!$N21</f>
        <v>1682.4116800000002</v>
      </c>
      <c r="L21" s="40">
        <f>'PCR Cycle 4'!L24*'TDR Cycle 2'!$N21</f>
        <v>1861.2074600000001</v>
      </c>
      <c r="M21" s="60">
        <f>'PCR Cycle 4'!M24*'TDR Cycle 2'!$N21</f>
        <v>2087.8795</v>
      </c>
      <c r="N21" s="71">
        <v>2.0000000000000002E-5</v>
      </c>
      <c r="O21" s="4"/>
      <c r="P21" s="181">
        <f t="shared" si="5"/>
        <v>-5631.4986399999998</v>
      </c>
    </row>
    <row r="22" spans="1:16" x14ac:dyDescent="0.35">
      <c r="A22" s="45" t="s">
        <v>96</v>
      </c>
      <c r="C22" s="183">
        <v>-18286.699360000002</v>
      </c>
      <c r="D22" s="185"/>
      <c r="E22" s="129">
        <f>'[10]November 2024'!$G64</f>
        <v>5491.19</v>
      </c>
      <c r="F22" s="129">
        <f>'[10]December 2024'!$G64</f>
        <v>6148.74</v>
      </c>
      <c r="G22" s="129">
        <f>'[10]January 2025'!$G64</f>
        <v>6325.67</v>
      </c>
      <c r="H22" s="15">
        <f>'[10]February 2025'!$G64</f>
        <v>4936.51</v>
      </c>
      <c r="I22" s="115">
        <f>'[10]March 2025'!$G64</f>
        <v>-2263.08</v>
      </c>
      <c r="J22" s="164">
        <f>'[10]April 2025'!$G64</f>
        <v>1219.77</v>
      </c>
      <c r="K22" s="117">
        <f>'PCR Cycle 4'!K25*'TDR Cycle 2'!$N22</f>
        <v>1373.45127</v>
      </c>
      <c r="L22" s="40">
        <f>'PCR Cycle 4'!L25*'TDR Cycle 2'!$N22</f>
        <v>1519.4127400000002</v>
      </c>
      <c r="M22" s="60">
        <f>'PCR Cycle 4'!M25*'TDR Cycle 2'!$N22</f>
        <v>1704.4584200000002</v>
      </c>
      <c r="N22" s="71">
        <v>1.0000000000000001E-5</v>
      </c>
      <c r="O22" s="4"/>
      <c r="P22" s="181">
        <f t="shared" si="5"/>
        <v>-4597.3224300000002</v>
      </c>
    </row>
    <row r="23" spans="1:16" x14ac:dyDescent="0.35">
      <c r="A23" s="45" t="s">
        <v>97</v>
      </c>
      <c r="C23" s="183">
        <v>-1284.9550199999999</v>
      </c>
      <c r="D23" s="185">
        <v>0</v>
      </c>
      <c r="E23" s="129">
        <f>'[10]November 2024'!$G65</f>
        <v>397.12</v>
      </c>
      <c r="F23" s="129">
        <f>'[10]December 2024'!$G65</f>
        <v>328.06</v>
      </c>
      <c r="G23" s="129">
        <f>'[10]January 2025'!$G65</f>
        <v>394.35999999999996</v>
      </c>
      <c r="H23" s="15">
        <f>'[10]February 2025'!$G65</f>
        <v>461.42</v>
      </c>
      <c r="I23" s="115">
        <f>'[10]March 2025'!$G65</f>
        <v>-2550.48</v>
      </c>
      <c r="J23" s="164">
        <f>'[10]April 2025'!$G65</f>
        <v>335.89</v>
      </c>
      <c r="K23" s="117">
        <f>'PCR Cycle 4'!K26*'TDR Cycle 2'!$N23</f>
        <v>323.79572000000002</v>
      </c>
      <c r="L23" s="40">
        <f>'PCR Cycle 4'!L26*'TDR Cycle 2'!$N23</f>
        <v>358.20663000000002</v>
      </c>
      <c r="M23" s="60">
        <f>'PCR Cycle 4'!M26*'TDR Cycle 2'!$N23</f>
        <v>401.83176000000003</v>
      </c>
      <c r="N23" s="71">
        <v>1.0000000000000001E-5</v>
      </c>
      <c r="O23" s="4"/>
      <c r="P23" s="181">
        <f t="shared" si="5"/>
        <v>-1083.83411</v>
      </c>
    </row>
    <row r="24" spans="1:16" x14ac:dyDescent="0.35">
      <c r="C24" s="66"/>
      <c r="D24" s="187"/>
      <c r="E24" s="67"/>
      <c r="F24" s="67"/>
      <c r="G24" s="67"/>
      <c r="H24" s="66"/>
      <c r="I24" s="67"/>
      <c r="J24" s="162"/>
      <c r="K24" s="55"/>
      <c r="L24" s="55"/>
      <c r="M24" s="12"/>
      <c r="O24" s="4"/>
    </row>
    <row r="25" spans="1:16" x14ac:dyDescent="0.35">
      <c r="A25" s="38" t="s">
        <v>58</v>
      </c>
      <c r="B25" s="38"/>
      <c r="C25" s="66"/>
      <c r="D25" s="187"/>
      <c r="E25" s="55"/>
      <c r="F25" s="55"/>
      <c r="G25" s="55"/>
      <c r="H25" s="11"/>
      <c r="I25" s="55"/>
      <c r="J25" s="163"/>
      <c r="K25" s="55"/>
      <c r="L25" s="55"/>
      <c r="M25" s="12"/>
      <c r="N25" s="6"/>
    </row>
    <row r="26" spans="1:16" x14ac:dyDescent="0.35">
      <c r="A26" s="45" t="s">
        <v>22</v>
      </c>
      <c r="C26" s="184"/>
      <c r="D26" s="188"/>
      <c r="E26" s="108">
        <v>0</v>
      </c>
      <c r="F26" s="108">
        <v>0</v>
      </c>
      <c r="G26" s="108">
        <v>0</v>
      </c>
      <c r="H26" s="72">
        <v>0</v>
      </c>
      <c r="I26" s="73">
        <v>0</v>
      </c>
      <c r="J26" s="164">
        <v>0</v>
      </c>
      <c r="K26" s="153">
        <v>0</v>
      </c>
      <c r="L26" s="153">
        <v>0</v>
      </c>
      <c r="M26" s="78"/>
      <c r="N26" s="58">
        <f>SUM(C26:L26)</f>
        <v>0</v>
      </c>
    </row>
    <row r="27" spans="1:16" x14ac:dyDescent="0.35">
      <c r="A27" s="45" t="s">
        <v>94</v>
      </c>
      <c r="C27" s="184"/>
      <c r="D27" s="188"/>
      <c r="E27" s="108">
        <v>0</v>
      </c>
      <c r="F27" s="108">
        <v>0</v>
      </c>
      <c r="G27" s="108">
        <v>0</v>
      </c>
      <c r="H27" s="72">
        <v>0</v>
      </c>
      <c r="I27" s="73">
        <v>0</v>
      </c>
      <c r="J27" s="164">
        <v>0</v>
      </c>
      <c r="K27" s="153">
        <v>0</v>
      </c>
      <c r="L27" s="153">
        <v>0</v>
      </c>
      <c r="M27" s="78"/>
      <c r="N27" s="58">
        <f t="shared" ref="N27:N30" si="6">SUM(C27:L27)</f>
        <v>0</v>
      </c>
    </row>
    <row r="28" spans="1:16" x14ac:dyDescent="0.35">
      <c r="A28" s="45" t="s">
        <v>95</v>
      </c>
      <c r="C28" s="184"/>
      <c r="D28" s="188"/>
      <c r="E28" s="108">
        <v>0</v>
      </c>
      <c r="F28" s="108">
        <v>0</v>
      </c>
      <c r="G28" s="108">
        <v>0</v>
      </c>
      <c r="H28" s="72">
        <v>0</v>
      </c>
      <c r="I28" s="73">
        <v>0</v>
      </c>
      <c r="J28" s="164">
        <v>0</v>
      </c>
      <c r="K28" s="153">
        <v>0</v>
      </c>
      <c r="L28" s="153">
        <v>0</v>
      </c>
      <c r="M28" s="78"/>
      <c r="N28" s="58">
        <f t="shared" si="6"/>
        <v>0</v>
      </c>
    </row>
    <row r="29" spans="1:16" x14ac:dyDescent="0.35">
      <c r="A29" s="45" t="s">
        <v>96</v>
      </c>
      <c r="C29" s="184"/>
      <c r="D29" s="188"/>
      <c r="E29" s="108">
        <v>0</v>
      </c>
      <c r="F29" s="108">
        <v>0</v>
      </c>
      <c r="G29" s="108">
        <v>0</v>
      </c>
      <c r="H29" s="72">
        <v>0</v>
      </c>
      <c r="I29" s="73">
        <v>0</v>
      </c>
      <c r="J29" s="164">
        <v>0</v>
      </c>
      <c r="K29" s="153">
        <v>0</v>
      </c>
      <c r="L29" s="153">
        <v>0</v>
      </c>
      <c r="M29" s="78"/>
      <c r="N29" s="58">
        <f t="shared" si="6"/>
        <v>0</v>
      </c>
    </row>
    <row r="30" spans="1:16" x14ac:dyDescent="0.35">
      <c r="A30" s="45" t="s">
        <v>97</v>
      </c>
      <c r="C30" s="184"/>
      <c r="D30" s="188"/>
      <c r="E30" s="108">
        <v>0</v>
      </c>
      <c r="F30" s="108">
        <v>0</v>
      </c>
      <c r="G30" s="108">
        <v>0</v>
      </c>
      <c r="H30" s="72">
        <v>0</v>
      </c>
      <c r="I30" s="73">
        <v>0</v>
      </c>
      <c r="J30" s="164">
        <v>0</v>
      </c>
      <c r="K30" s="153">
        <v>0</v>
      </c>
      <c r="L30" s="153">
        <v>0</v>
      </c>
      <c r="M30" s="78"/>
      <c r="N30" s="58">
        <f t="shared" si="6"/>
        <v>0</v>
      </c>
    </row>
    <row r="31" spans="1:16" x14ac:dyDescent="0.35">
      <c r="C31" s="66"/>
      <c r="D31" s="187"/>
      <c r="E31" s="67"/>
      <c r="F31" s="67"/>
      <c r="G31" s="67"/>
      <c r="H31" s="11"/>
      <c r="I31" s="55"/>
      <c r="J31" s="163"/>
      <c r="K31" s="55"/>
      <c r="L31" s="55"/>
      <c r="M31" s="12"/>
    </row>
    <row r="32" spans="1:16" x14ac:dyDescent="0.35">
      <c r="A32" s="45" t="s">
        <v>60</v>
      </c>
      <c r="C32" s="35"/>
      <c r="D32" s="189"/>
      <c r="E32" s="36"/>
      <c r="F32" s="36"/>
      <c r="G32" s="36"/>
      <c r="H32" s="35"/>
      <c r="I32" s="36"/>
      <c r="J32" s="165"/>
      <c r="K32" s="51"/>
      <c r="L32" s="51"/>
      <c r="M32" s="37"/>
    </row>
    <row r="33" spans="1:18" x14ac:dyDescent="0.35">
      <c r="A33" s="45" t="s">
        <v>22</v>
      </c>
      <c r="C33" s="183"/>
      <c r="D33" s="185"/>
      <c r="E33" s="129">
        <v>0</v>
      </c>
      <c r="F33" s="129">
        <v>0</v>
      </c>
      <c r="G33" s="129">
        <v>0</v>
      </c>
      <c r="H33" s="15">
        <v>0</v>
      </c>
      <c r="I33" s="115">
        <v>0</v>
      </c>
      <c r="J33" s="164">
        <v>0</v>
      </c>
      <c r="K33" s="153">
        <v>0</v>
      </c>
      <c r="L33" s="153">
        <v>0</v>
      </c>
      <c r="M33" s="77"/>
    </row>
    <row r="34" spans="1:18" x14ac:dyDescent="0.35">
      <c r="A34" s="45" t="s">
        <v>94</v>
      </c>
      <c r="C34" s="183"/>
      <c r="D34" s="185"/>
      <c r="E34" s="129">
        <v>0</v>
      </c>
      <c r="F34" s="129">
        <v>0</v>
      </c>
      <c r="G34" s="129">
        <v>0</v>
      </c>
      <c r="H34" s="15">
        <v>0</v>
      </c>
      <c r="I34" s="115">
        <v>0</v>
      </c>
      <c r="J34" s="164">
        <v>0</v>
      </c>
      <c r="K34" s="153">
        <v>0</v>
      </c>
      <c r="L34" s="153">
        <v>0</v>
      </c>
      <c r="M34" s="77"/>
    </row>
    <row r="35" spans="1:18" x14ac:dyDescent="0.35">
      <c r="A35" s="45" t="s">
        <v>95</v>
      </c>
      <c r="C35" s="183"/>
      <c r="D35" s="185"/>
      <c r="E35" s="129">
        <v>0</v>
      </c>
      <c r="F35" s="129">
        <v>0</v>
      </c>
      <c r="G35" s="129">
        <v>0</v>
      </c>
      <c r="H35" s="15">
        <v>0</v>
      </c>
      <c r="I35" s="115">
        <v>0</v>
      </c>
      <c r="J35" s="164">
        <v>0</v>
      </c>
      <c r="K35" s="153">
        <v>0</v>
      </c>
      <c r="L35" s="153">
        <v>0</v>
      </c>
      <c r="M35" s="77"/>
    </row>
    <row r="36" spans="1:18" x14ac:dyDescent="0.35">
      <c r="A36" s="45" t="s">
        <v>96</v>
      </c>
      <c r="C36" s="183"/>
      <c r="D36" s="185"/>
      <c r="E36" s="129">
        <v>0</v>
      </c>
      <c r="F36" s="129">
        <v>0</v>
      </c>
      <c r="G36" s="129">
        <v>0</v>
      </c>
      <c r="H36" s="15">
        <v>0</v>
      </c>
      <c r="I36" s="115">
        <v>0</v>
      </c>
      <c r="J36" s="164">
        <v>0</v>
      </c>
      <c r="K36" s="153">
        <v>0</v>
      </c>
      <c r="L36" s="153">
        <v>0</v>
      </c>
      <c r="M36" s="77"/>
    </row>
    <row r="37" spans="1:18" x14ac:dyDescent="0.35">
      <c r="A37" s="45" t="s">
        <v>97</v>
      </c>
      <c r="C37" s="183"/>
      <c r="D37" s="185"/>
      <c r="E37" s="129">
        <v>0</v>
      </c>
      <c r="F37" s="129">
        <v>0</v>
      </c>
      <c r="G37" s="129">
        <v>0</v>
      </c>
      <c r="H37" s="15">
        <v>0</v>
      </c>
      <c r="I37" s="115">
        <v>0</v>
      </c>
      <c r="J37" s="164">
        <v>0</v>
      </c>
      <c r="K37" s="153">
        <v>0</v>
      </c>
      <c r="L37" s="153">
        <v>0</v>
      </c>
      <c r="M37" s="77"/>
      <c r="O37" s="46"/>
    </row>
    <row r="38" spans="1:18" x14ac:dyDescent="0.35">
      <c r="C38" s="97"/>
      <c r="D38" s="186"/>
      <c r="E38" s="17"/>
      <c r="F38" s="17"/>
      <c r="G38" s="17"/>
      <c r="H38" s="89"/>
      <c r="I38" s="17"/>
      <c r="J38" s="160"/>
      <c r="K38" s="55"/>
      <c r="L38" s="55"/>
      <c r="M38" s="12"/>
    </row>
    <row r="39" spans="1:18" ht="15" thickBot="1" x14ac:dyDescent="0.4">
      <c r="A39" s="3" t="s">
        <v>13</v>
      </c>
      <c r="B39" s="3"/>
      <c r="C39" s="318">
        <v>-1687.21</v>
      </c>
      <c r="D39" s="190"/>
      <c r="E39" s="129">
        <f>874.48+0.01</f>
        <v>874.49</v>
      </c>
      <c r="F39" s="129">
        <f>753.71+0.01</f>
        <v>753.72</v>
      </c>
      <c r="G39" s="130">
        <f>634.75+0.01</f>
        <v>634.76</v>
      </c>
      <c r="H39" s="25">
        <v>530.17000000000007</v>
      </c>
      <c r="I39" s="116">
        <v>490.55000000000007</v>
      </c>
      <c r="J39" s="166">
        <f>485.85+0.01</f>
        <v>485.86</v>
      </c>
      <c r="K39" s="155">
        <f>ROUND((SUM(J46:J47)+SUM(J51:J52)+SUM(K42:K43)/2)*K$49,2)</f>
        <v>457.26</v>
      </c>
      <c r="L39" s="138">
        <f>ROUND((SUM(K46:K47)+SUM(K51:K52)+SUM(L42:L43)/2)*L$49,2)+0.01</f>
        <v>423.75</v>
      </c>
      <c r="M39" s="80"/>
      <c r="P39" s="181">
        <f t="shared" ref="P39" si="7">-SUM(K39:M39)</f>
        <v>-881.01</v>
      </c>
      <c r="R39" s="315"/>
    </row>
    <row r="40" spans="1:18" x14ac:dyDescent="0.35">
      <c r="C40" s="63"/>
      <c r="D40" s="193"/>
      <c r="E40" s="65"/>
      <c r="F40" s="65"/>
      <c r="G40" s="32"/>
      <c r="H40" s="63"/>
      <c r="I40" s="32"/>
      <c r="J40" s="167"/>
      <c r="K40" s="33"/>
      <c r="L40" s="33"/>
      <c r="M40" s="59"/>
    </row>
    <row r="41" spans="1:18" x14ac:dyDescent="0.35">
      <c r="A41" s="45" t="s">
        <v>46</v>
      </c>
      <c r="C41" s="64"/>
      <c r="D41" s="194"/>
      <c r="E41" s="34"/>
      <c r="F41" s="34"/>
      <c r="G41" s="34"/>
      <c r="H41" s="64"/>
      <c r="I41" s="34"/>
      <c r="J41" s="168"/>
      <c r="K41" s="33"/>
      <c r="L41" s="33"/>
      <c r="M41" s="59"/>
    </row>
    <row r="42" spans="1:18" x14ac:dyDescent="0.35">
      <c r="A42" s="45" t="s">
        <v>22</v>
      </c>
      <c r="C42" s="191">
        <f>C33-C19</f>
        <v>33741.087850000004</v>
      </c>
      <c r="D42" s="195">
        <f t="shared" ref="D42" si="8">D33-D19</f>
        <v>0</v>
      </c>
      <c r="E42" s="40">
        <f t="shared" ref="E42:M42" si="9">E33-E19</f>
        <v>-7482.5700000000006</v>
      </c>
      <c r="F42" s="40">
        <f t="shared" si="9"/>
        <v>-10671.99</v>
      </c>
      <c r="G42" s="105">
        <f t="shared" si="9"/>
        <v>-13046.37</v>
      </c>
      <c r="H42" s="39">
        <f t="shared" si="9"/>
        <v>-11341.82</v>
      </c>
      <c r="I42" s="40">
        <f t="shared" si="9"/>
        <v>-4706.0600000000004</v>
      </c>
      <c r="J42" s="60">
        <f t="shared" si="9"/>
        <v>-3012.82</v>
      </c>
      <c r="K42" s="117">
        <f t="shared" si="9"/>
        <v>-3152.18956353358</v>
      </c>
      <c r="L42" s="40">
        <f t="shared" si="9"/>
        <v>-4118.1330782992472</v>
      </c>
      <c r="M42" s="60">
        <f t="shared" si="9"/>
        <v>-6030.1942847513765</v>
      </c>
    </row>
    <row r="43" spans="1:18" x14ac:dyDescent="0.35">
      <c r="A43" s="45" t="s">
        <v>23</v>
      </c>
      <c r="C43" s="191">
        <f t="shared" ref="C43:D43" si="10">SUM(C34:C37)-SUM(C20:C23)</f>
        <v>35630.049560000007</v>
      </c>
      <c r="D43" s="195">
        <f t="shared" si="10"/>
        <v>0</v>
      </c>
      <c r="E43" s="40">
        <f>SUM(E34:E37)-SUM(E20:E23)</f>
        <v>-10492.500000000002</v>
      </c>
      <c r="F43" s="40">
        <f t="shared" ref="F43:M43" si="11">SUM(F34:F37)-SUM(F20:F23)</f>
        <v>-11746.839999999998</v>
      </c>
      <c r="G43" s="105">
        <f t="shared" si="11"/>
        <v>-12191.64</v>
      </c>
      <c r="H43" s="39">
        <f t="shared" si="11"/>
        <v>-10398.780000000001</v>
      </c>
      <c r="I43" s="40">
        <f t="shared" si="11"/>
        <v>8053.17</v>
      </c>
      <c r="J43" s="60">
        <f t="shared" si="11"/>
        <v>-3312.67</v>
      </c>
      <c r="K43" s="117">
        <f t="shared" si="11"/>
        <v>-3870.8983000000003</v>
      </c>
      <c r="L43" s="40">
        <f t="shared" si="11"/>
        <v>-4282.2722200000007</v>
      </c>
      <c r="M43" s="60">
        <f t="shared" si="11"/>
        <v>-4803.8</v>
      </c>
    </row>
    <row r="44" spans="1:18" x14ac:dyDescent="0.35">
      <c r="C44" s="97"/>
      <c r="D44" s="186"/>
      <c r="E44" s="16"/>
      <c r="F44" s="16"/>
      <c r="G44" s="16"/>
      <c r="H44" s="9"/>
      <c r="I44" s="16"/>
      <c r="J44" s="10"/>
      <c r="K44" s="16"/>
      <c r="L44" s="16"/>
      <c r="M44" s="10"/>
    </row>
    <row r="45" spans="1:18" ht="15" thickBot="1" x14ac:dyDescent="0.4">
      <c r="A45" s="45" t="s">
        <v>47</v>
      </c>
      <c r="C45" s="97"/>
      <c r="D45" s="186"/>
      <c r="E45" s="16"/>
      <c r="F45" s="16"/>
      <c r="G45" s="16"/>
      <c r="H45" s="9"/>
      <c r="I45" s="16"/>
      <c r="J45" s="10"/>
      <c r="K45" s="16"/>
      <c r="L45" s="16"/>
      <c r="M45" s="10"/>
    </row>
    <row r="46" spans="1:18" x14ac:dyDescent="0.35">
      <c r="A46" s="45" t="s">
        <v>22</v>
      </c>
      <c r="B46" s="285">
        <v>67328.872149999763</v>
      </c>
      <c r="C46" s="191">
        <f t="shared" ref="C46:E47" si="12">+B46+C42+B51</f>
        <v>101069.95999999976</v>
      </c>
      <c r="D46" s="195">
        <f t="shared" si="12"/>
        <v>100159.20999999976</v>
      </c>
      <c r="E46" s="40">
        <f t="shared" si="12"/>
        <v>92676.639999999752</v>
      </c>
      <c r="F46" s="40">
        <f t="shared" ref="F46:M46" si="13">+E46+F42+E51</f>
        <v>82472.909999999742</v>
      </c>
      <c r="G46" s="105">
        <f t="shared" si="13"/>
        <v>69838.279999999751</v>
      </c>
      <c r="H46" s="39">
        <f t="shared" si="13"/>
        <v>58848.549999999748</v>
      </c>
      <c r="I46" s="40">
        <f t="shared" si="13"/>
        <v>54440.419999999751</v>
      </c>
      <c r="J46" s="60">
        <f t="shared" si="13"/>
        <v>51690.069999999752</v>
      </c>
      <c r="K46" s="117">
        <f t="shared" si="13"/>
        <v>48783.690436466168</v>
      </c>
      <c r="L46" s="40">
        <f t="shared" si="13"/>
        <v>44898.25735816692</v>
      </c>
      <c r="M46" s="60">
        <f t="shared" si="13"/>
        <v>39085.043073415545</v>
      </c>
    </row>
    <row r="47" spans="1:18" ht="15" thickBot="1" x14ac:dyDescent="0.4">
      <c r="A47" s="45" t="s">
        <v>23</v>
      </c>
      <c r="B47" s="286">
        <v>54039.100439999209</v>
      </c>
      <c r="C47" s="191">
        <f t="shared" si="12"/>
        <v>89669.149999999208</v>
      </c>
      <c r="D47" s="195">
        <f t="shared" si="12"/>
        <v>88892.689999999202</v>
      </c>
      <c r="E47" s="40">
        <f t="shared" si="12"/>
        <v>78400.189999999202</v>
      </c>
      <c r="F47" s="40">
        <f t="shared" ref="F47:M47" si="14">+E47+F43+E52</f>
        <v>67059.579999999201</v>
      </c>
      <c r="G47" s="105">
        <f t="shared" si="14"/>
        <v>55209.919999999205</v>
      </c>
      <c r="H47" s="39">
        <f t="shared" si="14"/>
        <v>45093.809999999205</v>
      </c>
      <c r="I47" s="40">
        <f t="shared" si="14"/>
        <v>53379.219999999201</v>
      </c>
      <c r="J47" s="60">
        <f t="shared" si="14"/>
        <v>50294.629999999204</v>
      </c>
      <c r="K47" s="117">
        <f t="shared" si="14"/>
        <v>46663.781699999206</v>
      </c>
      <c r="L47" s="40">
        <f t="shared" si="14"/>
        <v>42606.069479999205</v>
      </c>
      <c r="M47" s="60">
        <f t="shared" si="14"/>
        <v>38009.039479999199</v>
      </c>
    </row>
    <row r="48" spans="1:18" x14ac:dyDescent="0.35">
      <c r="C48" s="97"/>
      <c r="D48" s="186"/>
      <c r="E48" s="16"/>
      <c r="F48" s="16"/>
      <c r="G48" s="16"/>
      <c r="H48" s="9"/>
      <c r="I48" s="16"/>
      <c r="J48" s="10"/>
      <c r="K48" s="16"/>
      <c r="L48" s="16"/>
      <c r="M48" s="10"/>
    </row>
    <row r="49" spans="1:16" x14ac:dyDescent="0.35">
      <c r="A49" s="38" t="s">
        <v>109</v>
      </c>
      <c r="B49" s="38"/>
      <c r="C49" s="101"/>
      <c r="D49" s="196"/>
      <c r="E49" s="81">
        <f>'PCR Cycle 3'!E$51</f>
        <v>4.8565300000000004E-3</v>
      </c>
      <c r="F49" s="81">
        <f>'PCR Cycle 3'!F$51</f>
        <v>4.6890200000000003E-3</v>
      </c>
      <c r="G49" s="81">
        <f>'PCR Cycle 3'!G$51</f>
        <v>4.6108499999999997E-3</v>
      </c>
      <c r="H49" s="82">
        <f>'PCR Cycle 3'!H$51</f>
        <v>4.6177400000000004E-3</v>
      </c>
      <c r="I49" s="81">
        <f>'PCR Cycle 3'!I$51</f>
        <v>4.62145E-3</v>
      </c>
      <c r="J49" s="90">
        <f>'PCR Cycle 3'!J$51</f>
        <v>4.6207399999999999E-3</v>
      </c>
      <c r="K49" s="81">
        <f>'PCR Cycle 3'!K$51</f>
        <v>4.6207399999999999E-3</v>
      </c>
      <c r="L49" s="81">
        <f>'PCR Cycle 3'!L$51</f>
        <v>4.6207399999999999E-3</v>
      </c>
      <c r="M49" s="83"/>
    </row>
    <row r="50" spans="1:16" x14ac:dyDescent="0.35">
      <c r="A50" s="38" t="s">
        <v>31</v>
      </c>
      <c r="B50" s="38"/>
      <c r="C50" s="103"/>
      <c r="D50" s="197"/>
      <c r="E50" s="81"/>
      <c r="F50" s="81"/>
      <c r="G50" s="81"/>
      <c r="H50" s="82"/>
      <c r="I50" s="81"/>
      <c r="J50" s="83"/>
      <c r="K50" s="81"/>
      <c r="L50" s="81"/>
      <c r="M50" s="83"/>
    </row>
    <row r="51" spans="1:16" x14ac:dyDescent="0.35">
      <c r="A51" s="45" t="s">
        <v>22</v>
      </c>
      <c r="C51" s="319">
        <v>-910.75</v>
      </c>
      <c r="D51" s="195"/>
      <c r="E51" s="233">
        <f>ROUND((D46+D51+E42/2)*E$49,2)</f>
        <v>468.26</v>
      </c>
      <c r="F51" s="233">
        <f t="shared" ref="F51:F52" si="15">ROUND((E46+E51+F42/2)*F$49,2)</f>
        <v>411.74</v>
      </c>
      <c r="G51" s="232">
        <f t="shared" ref="G51:G52" si="16">ROUND((F46+F51+G42/2)*G$49,2)</f>
        <v>352.09</v>
      </c>
      <c r="H51" s="39">
        <f t="shared" ref="H51:H52" si="17">ROUND((G46+G51+H42/2)*H$49,2)</f>
        <v>297.93</v>
      </c>
      <c r="I51" s="117">
        <f t="shared" ref="I51:J52" si="18">ROUND((H46+H51+I42/2)*I$49,2)</f>
        <v>262.47000000000003</v>
      </c>
      <c r="J51" s="60">
        <f t="shared" si="18"/>
        <v>245.81</v>
      </c>
      <c r="K51" s="156">
        <f t="shared" ref="K51:K52" si="19">ROUND((J46+J51+K42/2)*K$49,2)</f>
        <v>232.7</v>
      </c>
      <c r="L51" s="105">
        <f t="shared" ref="L51:L52" si="20">ROUND((K46+K51+L42/2)*L$49,2)</f>
        <v>216.98</v>
      </c>
      <c r="M51" s="60">
        <f t="shared" ref="M51:M52" si="21">ROUND((L46+L51+M42/2)*M$49,2)</f>
        <v>0</v>
      </c>
      <c r="P51" s="181">
        <f t="shared" ref="P51:P52" si="22">-SUM(K51:M51)</f>
        <v>-449.67999999999995</v>
      </c>
    </row>
    <row r="52" spans="1:16" ht="15" thickBot="1" x14ac:dyDescent="0.4">
      <c r="A52" s="45" t="s">
        <v>23</v>
      </c>
      <c r="C52" s="319">
        <v>-776.46</v>
      </c>
      <c r="D52" s="195"/>
      <c r="E52" s="233">
        <f>ROUND((D47+D52+E43/2)*E$49,2)</f>
        <v>406.23</v>
      </c>
      <c r="F52" s="233">
        <f t="shared" si="15"/>
        <v>341.98</v>
      </c>
      <c r="G52" s="232">
        <f t="shared" si="16"/>
        <v>282.67</v>
      </c>
      <c r="H52" s="39">
        <f t="shared" si="17"/>
        <v>232.24</v>
      </c>
      <c r="I52" s="117">
        <f t="shared" si="18"/>
        <v>228.08</v>
      </c>
      <c r="J52" s="60">
        <f t="shared" si="18"/>
        <v>240.05</v>
      </c>
      <c r="K52" s="156">
        <f t="shared" si="19"/>
        <v>224.56</v>
      </c>
      <c r="L52" s="105">
        <f t="shared" si="20"/>
        <v>206.77</v>
      </c>
      <c r="M52" s="60">
        <f t="shared" si="21"/>
        <v>0</v>
      </c>
      <c r="N52" s="4"/>
      <c r="O52" s="4"/>
      <c r="P52" s="181">
        <f t="shared" si="22"/>
        <v>-431.33000000000004</v>
      </c>
    </row>
    <row r="53" spans="1:16" ht="15.5" thickTop="1" thickBot="1" x14ac:dyDescent="0.4">
      <c r="A53" s="53" t="s">
        <v>20</v>
      </c>
      <c r="B53" s="53"/>
      <c r="C53" s="192">
        <v>0</v>
      </c>
      <c r="D53" s="198"/>
      <c r="E53" s="41">
        <f>SUM(E51:E52)+SUM(E46:E47)-E56</f>
        <v>0</v>
      </c>
      <c r="F53" s="41">
        <f t="shared" ref="F53:M53" si="23">SUM(F51:F52)+SUM(F46:F47)-F56</f>
        <v>0</v>
      </c>
      <c r="G53" s="49">
        <f t="shared" si="23"/>
        <v>0</v>
      </c>
      <c r="H53" s="50">
        <f t="shared" si="23"/>
        <v>0</v>
      </c>
      <c r="I53" s="41">
        <f t="shared" si="23"/>
        <v>0</v>
      </c>
      <c r="J53" s="61">
        <f t="shared" si="23"/>
        <v>0</v>
      </c>
      <c r="K53" s="157">
        <f t="shared" si="23"/>
        <v>0</v>
      </c>
      <c r="L53" s="49">
        <f t="shared" si="23"/>
        <v>0</v>
      </c>
      <c r="M53" s="61">
        <f t="shared" si="23"/>
        <v>0</v>
      </c>
    </row>
    <row r="54" spans="1:16" ht="15.5" thickTop="1" thickBot="1" x14ac:dyDescent="0.4">
      <c r="A54" s="53" t="s">
        <v>21</v>
      </c>
      <c r="B54" s="53"/>
      <c r="C54" s="192">
        <v>0</v>
      </c>
      <c r="D54" s="198"/>
      <c r="E54" s="41">
        <f t="shared" ref="E54:J54" si="24">SUM(E51:E52)-E39</f>
        <v>0</v>
      </c>
      <c r="F54" s="41">
        <f t="shared" si="24"/>
        <v>0</v>
      </c>
      <c r="G54" s="49">
        <f t="shared" si="24"/>
        <v>0</v>
      </c>
      <c r="H54" s="50">
        <f t="shared" si="24"/>
        <v>0</v>
      </c>
      <c r="I54" s="41">
        <f t="shared" si="24"/>
        <v>0</v>
      </c>
      <c r="J54" s="61">
        <f t="shared" si="24"/>
        <v>0</v>
      </c>
      <c r="K54" s="158">
        <f t="shared" ref="K54:M54" si="25">SUM(K51:K52)-K39</f>
        <v>0</v>
      </c>
      <c r="L54" s="41">
        <f t="shared" si="25"/>
        <v>0</v>
      </c>
      <c r="M54" s="41">
        <f t="shared" si="25"/>
        <v>0</v>
      </c>
    </row>
    <row r="55" spans="1:16" ht="15.5" thickTop="1" thickBot="1" x14ac:dyDescent="0.4">
      <c r="C55" s="97"/>
      <c r="D55" s="186"/>
      <c r="E55" s="16"/>
      <c r="F55" s="16"/>
      <c r="G55" s="16"/>
      <c r="H55" s="9"/>
      <c r="I55" s="16"/>
      <c r="J55" s="10"/>
      <c r="K55" s="16"/>
      <c r="L55" s="16"/>
      <c r="M55" s="10"/>
    </row>
    <row r="56" spans="1:16" ht="15" thickBot="1" x14ac:dyDescent="0.4">
      <c r="A56" s="45" t="s">
        <v>30</v>
      </c>
      <c r="B56" s="113">
        <f>+B46+B47</f>
        <v>121367.97258999897</v>
      </c>
      <c r="C56" s="191">
        <f>(C16-SUM(C19:C23))+SUM(C51:C52)+B56</f>
        <v>189051.89999999898</v>
      </c>
      <c r="D56" s="195">
        <f>(D16-SUM(D19:D23))+SUM(D51:D52)+C56</f>
        <v>189051.89999999898</v>
      </c>
      <c r="E56" s="40">
        <f>(E16-SUM(E19:E23))+SUM(E51:E52)+D56</f>
        <v>171951.31999999899</v>
      </c>
      <c r="F56" s="40">
        <f t="shared" ref="F56:M56" si="26">(F16-SUM(F19:F23))+SUM(F51:F52)+E56</f>
        <v>150286.20999999897</v>
      </c>
      <c r="G56" s="105">
        <f t="shared" si="26"/>
        <v>125682.95999999897</v>
      </c>
      <c r="H56" s="39">
        <f t="shared" si="26"/>
        <v>104472.52999999898</v>
      </c>
      <c r="I56" s="40">
        <f t="shared" si="26"/>
        <v>108310.18999999898</v>
      </c>
      <c r="J56" s="60">
        <f t="shared" si="26"/>
        <v>102470.55999999898</v>
      </c>
      <c r="K56" s="156">
        <f t="shared" si="26"/>
        <v>95904.732136465405</v>
      </c>
      <c r="L56" s="105">
        <f t="shared" si="26"/>
        <v>87928.076838166162</v>
      </c>
      <c r="M56" s="60">
        <f t="shared" si="26"/>
        <v>77094.082553414788</v>
      </c>
    </row>
    <row r="57" spans="1:16" x14ac:dyDescent="0.35">
      <c r="A57" s="45" t="s">
        <v>10</v>
      </c>
      <c r="C57" s="114"/>
      <c r="D57" s="199"/>
      <c r="E57" s="16"/>
      <c r="F57" s="16"/>
      <c r="G57" s="16"/>
      <c r="H57" s="9"/>
      <c r="I57" s="16"/>
      <c r="J57" s="10"/>
      <c r="K57" s="16"/>
      <c r="L57" s="16"/>
      <c r="M57" s="10"/>
    </row>
    <row r="58" spans="1:16" ht="15" thickBot="1" x14ac:dyDescent="0.4">
      <c r="A58" s="36"/>
      <c r="B58" s="36"/>
      <c r="C58" s="141"/>
      <c r="D58" s="200"/>
      <c r="E58" s="43"/>
      <c r="F58" s="43"/>
      <c r="G58" s="43"/>
      <c r="H58" s="42"/>
      <c r="I58" s="43"/>
      <c r="J58" s="44"/>
      <c r="K58" s="43"/>
      <c r="L58" s="43"/>
      <c r="M58" s="44"/>
    </row>
    <row r="60" spans="1:16" x14ac:dyDescent="0.35">
      <c r="A60" s="68" t="s">
        <v>9</v>
      </c>
      <c r="B60" s="68"/>
      <c r="C60" s="68"/>
      <c r="D60" s="68"/>
    </row>
    <row r="61" spans="1:16" ht="34.5" customHeight="1" x14ac:dyDescent="0.35">
      <c r="A61" s="355" t="s">
        <v>203</v>
      </c>
      <c r="B61" s="355"/>
      <c r="C61" s="355"/>
      <c r="D61" s="355"/>
      <c r="E61" s="355"/>
      <c r="F61" s="355"/>
      <c r="G61" s="355"/>
      <c r="H61" s="355"/>
      <c r="I61" s="355"/>
      <c r="J61" s="355"/>
      <c r="K61" s="343"/>
      <c r="L61" s="139"/>
      <c r="M61" s="139"/>
    </row>
    <row r="62" spans="1:16" ht="60.75" customHeight="1" x14ac:dyDescent="0.35">
      <c r="A62" s="355" t="s">
        <v>246</v>
      </c>
      <c r="B62" s="355"/>
      <c r="C62" s="355"/>
      <c r="D62" s="355"/>
      <c r="E62" s="355"/>
      <c r="F62" s="355"/>
      <c r="G62" s="355"/>
      <c r="H62" s="355"/>
      <c r="I62" s="355"/>
      <c r="J62" s="355"/>
      <c r="K62" s="355"/>
      <c r="L62" s="139"/>
      <c r="M62" s="139"/>
    </row>
    <row r="63" spans="1:16" ht="33.75" customHeight="1" x14ac:dyDescent="0.35">
      <c r="A63" s="355" t="s">
        <v>202</v>
      </c>
      <c r="B63" s="355"/>
      <c r="C63" s="355"/>
      <c r="D63" s="355"/>
      <c r="E63" s="355"/>
      <c r="F63" s="355"/>
      <c r="G63" s="355"/>
      <c r="H63" s="355"/>
      <c r="I63" s="355"/>
      <c r="J63" s="355"/>
      <c r="K63" s="343"/>
      <c r="L63" s="139"/>
      <c r="M63" s="139"/>
    </row>
    <row r="64" spans="1:16" x14ac:dyDescent="0.35">
      <c r="A64" s="355" t="s">
        <v>225</v>
      </c>
      <c r="B64" s="355"/>
      <c r="C64" s="355"/>
      <c r="D64" s="355"/>
      <c r="E64" s="355"/>
      <c r="F64" s="355"/>
      <c r="G64" s="355"/>
      <c r="H64" s="355"/>
      <c r="I64" s="355"/>
      <c r="J64" s="355"/>
      <c r="K64" s="38"/>
    </row>
    <row r="65" spans="1:11" x14ac:dyDescent="0.35">
      <c r="A65" s="62" t="s">
        <v>251</v>
      </c>
      <c r="B65" s="62"/>
      <c r="C65" s="62"/>
      <c r="D65" s="62"/>
      <c r="E65" s="38"/>
      <c r="F65" s="38"/>
      <c r="G65" s="38"/>
      <c r="H65" s="38"/>
      <c r="I65" s="38"/>
      <c r="J65" s="38"/>
      <c r="K65" s="38"/>
    </row>
    <row r="66" spans="1:11" x14ac:dyDescent="0.35">
      <c r="A66" s="62" t="s">
        <v>61</v>
      </c>
      <c r="B66" s="62"/>
      <c r="C66" s="62"/>
      <c r="D66" s="62"/>
      <c r="E66" s="38"/>
      <c r="F66" s="38"/>
      <c r="G66" s="38"/>
      <c r="H66" s="38"/>
      <c r="I66" s="38"/>
      <c r="J66" s="38"/>
      <c r="K66" s="38"/>
    </row>
    <row r="67" spans="1:11" x14ac:dyDescent="0.35">
      <c r="A67" s="62" t="s">
        <v>169</v>
      </c>
      <c r="B67" s="62"/>
      <c r="C67" s="62"/>
      <c r="D67" s="62"/>
      <c r="E67" s="38"/>
      <c r="F67" s="38"/>
      <c r="G67" s="38"/>
      <c r="H67" s="38"/>
      <c r="I67" s="38"/>
      <c r="J67" s="38"/>
      <c r="K67" s="38"/>
    </row>
    <row r="68" spans="1:11" x14ac:dyDescent="0.35">
      <c r="A68" s="38"/>
      <c r="B68" s="38"/>
      <c r="C68" s="38"/>
      <c r="D68" s="38"/>
      <c r="E68" s="38"/>
      <c r="F68" s="38"/>
      <c r="G68" s="38"/>
      <c r="H68" s="38"/>
      <c r="I68" s="38"/>
      <c r="J68" s="38"/>
      <c r="K68" s="38"/>
    </row>
    <row r="69" spans="1:11" ht="31.5" customHeight="1" x14ac:dyDescent="0.35">
      <c r="A69" s="356"/>
      <c r="B69" s="356"/>
      <c r="C69" s="356"/>
      <c r="D69" s="356"/>
      <c r="E69" s="356"/>
      <c r="F69" s="356"/>
      <c r="G69" s="356"/>
    </row>
  </sheetData>
  <mergeCells count="8">
    <mergeCell ref="A69:G69"/>
    <mergeCell ref="A63:J63"/>
    <mergeCell ref="E14:G14"/>
    <mergeCell ref="A61:J61"/>
    <mergeCell ref="A62:K62"/>
    <mergeCell ref="H14:J14"/>
    <mergeCell ref="K14:M14"/>
    <mergeCell ref="A64:J64"/>
  </mergeCells>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50158a9194694b93fc7e9284851ccf96">
  <xsd:schema xmlns:xsd="http://www.w3.org/2001/XMLSchema" xmlns:xs="http://www.w3.org/2001/XMLSchema" xmlns:p="http://schemas.microsoft.com/office/2006/metadata/properties" xmlns:ns1="http://schemas.microsoft.com/sharepoint/v3" xmlns:ns2="ac490600-4b8a-4089-8db0-d3461bbed9a9" xmlns:ns3="854f6eb9-76cf-4368-a46f-84f4be2bef9a" targetNamespace="http://schemas.microsoft.com/office/2006/metadata/properties" ma:root="true" ma:fieldsID="397afa3cd94612bbe8907ad9aa52df58" ns1:_="" ns2:_="" ns3:_="">
    <xsd:import namespace="http://schemas.microsoft.com/sharepoint/v3"/>
    <xsd:import namespace="ac490600-4b8a-4089-8db0-d3461bbed9a9"/>
    <xsd:import namespace="854f6eb9-76cf-4368-a46f-84f4be2bef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f6eb9-76cf-4368-a46f-84f4be2bef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854f6eb9-76cf-4368-a46f-84f4be2bef9a" xsi:nil="true"/>
    <lcf76f155ced4ddcb4097134ff3c332f xmlns="ac490600-4b8a-4089-8db0-d3461bbed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7D372D-96D5-41D9-9A5D-2A9B1C52EE88}"/>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BBE680F6-EEBC-41A4-AEB5-0B773B5EACA2}">
  <ds:schemaRefs>
    <ds:schemaRef ds:uri="9bb15880-a89a-4599-bc05-3c1ac81ecb24"/>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sharepoint/v3"/>
    <ds:schemaRef ds:uri="http://schemas.microsoft.com/office/infopath/2007/PartnerControls"/>
    <ds:schemaRef ds:uri="http://schemas.openxmlformats.org/package/2006/metadata/core-properties"/>
    <ds:schemaRef ds:uri="e671dda1-c4dd-4158-a073-4aef9b50df6e"/>
    <ds:schemaRef ds:uri="http://purl.org/dc/dcmitype/"/>
  </ds:schemaRefs>
</ds:datastoreItem>
</file>

<file path=docMetadata/LabelInfo.xml><?xml version="1.0" encoding="utf-8"?>
<clbl:labelList xmlns:clbl="http://schemas.microsoft.com/office/2020/mipLabelMetadata">
  <clbl:label id="{d275ac46-98b9-4d64-949f-e82ee8dc823c}" enabled="1" method="Standar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4</vt:lpstr>
      <vt:lpstr>PCR Cycle 3</vt:lpstr>
      <vt:lpstr>PCR Cycle 4</vt:lpstr>
      <vt:lpstr>PTD Cycle 3</vt:lpstr>
      <vt:lpstr>PTD Cycle 4</vt:lpstr>
      <vt:lpstr>TDR Cycle 2</vt:lpstr>
      <vt:lpstr>TDR Cycle 3</vt:lpstr>
      <vt:lpstr>TDR Cycle 4</vt:lpstr>
      <vt:lpstr>EO Cycle 2</vt:lpstr>
      <vt:lpstr>EO Cycle 3</vt:lpstr>
      <vt:lpstr>EO Cycle 4</vt:lpstr>
      <vt:lpstr>EOR Cycle 2</vt:lpstr>
      <vt:lpstr>EOR Cycle 3</vt:lpstr>
      <vt:lpstr>OA Cycle 3</vt:lpstr>
      <vt:lpstr>OAR Cycle 3</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2025-06-02T13:08:22Z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y fmtid="{D5CDD505-2E9C-101B-9397-08002B2CF9AE}" pid="12" name="Order">
    <vt:r8>8425600</vt:r8>
  </property>
  <property fmtid="{D5CDD505-2E9C-101B-9397-08002B2CF9AE}" pid="13" name="MediaServiceImageTags">
    <vt:lpwstr/>
  </property>
</Properties>
</file>