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 &amp; 4\Cycle 4\Cycle 4 semi-annual filing 2025-06\West workpapers\"/>
    </mc:Choice>
  </mc:AlternateContent>
  <xr:revisionPtr revIDLastSave="0" documentId="13_ncr:1_{FB3B8108-5486-46F0-9C1E-8C17F1371820}" xr6:coauthVersionLast="47" xr6:coauthVersionMax="47" xr10:uidLastSave="{00000000-0000-0000-0000-000000000000}"/>
  <bookViews>
    <workbookView xWindow="28680" yWindow="-120" windowWidth="29040" windowHeight="15720" tabRatio="910" activeTab="1" xr2:uid="{8690212B-B535-4FDF-9D1C-29C7613AE015}"/>
  </bookViews>
  <sheets>
    <sheet name="Index Table of Contents" sheetId="32" r:id="rId1"/>
    <sheet name="Tariff Tables" sheetId="5" r:id="rId2"/>
    <sheet name="DSIM Cycle Tables" sheetId="20" r:id="rId3"/>
    <sheet name="PPC Cycle 4" sheetId="38" r:id="rId4"/>
    <sheet name="PCR Cycle 3" sheetId="22" r:id="rId5"/>
    <sheet name="PCR Cycle 4" sheetId="35" r:id="rId6"/>
    <sheet name="PTD Cycle 3" sheetId="19" r:id="rId7"/>
    <sheet name="PTD Cycle 4" sheetId="37" r:id="rId8"/>
    <sheet name="TDR Cycle 2" sheetId="16" r:id="rId9"/>
    <sheet name="TDR Cycle 3" sheetId="24" r:id="rId10"/>
    <sheet name="TDR Cycle 4" sheetId="40" r:id="rId11"/>
    <sheet name="EO Cycle 2" sheetId="8" r:id="rId12"/>
    <sheet name="EO Cycle 3" sheetId="28" r:id="rId13"/>
    <sheet name="EO Cycle 4" sheetId="36" r:id="rId14"/>
    <sheet name="EOR Cycle 2" sheetId="23" r:id="rId15"/>
    <sheet name="EOR Cycle 3" sheetId="29" r:id="rId16"/>
    <sheet name="OA Cycle 3" sheetId="30" r:id="rId17"/>
    <sheet name="OAR Cycle 3" sheetId="3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xlnm._FilterDatabase" localSheetId="12" hidden="1">'EO Cycle 3'!$A$5:$O$144</definedName>
    <definedName name="_xlnm._FilterDatabase" localSheetId="0" hidden="1">'Index Table of Contents'!$A$4:$F$72</definedName>
    <definedName name="_xlnm.Print_Area" localSheetId="4">'PCR Cycle 3'!$A$1:$O$64</definedName>
    <definedName name="_xlnm.Print_Area" localSheetId="5">'PCR Cycle 4'!$A$1:$O$64</definedName>
    <definedName name="ServClassMapping">#REF!</definedName>
    <definedName name="solver_adj" localSheetId="4" hidden="1">'PCR Cycle 3'!$F$45</definedName>
    <definedName name="solver_adj" localSheetId="5" hidden="1">'PCR Cycle 4'!$F$45</definedName>
    <definedName name="solver_adj" localSheetId="8" hidden="1">'TDR Cycle 2'!#REF!</definedName>
    <definedName name="solver_adj" localSheetId="9" hidden="1">'TDR Cycle 3'!#REF!</definedName>
    <definedName name="solver_adj" localSheetId="10" hidden="1">'TDR Cycle 4'!#REF!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cvg" localSheetId="10"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drv" localSheetId="10"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ng" localSheetId="10"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est" localSheetId="10"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itr" localSheetId="10"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ip" localSheetId="10"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ni" localSheetId="10"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rt" localSheetId="10"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msl" localSheetId="10"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eg" localSheetId="10"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od" localSheetId="10"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um" localSheetId="10"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nwt" localSheetId="10" hidden="1">1</definedName>
    <definedName name="solver_opt" localSheetId="4" hidden="1">'PCR Cycle 3'!$F$52</definedName>
    <definedName name="solver_opt" localSheetId="5" hidden="1">'PCR Cycle 4'!$F$52</definedName>
    <definedName name="solver_opt" localSheetId="8" hidden="1">'TDR Cycle 2'!#REF!</definedName>
    <definedName name="solver_opt" localSheetId="9" hidden="1">'TDR Cycle 3'!#REF!</definedName>
    <definedName name="solver_opt" localSheetId="10" hidden="1">'TDR Cycle 4'!#REF!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pre" localSheetId="10"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bv" localSheetId="10"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lx" localSheetId="10"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rsd" localSheetId="10"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cl" localSheetId="10"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ho" localSheetId="10"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ssz" localSheetId="10"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im" localSheetId="10"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ol" localSheetId="10"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typ" localSheetId="10"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al" localSheetId="10"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8" l="1"/>
  <c r="B134" i="28"/>
  <c r="B133" i="28"/>
  <c r="B129" i="28"/>
  <c r="L30" i="40"/>
  <c r="K30" i="40"/>
  <c r="J30" i="40"/>
  <c r="I30" i="40"/>
  <c r="H30" i="40"/>
  <c r="G30" i="40"/>
  <c r="L29" i="40"/>
  <c r="K29" i="40"/>
  <c r="J29" i="40"/>
  <c r="I29" i="40"/>
  <c r="H29" i="40"/>
  <c r="G29" i="40"/>
  <c r="L28" i="40"/>
  <c r="K28" i="40"/>
  <c r="J28" i="40"/>
  <c r="I28" i="40"/>
  <c r="H28" i="40"/>
  <c r="G28" i="40"/>
  <c r="L27" i="40"/>
  <c r="K27" i="40"/>
  <c r="J27" i="40"/>
  <c r="I27" i="40"/>
  <c r="H27" i="40"/>
  <c r="G27" i="40"/>
  <c r="L24" i="40"/>
  <c r="K24" i="40"/>
  <c r="J24" i="40"/>
  <c r="I24" i="40"/>
  <c r="H24" i="40"/>
  <c r="G24" i="40"/>
  <c r="L23" i="40"/>
  <c r="K23" i="40"/>
  <c r="J23" i="40"/>
  <c r="I23" i="40"/>
  <c r="H23" i="40"/>
  <c r="G23" i="40"/>
  <c r="L22" i="40"/>
  <c r="K22" i="40"/>
  <c r="J22" i="40"/>
  <c r="I22" i="40"/>
  <c r="H22" i="40"/>
  <c r="G22" i="40"/>
  <c r="L21" i="40"/>
  <c r="K21" i="40"/>
  <c r="J21" i="40"/>
  <c r="I21" i="40"/>
  <c r="H21" i="40"/>
  <c r="G21" i="40"/>
  <c r="D9" i="37"/>
  <c r="B9" i="37"/>
  <c r="D8" i="37"/>
  <c r="B8" i="37"/>
  <c r="D7" i="37"/>
  <c r="B7" i="37"/>
  <c r="D6" i="37"/>
  <c r="B6" i="37"/>
  <c r="L17" i="35"/>
  <c r="K17" i="35"/>
  <c r="L16" i="35"/>
  <c r="K16" i="35"/>
  <c r="L15" i="35"/>
  <c r="K15" i="35"/>
  <c r="L14" i="35"/>
  <c r="K14" i="35"/>
  <c r="D8" i="38"/>
  <c r="D7" i="38"/>
  <c r="D6" i="38"/>
  <c r="D5" i="38"/>
  <c r="M20" i="35" l="1"/>
  <c r="L20" i="35"/>
  <c r="K20" i="35"/>
  <c r="G4" i="5"/>
  <c r="M22" i="35" l="1"/>
  <c r="K21" i="35"/>
  <c r="K22" i="35"/>
  <c r="L22" i="35"/>
  <c r="L23" i="35"/>
  <c r="K23" i="35"/>
  <c r="L21" i="35"/>
  <c r="M21" i="35" l="1"/>
  <c r="M23" i="35"/>
  <c r="G5" i="5" l="1"/>
  <c r="G7" i="5"/>
  <c r="G6" i="5"/>
  <c r="J17" i="35" l="1"/>
  <c r="J16" i="35"/>
  <c r="J15" i="35"/>
  <c r="J14" i="35"/>
  <c r="I17" i="35"/>
  <c r="I16" i="35"/>
  <c r="I15" i="35"/>
  <c r="I14" i="35"/>
  <c r="H17" i="35"/>
  <c r="H16" i="35"/>
  <c r="H15" i="35"/>
  <c r="H14" i="35"/>
  <c r="G17" i="35"/>
  <c r="G16" i="35"/>
  <c r="G15" i="35"/>
  <c r="G14" i="35"/>
  <c r="A1" i="38" l="1"/>
  <c r="K17" i="22"/>
  <c r="K16" i="22"/>
  <c r="K15" i="22"/>
  <c r="K14" i="22"/>
  <c r="J17" i="22"/>
  <c r="I17" i="22"/>
  <c r="H17" i="22"/>
  <c r="G17" i="22"/>
  <c r="F17" i="22"/>
  <c r="J16" i="22"/>
  <c r="I16" i="22"/>
  <c r="H16" i="22"/>
  <c r="G16" i="22"/>
  <c r="F16" i="22"/>
  <c r="J15" i="22"/>
  <c r="I15" i="22"/>
  <c r="H15" i="22"/>
  <c r="G15" i="22"/>
  <c r="F15" i="22"/>
  <c r="J14" i="22"/>
  <c r="I14" i="22"/>
  <c r="H14" i="22"/>
  <c r="G14" i="22"/>
  <c r="F14" i="22"/>
  <c r="I31" i="22"/>
  <c r="F31" i="22"/>
  <c r="J29" i="22" l="1"/>
  <c r="J28" i="22"/>
  <c r="J27" i="22"/>
  <c r="J26" i="22"/>
  <c r="I29" i="22"/>
  <c r="I28" i="22"/>
  <c r="I27" i="22"/>
  <c r="I26" i="22"/>
  <c r="H29" i="22"/>
  <c r="H28" i="22"/>
  <c r="H27" i="22"/>
  <c r="H26" i="22"/>
  <c r="G29" i="22"/>
  <c r="G28" i="22"/>
  <c r="G27" i="22"/>
  <c r="G26" i="22"/>
  <c r="F29" i="22"/>
  <c r="F28" i="22"/>
  <c r="F27" i="22"/>
  <c r="F26" i="22"/>
  <c r="E29" i="22"/>
  <c r="E28" i="22"/>
  <c r="E27" i="22"/>
  <c r="E26" i="22"/>
  <c r="E16" i="22" l="1"/>
  <c r="E15" i="22" l="1"/>
  <c r="E14" i="22" l="1"/>
  <c r="E17" i="22" l="1"/>
  <c r="E20" i="35" l="1"/>
  <c r="E21" i="35"/>
  <c r="E22" i="35"/>
  <c r="J29" i="35"/>
  <c r="J28" i="35"/>
  <c r="J27" i="35"/>
  <c r="J26" i="35"/>
  <c r="I29" i="35"/>
  <c r="I28" i="35"/>
  <c r="I27" i="35"/>
  <c r="I26" i="35"/>
  <c r="H29" i="35"/>
  <c r="H28" i="35"/>
  <c r="H27" i="35"/>
  <c r="H26" i="35"/>
  <c r="G29" i="35"/>
  <c r="G28" i="35"/>
  <c r="G27" i="35"/>
  <c r="G26" i="35"/>
  <c r="F29" i="35"/>
  <c r="F28" i="35"/>
  <c r="F27" i="35"/>
  <c r="F26" i="35"/>
  <c r="E29" i="35"/>
  <c r="E28" i="35"/>
  <c r="E27" i="35"/>
  <c r="E26" i="35"/>
  <c r="E20" i="22" l="1"/>
  <c r="E22" i="22"/>
  <c r="E21" i="22"/>
  <c r="B6" i="19" l="1"/>
  <c r="B9" i="19"/>
  <c r="B7" i="19"/>
  <c r="B8" i="19"/>
  <c r="D8" i="19" l="1"/>
  <c r="D9" i="19"/>
  <c r="D6" i="19" l="1"/>
  <c r="D7" i="19" l="1"/>
  <c r="J35" i="16" l="1"/>
  <c r="H35" i="16"/>
  <c r="F21" i="16"/>
  <c r="F20" i="16"/>
  <c r="F19" i="16"/>
  <c r="F18" i="16"/>
  <c r="G21" i="16"/>
  <c r="G20" i="16"/>
  <c r="G19" i="16"/>
  <c r="G18" i="16"/>
  <c r="H21" i="16"/>
  <c r="H20" i="16"/>
  <c r="H19" i="16"/>
  <c r="H18" i="16"/>
  <c r="I21" i="16"/>
  <c r="I20" i="16"/>
  <c r="I19" i="16"/>
  <c r="I18" i="16"/>
  <c r="J21" i="16"/>
  <c r="J20" i="16"/>
  <c r="J19" i="16"/>
  <c r="J18" i="16"/>
  <c r="E18" i="16" l="1"/>
  <c r="E21" i="16"/>
  <c r="E19" i="16"/>
  <c r="E20" i="16"/>
  <c r="J32" i="24" l="1"/>
  <c r="I32" i="24"/>
  <c r="H32" i="24"/>
  <c r="G32" i="24"/>
  <c r="E32" i="24"/>
  <c r="L30" i="24"/>
  <c r="K30" i="24"/>
  <c r="J30" i="24"/>
  <c r="I30" i="24"/>
  <c r="H30" i="24"/>
  <c r="G30" i="24"/>
  <c r="F30" i="24"/>
  <c r="E30" i="24"/>
  <c r="L29" i="24"/>
  <c r="K29" i="24"/>
  <c r="J29" i="24"/>
  <c r="I29" i="24"/>
  <c r="H29" i="24"/>
  <c r="G29" i="24"/>
  <c r="F29" i="24"/>
  <c r="E29" i="24"/>
  <c r="L28" i="24"/>
  <c r="K28" i="24"/>
  <c r="J28" i="24"/>
  <c r="I28" i="24"/>
  <c r="H28" i="24"/>
  <c r="G28" i="24"/>
  <c r="F28" i="24"/>
  <c r="E28" i="24"/>
  <c r="L27" i="24"/>
  <c r="K27" i="24"/>
  <c r="J27" i="24"/>
  <c r="I27" i="24"/>
  <c r="H27" i="24"/>
  <c r="G27" i="24"/>
  <c r="F27" i="24"/>
  <c r="E27" i="24"/>
  <c r="L24" i="24"/>
  <c r="K24" i="24"/>
  <c r="J24" i="24"/>
  <c r="I24" i="24"/>
  <c r="H24" i="24"/>
  <c r="G24" i="24"/>
  <c r="F24" i="24"/>
  <c r="E24" i="24"/>
  <c r="L23" i="24"/>
  <c r="K23" i="24"/>
  <c r="J23" i="24"/>
  <c r="I23" i="24"/>
  <c r="H23" i="24"/>
  <c r="G23" i="24"/>
  <c r="F23" i="24"/>
  <c r="E23" i="24"/>
  <c r="L22" i="24"/>
  <c r="K22" i="24"/>
  <c r="J22" i="24"/>
  <c r="I22" i="24"/>
  <c r="H22" i="24"/>
  <c r="G22" i="24"/>
  <c r="F22" i="24"/>
  <c r="E22" i="24"/>
  <c r="L21" i="24"/>
  <c r="K21" i="24"/>
  <c r="J21" i="24"/>
  <c r="I21" i="24"/>
  <c r="H21" i="24"/>
  <c r="G21" i="24"/>
  <c r="F21" i="24"/>
  <c r="E21" i="24"/>
  <c r="J18" i="24" l="1"/>
  <c r="J17" i="24"/>
  <c r="J16" i="24"/>
  <c r="J15" i="24"/>
  <c r="I18" i="24"/>
  <c r="I17" i="24"/>
  <c r="I16" i="24"/>
  <c r="I15" i="24"/>
  <c r="H18" i="24"/>
  <c r="H17" i="24"/>
  <c r="H16" i="24"/>
  <c r="H15" i="24"/>
  <c r="G18" i="24"/>
  <c r="G17" i="24"/>
  <c r="G16" i="24"/>
  <c r="G15" i="24"/>
  <c r="F18" i="24"/>
  <c r="F17" i="24"/>
  <c r="F16" i="24"/>
  <c r="F15" i="24"/>
  <c r="E18" i="24"/>
  <c r="E17" i="24"/>
  <c r="E16" i="24"/>
  <c r="E15" i="24"/>
  <c r="J18" i="40" l="1"/>
  <c r="J17" i="40"/>
  <c r="J16" i="40"/>
  <c r="J15" i="40"/>
  <c r="I18" i="40"/>
  <c r="I17" i="40"/>
  <c r="I16" i="40"/>
  <c r="I15" i="40"/>
  <c r="H18" i="40"/>
  <c r="H17" i="40"/>
  <c r="H16" i="40"/>
  <c r="H15" i="40"/>
  <c r="G18" i="40"/>
  <c r="G17" i="40"/>
  <c r="G16" i="40"/>
  <c r="G15" i="40"/>
  <c r="F18" i="40"/>
  <c r="F17" i="40"/>
  <c r="F16" i="40"/>
  <c r="F15" i="40"/>
  <c r="J26" i="29"/>
  <c r="I26" i="29"/>
  <c r="H26" i="29"/>
  <c r="G26" i="29"/>
  <c r="F26" i="29"/>
  <c r="E26" i="29"/>
  <c r="F18" i="29"/>
  <c r="F17" i="29"/>
  <c r="F16" i="29"/>
  <c r="F15" i="29"/>
  <c r="G18" i="29"/>
  <c r="G17" i="29"/>
  <c r="G16" i="29"/>
  <c r="G15" i="29"/>
  <c r="H18" i="29"/>
  <c r="H17" i="29"/>
  <c r="H16" i="29"/>
  <c r="H15" i="29"/>
  <c r="I18" i="29"/>
  <c r="I17" i="29"/>
  <c r="I16" i="29"/>
  <c r="I15" i="29"/>
  <c r="J18" i="29"/>
  <c r="J17" i="29"/>
  <c r="J16" i="29"/>
  <c r="J15" i="29"/>
  <c r="B114" i="28"/>
  <c r="B108" i="28" s="1"/>
  <c r="B109" i="28" s="1"/>
  <c r="D114" i="28" l="1"/>
  <c r="D108" i="28" s="1"/>
  <c r="D109" i="28" s="1"/>
  <c r="B124" i="28"/>
  <c r="B123" i="28"/>
  <c r="B122" i="28"/>
  <c r="B118" i="28"/>
  <c r="B80" i="28"/>
  <c r="B79" i="28"/>
  <c r="B78" i="28"/>
  <c r="B74" i="28"/>
  <c r="E69" i="28"/>
  <c r="D69" i="28"/>
  <c r="C69" i="28"/>
  <c r="B69" i="28"/>
  <c r="E68" i="28"/>
  <c r="D68" i="28"/>
  <c r="C68" i="28"/>
  <c r="B68" i="28"/>
  <c r="E67" i="28"/>
  <c r="D67" i="28"/>
  <c r="C67" i="28"/>
  <c r="B67" i="28"/>
  <c r="E63" i="28"/>
  <c r="D63" i="28"/>
  <c r="C63" i="28"/>
  <c r="B63" i="28"/>
  <c r="E58" i="28"/>
  <c r="D58" i="28"/>
  <c r="C58" i="28"/>
  <c r="E57" i="28"/>
  <c r="D57" i="28"/>
  <c r="C57" i="28"/>
  <c r="E56" i="28"/>
  <c r="D56" i="28"/>
  <c r="C56" i="28"/>
  <c r="E52" i="28"/>
  <c r="D52" i="28"/>
  <c r="C52" i="28"/>
  <c r="E47" i="28"/>
  <c r="D47" i="28"/>
  <c r="C47" i="28"/>
  <c r="E46" i="28"/>
  <c r="D46" i="28"/>
  <c r="C46" i="28"/>
  <c r="E45" i="28"/>
  <c r="D45" i="28"/>
  <c r="C45" i="28"/>
  <c r="E41" i="28"/>
  <c r="D41" i="28"/>
  <c r="C41" i="28"/>
  <c r="E36" i="28"/>
  <c r="D36" i="28"/>
  <c r="C36" i="28"/>
  <c r="E35" i="28"/>
  <c r="D35" i="28"/>
  <c r="C35" i="28"/>
  <c r="E34" i="28"/>
  <c r="D34" i="28"/>
  <c r="C34" i="28"/>
  <c r="E30" i="28"/>
  <c r="D30" i="28"/>
  <c r="C30" i="28"/>
  <c r="E25" i="28"/>
  <c r="D25" i="28"/>
  <c r="C25" i="28"/>
  <c r="B25" i="28"/>
  <c r="E24" i="28"/>
  <c r="D24" i="28"/>
  <c r="C24" i="28"/>
  <c r="B24" i="28"/>
  <c r="E23" i="28"/>
  <c r="D23" i="28"/>
  <c r="C23" i="28"/>
  <c r="B23" i="28"/>
  <c r="E19" i="28"/>
  <c r="D19" i="28"/>
  <c r="C19" i="28"/>
  <c r="B19" i="28"/>
  <c r="E136" i="28"/>
  <c r="D136" i="28"/>
  <c r="C136" i="28"/>
  <c r="E130" i="28"/>
  <c r="E131" i="28" s="1"/>
  <c r="D130" i="28"/>
  <c r="D131" i="28" s="1"/>
  <c r="C130" i="28"/>
  <c r="C131" i="28" s="1"/>
  <c r="F135" i="28" l="1"/>
  <c r="G135" i="28" s="1"/>
  <c r="F133" i="28"/>
  <c r="G133" i="28" s="1"/>
  <c r="B130" i="28"/>
  <c r="F130" i="28" s="1"/>
  <c r="G130" i="28" s="1"/>
  <c r="F129" i="28"/>
  <c r="G129" i="28" s="1"/>
  <c r="B136" i="28"/>
  <c r="F134" i="28"/>
  <c r="G134" i="28" s="1"/>
  <c r="B131" i="28" l="1"/>
  <c r="F136" i="28"/>
  <c r="G136" i="28"/>
  <c r="F131" i="28"/>
  <c r="G131" i="28"/>
  <c r="F26" i="36" l="1"/>
  <c r="E26" i="36"/>
  <c r="D26" i="36"/>
  <c r="C26" i="36"/>
  <c r="B26" i="36"/>
  <c r="F25" i="36"/>
  <c r="G25" i="36" s="1"/>
  <c r="F24" i="36"/>
  <c r="G24" i="36" s="1"/>
  <c r="F23" i="36"/>
  <c r="G23" i="36" s="1"/>
  <c r="E21" i="36"/>
  <c r="D21" i="36"/>
  <c r="C21" i="36"/>
  <c r="B21" i="36"/>
  <c r="F20" i="36"/>
  <c r="F19" i="36"/>
  <c r="G19" i="36" s="1"/>
  <c r="F21" i="36" l="1"/>
  <c r="G20" i="36"/>
  <c r="G21" i="36" s="1"/>
  <c r="G26" i="36"/>
  <c r="I29" i="23" l="1"/>
  <c r="H29" i="23"/>
  <c r="G29" i="23"/>
  <c r="F29" i="23"/>
  <c r="E29" i="23"/>
  <c r="D29" i="23"/>
  <c r="I21" i="23" l="1"/>
  <c r="I20" i="23"/>
  <c r="I19" i="23"/>
  <c r="I18" i="23"/>
  <c r="H21" i="23"/>
  <c r="H20" i="23"/>
  <c r="H19" i="23"/>
  <c r="H18" i="23"/>
  <c r="G21" i="23"/>
  <c r="G20" i="23"/>
  <c r="G19" i="23"/>
  <c r="G18" i="23"/>
  <c r="F21" i="23"/>
  <c r="F20" i="23"/>
  <c r="F19" i="23"/>
  <c r="F18" i="23"/>
  <c r="E21" i="23"/>
  <c r="E20" i="23"/>
  <c r="E19" i="23"/>
  <c r="E18" i="23"/>
  <c r="D14" i="23"/>
  <c r="L10" i="16"/>
  <c r="J10" i="23" s="1"/>
  <c r="L9" i="16"/>
  <c r="J9" i="23" s="1"/>
  <c r="L8" i="16"/>
  <c r="J8" i="23" s="1"/>
  <c r="J45" i="22"/>
  <c r="J45" i="35" s="1"/>
  <c r="I45" i="22"/>
  <c r="I45" i="35" s="1"/>
  <c r="H45" i="22"/>
  <c r="H45" i="35" s="1"/>
  <c r="G45" i="22"/>
  <c r="G45" i="35" s="1"/>
  <c r="F45" i="22"/>
  <c r="E45" i="22"/>
  <c r="L45" i="35" l="1"/>
  <c r="K45" i="35"/>
  <c r="F23" i="35"/>
  <c r="F22" i="35"/>
  <c r="F21" i="35"/>
  <c r="F20" i="35"/>
  <c r="G23" i="35"/>
  <c r="G22" i="35"/>
  <c r="G21" i="35"/>
  <c r="G20" i="35"/>
  <c r="H23" i="35"/>
  <c r="H22" i="35"/>
  <c r="H21" i="35"/>
  <c r="H20" i="35"/>
  <c r="I23" i="35"/>
  <c r="I22" i="35"/>
  <c r="I21" i="35"/>
  <c r="I20" i="35"/>
  <c r="J23" i="35"/>
  <c r="J22" i="35"/>
  <c r="J21" i="35"/>
  <c r="J20" i="35"/>
  <c r="I23" i="31"/>
  <c r="I22" i="31"/>
  <c r="I21" i="31"/>
  <c r="I20" i="31"/>
  <c r="H23" i="31"/>
  <c r="H22" i="31"/>
  <c r="H21" i="31"/>
  <c r="H20" i="31"/>
  <c r="G23" i="31"/>
  <c r="G22" i="31"/>
  <c r="G21" i="31"/>
  <c r="G20" i="31"/>
  <c r="F23" i="31"/>
  <c r="F22" i="31"/>
  <c r="F21" i="31"/>
  <c r="F20" i="31"/>
  <c r="E23" i="31"/>
  <c r="E22" i="31"/>
  <c r="E21" i="31"/>
  <c r="E20" i="31"/>
  <c r="J22" i="22" l="1"/>
  <c r="I20" i="22"/>
  <c r="F20" i="22"/>
  <c r="J23" i="22"/>
  <c r="I21" i="22"/>
  <c r="F21" i="22"/>
  <c r="J20" i="22"/>
  <c r="G20" i="22"/>
  <c r="G21" i="22"/>
  <c r="G23" i="22"/>
  <c r="I22" i="22"/>
  <c r="F22" i="22"/>
  <c r="H23" i="22"/>
  <c r="G22" i="22"/>
  <c r="I23" i="22"/>
  <c r="F23" i="22"/>
  <c r="J21" i="22"/>
  <c r="H20" i="22"/>
  <c r="H21" i="22"/>
  <c r="H22" i="22"/>
  <c r="E23" i="35"/>
  <c r="E23" i="22" l="1"/>
  <c r="D21" i="31"/>
  <c r="E16" i="29"/>
  <c r="E17" i="40"/>
  <c r="E18" i="40"/>
  <c r="D22" i="31"/>
  <c r="E17" i="29"/>
  <c r="E16" i="40"/>
  <c r="D23" i="31"/>
  <c r="E18" i="29"/>
  <c r="E15" i="29"/>
  <c r="E15" i="40" l="1"/>
  <c r="D20" i="23"/>
  <c r="D21" i="23"/>
  <c r="D19" i="23"/>
  <c r="D18" i="23" l="1"/>
  <c r="D20" i="31"/>
  <c r="D16" i="31" l="1"/>
  <c r="E16" i="31"/>
  <c r="E11" i="29"/>
  <c r="E11" i="40"/>
  <c r="E11" i="24"/>
  <c r="E14" i="16"/>
  <c r="E11" i="22"/>
  <c r="F11" i="35"/>
  <c r="F11" i="29" s="1"/>
  <c r="B55" i="40"/>
  <c r="C55" i="40" s="1"/>
  <c r="D55" i="40" s="1"/>
  <c r="J46" i="40"/>
  <c r="L46" i="40" s="1"/>
  <c r="I46" i="40"/>
  <c r="H46" i="40"/>
  <c r="G46" i="40"/>
  <c r="F46" i="40"/>
  <c r="E46" i="40"/>
  <c r="J38" i="40"/>
  <c r="C38" i="40"/>
  <c r="C44" i="40" s="1"/>
  <c r="J37" i="40"/>
  <c r="I37" i="40"/>
  <c r="D37" i="40"/>
  <c r="C37" i="40"/>
  <c r="C43" i="40" s="1"/>
  <c r="D36" i="40"/>
  <c r="C36" i="40"/>
  <c r="C42" i="40" s="1"/>
  <c r="J35" i="40"/>
  <c r="I35" i="40"/>
  <c r="D35" i="40"/>
  <c r="C35" i="40"/>
  <c r="C41" i="40" s="1"/>
  <c r="P30" i="40"/>
  <c r="I38" i="40"/>
  <c r="H38" i="40"/>
  <c r="E38" i="40"/>
  <c r="D38" i="40"/>
  <c r="P29" i="40"/>
  <c r="H37" i="40"/>
  <c r="G37" i="40"/>
  <c r="F37" i="40"/>
  <c r="I36" i="40"/>
  <c r="H36" i="40"/>
  <c r="H35" i="40"/>
  <c r="G35" i="40"/>
  <c r="F35" i="40"/>
  <c r="E35" i="40"/>
  <c r="P24" i="40"/>
  <c r="N24" i="40"/>
  <c r="F7" i="40" s="1"/>
  <c r="P23" i="40"/>
  <c r="P22" i="40"/>
  <c r="P21" i="40"/>
  <c r="N21" i="40"/>
  <c r="F4" i="40" s="1"/>
  <c r="F36" i="40"/>
  <c r="E36" i="40"/>
  <c r="I12" i="40"/>
  <c r="F12" i="40"/>
  <c r="E12" i="40"/>
  <c r="I7" i="40"/>
  <c r="I6" i="40"/>
  <c r="G6" i="40"/>
  <c r="I5" i="40"/>
  <c r="I4" i="40"/>
  <c r="A1" i="40"/>
  <c r="F16" i="31" l="1"/>
  <c r="G11" i="35"/>
  <c r="E14" i="23"/>
  <c r="F11" i="22"/>
  <c r="F14" i="16"/>
  <c r="F11" i="40"/>
  <c r="F11" i="24"/>
  <c r="D44" i="40"/>
  <c r="E44" i="40" s="1"/>
  <c r="D42" i="40"/>
  <c r="E49" i="40" s="1"/>
  <c r="D41" i="40"/>
  <c r="E48" i="40" s="1"/>
  <c r="I8" i="40"/>
  <c r="E51" i="40"/>
  <c r="J36" i="40"/>
  <c r="J12" i="40"/>
  <c r="P28" i="40"/>
  <c r="K46" i="40"/>
  <c r="G12" i="40"/>
  <c r="H12" i="40"/>
  <c r="G4" i="40"/>
  <c r="G36" i="40"/>
  <c r="G5" i="40"/>
  <c r="D43" i="40"/>
  <c r="N23" i="40"/>
  <c r="F6" i="40" s="1"/>
  <c r="G7" i="40"/>
  <c r="P27" i="40"/>
  <c r="K12" i="40"/>
  <c r="F38" i="40"/>
  <c r="N22" i="40"/>
  <c r="F5" i="40" s="1"/>
  <c r="L12" i="40"/>
  <c r="E37" i="40"/>
  <c r="G38" i="40"/>
  <c r="H11" i="35" l="1"/>
  <c r="F14" i="23"/>
  <c r="G11" i="40"/>
  <c r="G11" i="24"/>
  <c r="G11" i="22"/>
  <c r="G11" i="29"/>
  <c r="G14" i="16"/>
  <c r="G16" i="31"/>
  <c r="E42" i="40"/>
  <c r="F49" i="40" s="1"/>
  <c r="E41" i="40"/>
  <c r="F48" i="40" s="1"/>
  <c r="F8" i="40"/>
  <c r="F51" i="40"/>
  <c r="F44" i="40"/>
  <c r="E43" i="40"/>
  <c r="E50" i="40"/>
  <c r="E55" i="40" s="1"/>
  <c r="G8" i="40"/>
  <c r="P12" i="40"/>
  <c r="I11" i="35" l="1"/>
  <c r="G14" i="23"/>
  <c r="H11" i="29"/>
  <c r="H11" i="22"/>
  <c r="H14" i="16"/>
  <c r="H16" i="31"/>
  <c r="H11" i="24"/>
  <c r="H11" i="40"/>
  <c r="F42" i="40"/>
  <c r="G49" i="40" s="1"/>
  <c r="F41" i="40"/>
  <c r="G48" i="40" s="1"/>
  <c r="E52" i="40"/>
  <c r="F43" i="40"/>
  <c r="F50" i="40"/>
  <c r="F53" i="40" s="1"/>
  <c r="G51" i="40"/>
  <c r="G44" i="40"/>
  <c r="E53" i="40"/>
  <c r="J11" i="35" l="1"/>
  <c r="H14" i="23"/>
  <c r="I11" i="29"/>
  <c r="I11" i="22"/>
  <c r="I11" i="40"/>
  <c r="I16" i="31"/>
  <c r="I14" i="16"/>
  <c r="I11" i="24"/>
  <c r="G41" i="40"/>
  <c r="H41" i="40" s="1"/>
  <c r="G42" i="40"/>
  <c r="H42" i="40" s="1"/>
  <c r="F55" i="40"/>
  <c r="F52" i="40" s="1"/>
  <c r="G43" i="40"/>
  <c r="G50" i="40"/>
  <c r="H51" i="40"/>
  <c r="H44" i="40"/>
  <c r="H49" i="40" l="1"/>
  <c r="I42" i="40" s="1"/>
  <c r="K11" i="35"/>
  <c r="I14" i="23"/>
  <c r="J11" i="29"/>
  <c r="J11" i="22"/>
  <c r="J14" i="16"/>
  <c r="J16" i="31"/>
  <c r="J11" i="40"/>
  <c r="J11" i="24"/>
  <c r="H48" i="40"/>
  <c r="I41" i="40" s="1"/>
  <c r="H43" i="40"/>
  <c r="H50" i="40"/>
  <c r="I51" i="40"/>
  <c r="I44" i="40"/>
  <c r="G53" i="40"/>
  <c r="G55" i="40"/>
  <c r="I49" i="40" l="1"/>
  <c r="J49" i="40" s="1"/>
  <c r="I48" i="40"/>
  <c r="J41" i="40" s="1"/>
  <c r="H53" i="40"/>
  <c r="L11" i="35"/>
  <c r="J14" i="23"/>
  <c r="K11" i="24"/>
  <c r="K16" i="31"/>
  <c r="K14" i="16"/>
  <c r="K11" i="40"/>
  <c r="K11" i="29"/>
  <c r="K11" i="22"/>
  <c r="I43" i="40"/>
  <c r="I50" i="40"/>
  <c r="G52" i="40"/>
  <c r="H55" i="40"/>
  <c r="J44" i="40"/>
  <c r="J51" i="40"/>
  <c r="J42" i="40" l="1"/>
  <c r="J48" i="40"/>
  <c r="I53" i="40"/>
  <c r="M11" i="35"/>
  <c r="K14" i="23"/>
  <c r="L11" i="40"/>
  <c r="L16" i="31"/>
  <c r="L14" i="16"/>
  <c r="L11" i="24"/>
  <c r="L11" i="22"/>
  <c r="L11" i="29"/>
  <c r="H52" i="40"/>
  <c r="I55" i="40"/>
  <c r="J43" i="40"/>
  <c r="J50" i="40"/>
  <c r="J53" i="40" s="1"/>
  <c r="L14" i="23" l="1"/>
  <c r="M14" i="16"/>
  <c r="M11" i="24"/>
  <c r="M11" i="29"/>
  <c r="M11" i="40"/>
  <c r="M11" i="22"/>
  <c r="I52" i="40"/>
  <c r="J55" i="40"/>
  <c r="J52" i="40" l="1"/>
  <c r="A2" i="30" l="1"/>
  <c r="A2" i="28"/>
  <c r="A2" i="8"/>
  <c r="A2" i="38"/>
  <c r="A1" i="31"/>
  <c r="A1" i="30"/>
  <c r="A1" i="29"/>
  <c r="A1" i="23"/>
  <c r="A1" i="36"/>
  <c r="A1" i="28"/>
  <c r="A1" i="8"/>
  <c r="A1" i="24"/>
  <c r="A1" i="16"/>
  <c r="A1" i="37"/>
  <c r="A1" i="35"/>
  <c r="A1" i="22"/>
  <c r="A1" i="5"/>
  <c r="A1" i="32"/>
  <c r="A2" i="36" l="1"/>
  <c r="D5" i="37"/>
  <c r="A2" i="37"/>
  <c r="C8" i="38" l="1"/>
  <c r="C15" i="5" s="1"/>
  <c r="C7" i="38"/>
  <c r="C14" i="5" s="1"/>
  <c r="C6" i="38"/>
  <c r="C13" i="5" s="1"/>
  <c r="D9" i="38" l="1"/>
  <c r="C5" i="38"/>
  <c r="C12" i="5" s="1"/>
  <c r="C9" i="38" l="1"/>
  <c r="C12" i="36" l="1"/>
  <c r="D12" i="36"/>
  <c r="E12" i="36"/>
  <c r="C13" i="36"/>
  <c r="D13" i="36"/>
  <c r="E13" i="36"/>
  <c r="C14" i="36"/>
  <c r="D14" i="36"/>
  <c r="E14" i="36"/>
  <c r="B13" i="36"/>
  <c r="B14" i="36"/>
  <c r="C8" i="36"/>
  <c r="D8" i="36"/>
  <c r="E8" i="36"/>
  <c r="E48" i="36"/>
  <c r="D48" i="36"/>
  <c r="C48" i="36"/>
  <c r="B48" i="36"/>
  <c r="F47" i="36"/>
  <c r="G47" i="36" s="1"/>
  <c r="F46" i="36"/>
  <c r="G46" i="36" s="1"/>
  <c r="F45" i="36"/>
  <c r="G45" i="36" s="1"/>
  <c r="E43" i="36"/>
  <c r="D43" i="36"/>
  <c r="C43" i="36"/>
  <c r="B43" i="36"/>
  <c r="F42" i="36"/>
  <c r="F41" i="36"/>
  <c r="E37" i="36"/>
  <c r="D37" i="36"/>
  <c r="C37" i="36"/>
  <c r="B37" i="36"/>
  <c r="F36" i="36"/>
  <c r="G36" i="36" s="1"/>
  <c r="F35" i="36"/>
  <c r="G35" i="36" s="1"/>
  <c r="F34" i="36"/>
  <c r="G34" i="36" s="1"/>
  <c r="E32" i="36"/>
  <c r="D32" i="36"/>
  <c r="C32" i="36"/>
  <c r="B32" i="36"/>
  <c r="F31" i="36"/>
  <c r="F30" i="36"/>
  <c r="F32" i="36" l="1"/>
  <c r="F43" i="36"/>
  <c r="G31" i="36"/>
  <c r="G37" i="36"/>
  <c r="G48" i="36"/>
  <c r="G42" i="36"/>
  <c r="F37" i="36"/>
  <c r="F48" i="36"/>
  <c r="G30" i="36"/>
  <c r="G41" i="36"/>
  <c r="B8" i="36"/>
  <c r="B12" i="36"/>
  <c r="G43" i="36" l="1"/>
  <c r="G32" i="36"/>
  <c r="B15" i="36"/>
  <c r="B9" i="36" s="1"/>
  <c r="B10" i="36" l="1"/>
  <c r="B103" i="28" l="1"/>
  <c r="B97" i="28" s="1"/>
  <c r="B98" i="28" s="1"/>
  <c r="D15" i="36" l="1"/>
  <c r="D9" i="36" s="1"/>
  <c r="D10" i="36" s="1"/>
  <c r="C15" i="36" l="1"/>
  <c r="C9" i="36" s="1"/>
  <c r="C10" i="36" l="1"/>
  <c r="D29" i="29" l="1"/>
  <c r="D32" i="29" l="1"/>
  <c r="D31" i="29"/>
  <c r="D30" i="29" l="1"/>
  <c r="F13" i="36" l="1"/>
  <c r="F8" i="36"/>
  <c r="G8" i="36" l="1"/>
  <c r="F14" i="36" l="1"/>
  <c r="E15" i="36" l="1"/>
  <c r="E9" i="36" s="1"/>
  <c r="F12" i="36"/>
  <c r="F15" i="36" s="1"/>
  <c r="G12" i="36" l="1"/>
  <c r="F9" i="36"/>
  <c r="F10" i="36" s="1"/>
  <c r="E10" i="36"/>
  <c r="G14" i="36" l="1"/>
  <c r="G13" i="36"/>
  <c r="G15" i="36" l="1"/>
  <c r="G9" i="36" s="1"/>
  <c r="G10" i="36" s="1"/>
  <c r="F43" i="23"/>
  <c r="G40" i="29"/>
  <c r="F45" i="31"/>
  <c r="H40" i="29"/>
  <c r="G45" i="31"/>
  <c r="G43" i="23"/>
  <c r="I40" i="29"/>
  <c r="H45" i="31"/>
  <c r="H43" i="23"/>
  <c r="D43" i="23"/>
  <c r="E40" i="29"/>
  <c r="D45" i="31"/>
  <c r="E43" i="23"/>
  <c r="E45" i="31"/>
  <c r="F40" i="29"/>
  <c r="J40" i="29"/>
  <c r="I43" i="23"/>
  <c r="I45" i="31"/>
  <c r="J45" i="31" l="1"/>
  <c r="K45" i="31"/>
  <c r="K43" i="23"/>
  <c r="J43" i="23"/>
  <c r="K40" i="29"/>
  <c r="L40" i="29"/>
  <c r="B119" i="28" l="1"/>
  <c r="F118" i="28"/>
  <c r="G118" i="28" s="1"/>
  <c r="E119" i="28"/>
  <c r="D125" i="28"/>
  <c r="C125" i="28"/>
  <c r="D119" i="28"/>
  <c r="D120" i="28" s="1"/>
  <c r="B125" i="28" l="1"/>
  <c r="F124" i="28"/>
  <c r="G124" i="28" s="1"/>
  <c r="F123" i="28"/>
  <c r="G123" i="28" s="1"/>
  <c r="E120" i="28"/>
  <c r="F122" i="28"/>
  <c r="G122" i="28" s="1"/>
  <c r="C119" i="28"/>
  <c r="C120" i="28" s="1"/>
  <c r="B86" i="28"/>
  <c r="B87" i="28" s="1"/>
  <c r="B92" i="28"/>
  <c r="B120" i="28"/>
  <c r="E125" i="28"/>
  <c r="F125" i="28" l="1"/>
  <c r="G125" i="28"/>
  <c r="F119" i="28"/>
  <c r="G119" i="28" s="1"/>
  <c r="G120" i="28" l="1"/>
  <c r="F120" i="28"/>
  <c r="E24" i="20" l="1"/>
  <c r="E23" i="20"/>
  <c r="E22" i="20"/>
  <c r="E21" i="20"/>
  <c r="B54" i="35"/>
  <c r="C54" i="35" s="1"/>
  <c r="M52" i="35"/>
  <c r="H37" i="35"/>
  <c r="G37" i="35"/>
  <c r="D37" i="35"/>
  <c r="C37" i="35"/>
  <c r="C43" i="35" s="1"/>
  <c r="F36" i="35"/>
  <c r="E36" i="35"/>
  <c r="D36" i="35"/>
  <c r="C36" i="35"/>
  <c r="C42" i="35" s="1"/>
  <c r="J35" i="35"/>
  <c r="D35" i="35"/>
  <c r="C35" i="35"/>
  <c r="C41" i="35" s="1"/>
  <c r="I34" i="35"/>
  <c r="E34" i="35"/>
  <c r="D34" i="35"/>
  <c r="C34" i="35"/>
  <c r="C40" i="35" s="1"/>
  <c r="F37" i="35"/>
  <c r="P17" i="35"/>
  <c r="J37" i="35"/>
  <c r="I37" i="35"/>
  <c r="G7" i="35"/>
  <c r="J36" i="35"/>
  <c r="I36" i="35"/>
  <c r="H36" i="35"/>
  <c r="G36" i="35"/>
  <c r="G6" i="35"/>
  <c r="G5" i="35"/>
  <c r="I35" i="35"/>
  <c r="H35" i="35"/>
  <c r="G35" i="35"/>
  <c r="F35" i="35"/>
  <c r="E35" i="35"/>
  <c r="P14" i="35"/>
  <c r="J34" i="35"/>
  <c r="H34" i="35"/>
  <c r="G34" i="35"/>
  <c r="F34" i="35"/>
  <c r="I7" i="35"/>
  <c r="I6" i="35"/>
  <c r="I5" i="35"/>
  <c r="I4" i="35"/>
  <c r="E49" i="35" l="1"/>
  <c r="I8" i="35"/>
  <c r="E48" i="35"/>
  <c r="D41" i="35"/>
  <c r="E41" i="35" s="1"/>
  <c r="E47" i="35"/>
  <c r="D40" i="35"/>
  <c r="E40" i="35" s="1"/>
  <c r="D43" i="35"/>
  <c r="P16" i="35"/>
  <c r="D42" i="35"/>
  <c r="E42" i="35" s="1"/>
  <c r="P15" i="35"/>
  <c r="E37" i="35"/>
  <c r="G4" i="35"/>
  <c r="E50" i="35" l="1"/>
  <c r="E54" i="35" s="1"/>
  <c r="E43" i="35"/>
  <c r="F42" i="35"/>
  <c r="F49" i="35"/>
  <c r="G8" i="35"/>
  <c r="F48" i="35"/>
  <c r="F41" i="35"/>
  <c r="F47" i="35"/>
  <c r="F40" i="35"/>
  <c r="F50" i="35"/>
  <c r="F43" i="35"/>
  <c r="E52" i="35"/>
  <c r="F52" i="35" l="1"/>
  <c r="G48" i="35"/>
  <c r="G41" i="35"/>
  <c r="G42" i="35"/>
  <c r="G49" i="35"/>
  <c r="G43" i="35"/>
  <c r="G50" i="35"/>
  <c r="E51" i="35"/>
  <c r="F54" i="35"/>
  <c r="G47" i="35"/>
  <c r="G40" i="35"/>
  <c r="H43" i="35" l="1"/>
  <c r="H50" i="35"/>
  <c r="H42" i="35"/>
  <c r="H49" i="35"/>
  <c r="G52" i="35"/>
  <c r="H47" i="35"/>
  <c r="H40" i="35"/>
  <c r="H48" i="35"/>
  <c r="H41" i="35"/>
  <c r="F51" i="35"/>
  <c r="G54" i="35"/>
  <c r="I43" i="35" l="1"/>
  <c r="I50" i="35"/>
  <c r="H52" i="35"/>
  <c r="I48" i="35"/>
  <c r="I41" i="35"/>
  <c r="I47" i="35"/>
  <c r="I40" i="35"/>
  <c r="I42" i="35"/>
  <c r="I49" i="35"/>
  <c r="G51" i="35"/>
  <c r="H54" i="35"/>
  <c r="J42" i="35" l="1"/>
  <c r="J49" i="35"/>
  <c r="J48" i="35"/>
  <c r="J41" i="35"/>
  <c r="H51" i="35"/>
  <c r="I54" i="35"/>
  <c r="J40" i="35"/>
  <c r="J47" i="35"/>
  <c r="I52" i="35"/>
  <c r="J43" i="35"/>
  <c r="J50" i="35"/>
  <c r="J52" i="35" l="1"/>
  <c r="I51" i="35"/>
  <c r="J54" i="35"/>
  <c r="J51" i="35" l="1"/>
  <c r="B14" i="28" l="1"/>
  <c r="B13" i="28"/>
  <c r="B12" i="28"/>
  <c r="B8" i="28"/>
  <c r="B15" i="28" l="1"/>
  <c r="B9" i="28" s="1"/>
  <c r="B75" i="28" l="1"/>
  <c r="B59" i="28" l="1"/>
  <c r="F58" i="28"/>
  <c r="C53" i="28"/>
  <c r="F56" i="28"/>
  <c r="D59" i="28"/>
  <c r="C59" i="28"/>
  <c r="D53" i="28"/>
  <c r="B53" i="28"/>
  <c r="B54" i="28" s="1"/>
  <c r="G56" i="28" l="1"/>
  <c r="G58" i="28"/>
  <c r="D54" i="28"/>
  <c r="C54" i="28"/>
  <c r="E53" i="28"/>
  <c r="F57" i="28"/>
  <c r="F52" i="28"/>
  <c r="E59" i="28"/>
  <c r="G57" i="28" l="1"/>
  <c r="G59" i="28" s="1"/>
  <c r="G52" i="28"/>
  <c r="E54" i="28"/>
  <c r="F53" i="28"/>
  <c r="F59" i="28"/>
  <c r="G53" i="28" l="1"/>
  <c r="G54" i="28" s="1"/>
  <c r="F54" i="28"/>
  <c r="P33" i="16" l="1"/>
  <c r="P32" i="16"/>
  <c r="P31" i="16"/>
  <c r="P30" i="16"/>
  <c r="P27" i="16"/>
  <c r="P26" i="16"/>
  <c r="P25" i="16"/>
  <c r="P24" i="16"/>
  <c r="O29" i="31"/>
  <c r="O28" i="31"/>
  <c r="O27" i="31"/>
  <c r="O26" i="31"/>
  <c r="P17" i="22"/>
  <c r="P16" i="22"/>
  <c r="P15" i="22"/>
  <c r="P14" i="22"/>
  <c r="C34" i="31" l="1"/>
  <c r="C40" i="31" s="1"/>
  <c r="E46" i="24"/>
  <c r="F29" i="8"/>
  <c r="F45" i="16"/>
  <c r="J46" i="24"/>
  <c r="I46" i="24"/>
  <c r="H46" i="24"/>
  <c r="F46" i="24"/>
  <c r="K45" i="22"/>
  <c r="J45" i="16"/>
  <c r="I45" i="16"/>
  <c r="H45" i="16"/>
  <c r="L45" i="22"/>
  <c r="G46" i="24"/>
  <c r="D14" i="16"/>
  <c r="N24" i="16"/>
  <c r="L46" i="24" l="1"/>
  <c r="K46" i="24"/>
  <c r="L45" i="16"/>
  <c r="K45" i="16"/>
  <c r="G45" i="16"/>
  <c r="L11" i="16"/>
  <c r="E45" i="16"/>
  <c r="B54" i="22" l="1"/>
  <c r="C54" i="22"/>
  <c r="C34" i="22"/>
  <c r="C40" i="22" s="1"/>
  <c r="C35" i="22"/>
  <c r="C41" i="22" s="1"/>
  <c r="C36" i="22"/>
  <c r="C42" i="22" s="1"/>
  <c r="C37" i="22"/>
  <c r="C43" i="22" s="1"/>
  <c r="E34" i="22" l="1"/>
  <c r="E47" i="22" l="1"/>
  <c r="B64" i="28"/>
  <c r="D64" i="28" l="1"/>
  <c r="C64" i="28" l="1"/>
  <c r="E64" i="28" l="1"/>
  <c r="B13" i="8"/>
  <c r="B12" i="8"/>
  <c r="B11" i="8"/>
  <c r="B7" i="8"/>
  <c r="B81" i="8" l="1"/>
  <c r="B8" i="8" s="1"/>
  <c r="C7" i="8" l="1"/>
  <c r="C12" i="8"/>
  <c r="C13" i="8"/>
  <c r="D7" i="8" l="1"/>
  <c r="D13" i="8" l="1"/>
  <c r="D12" i="8"/>
  <c r="C81" i="8" l="1"/>
  <c r="C8" i="8" s="1"/>
  <c r="C11" i="8"/>
  <c r="D81" i="8"/>
  <c r="D8" i="8" s="1"/>
  <c r="D11" i="8"/>
  <c r="E11" i="8" l="1"/>
  <c r="E13" i="8" l="1"/>
  <c r="E12" i="8" l="1"/>
  <c r="E7" i="8" l="1"/>
  <c r="E81" i="8" l="1"/>
  <c r="E8" i="8" s="1"/>
  <c r="E87" i="8"/>
  <c r="D87" i="8"/>
  <c r="C87" i="8"/>
  <c r="B87" i="8"/>
  <c r="F86" i="8"/>
  <c r="F85" i="8"/>
  <c r="F84" i="8"/>
  <c r="D82" i="8"/>
  <c r="C82" i="8"/>
  <c r="B82" i="8"/>
  <c r="F80" i="8"/>
  <c r="J26" i="23" l="1"/>
  <c r="G26" i="23"/>
  <c r="G85" i="8"/>
  <c r="K26" i="23"/>
  <c r="I26" i="23"/>
  <c r="H26" i="23"/>
  <c r="J27" i="23"/>
  <c r="O27" i="23" s="1"/>
  <c r="K27" i="23"/>
  <c r="I27" i="23"/>
  <c r="H27" i="23"/>
  <c r="G27" i="23"/>
  <c r="G86" i="8"/>
  <c r="J24" i="23"/>
  <c r="H24" i="23"/>
  <c r="I24" i="23"/>
  <c r="G24" i="23"/>
  <c r="K24" i="23"/>
  <c r="G80" i="8"/>
  <c r="G25" i="23"/>
  <c r="H25" i="23"/>
  <c r="K25" i="23"/>
  <c r="J25" i="23"/>
  <c r="O25" i="23" s="1"/>
  <c r="I25" i="23"/>
  <c r="G84" i="8"/>
  <c r="E82" i="8"/>
  <c r="F81" i="8"/>
  <c r="F82" i="8" s="1"/>
  <c r="F87" i="8"/>
  <c r="O24" i="23" l="1"/>
  <c r="O26" i="23"/>
  <c r="G87" i="8"/>
  <c r="G81" i="8"/>
  <c r="G82" i="8" l="1"/>
  <c r="F15" i="5" l="1"/>
  <c r="F14" i="5"/>
  <c r="F13" i="5"/>
  <c r="F12" i="5"/>
  <c r="G15" i="16" l="1"/>
  <c r="D42" i="28" l="1"/>
  <c r="D43" i="28" s="1"/>
  <c r="C42" i="28" l="1"/>
  <c r="C43" i="28" s="1"/>
  <c r="E42" i="28" l="1"/>
  <c r="E43" i="28" l="1"/>
  <c r="B81" i="28"/>
  <c r="B76" i="28"/>
  <c r="E70" i="28"/>
  <c r="D70" i="28"/>
  <c r="C70" i="28"/>
  <c r="B70" i="28"/>
  <c r="F69" i="28"/>
  <c r="G69" i="28" s="1"/>
  <c r="F68" i="28"/>
  <c r="G68" i="28" s="1"/>
  <c r="F67" i="28"/>
  <c r="G67" i="28" s="1"/>
  <c r="E65" i="28"/>
  <c r="D65" i="28"/>
  <c r="C65" i="28"/>
  <c r="B65" i="28"/>
  <c r="F64" i="28"/>
  <c r="F63" i="28"/>
  <c r="G63" i="28" s="1"/>
  <c r="G64" i="28" l="1"/>
  <c r="F65" i="28"/>
  <c r="F70" i="28"/>
  <c r="G65" i="28" l="1"/>
  <c r="G70" i="28"/>
  <c r="E6" i="31"/>
  <c r="E5" i="31"/>
  <c r="I36" i="31"/>
  <c r="H36" i="31"/>
  <c r="G36" i="31"/>
  <c r="F36" i="31"/>
  <c r="E36" i="31"/>
  <c r="D36" i="31"/>
  <c r="C36" i="31"/>
  <c r="I35" i="31"/>
  <c r="H35" i="31"/>
  <c r="G35" i="31"/>
  <c r="F35" i="31"/>
  <c r="E35" i="31"/>
  <c r="D35" i="31"/>
  <c r="C35" i="31"/>
  <c r="D77" i="8" l="1"/>
  <c r="C77" i="8"/>
  <c r="B77" i="8"/>
  <c r="F76" i="8"/>
  <c r="F75" i="8"/>
  <c r="F74" i="8"/>
  <c r="D72" i="8"/>
  <c r="C72" i="8"/>
  <c r="B72" i="8"/>
  <c r="F70" i="8"/>
  <c r="D27" i="23" l="1"/>
  <c r="F27" i="23"/>
  <c r="E27" i="23"/>
  <c r="G76" i="8"/>
  <c r="E24" i="23"/>
  <c r="F24" i="23"/>
  <c r="G70" i="8"/>
  <c r="D24" i="23"/>
  <c r="E25" i="23"/>
  <c r="G74" i="8"/>
  <c r="F25" i="23"/>
  <c r="D25" i="23"/>
  <c r="G75" i="8"/>
  <c r="D26" i="23"/>
  <c r="F26" i="23"/>
  <c r="E26" i="23"/>
  <c r="E77" i="8"/>
  <c r="F77" i="8"/>
  <c r="E72" i="8"/>
  <c r="F71" i="8" l="1"/>
  <c r="F72" i="8" s="1"/>
  <c r="G71" i="8"/>
  <c r="G72" i="8" s="1"/>
  <c r="G77" i="8"/>
  <c r="C11" i="30" l="1"/>
  <c r="I37" i="31"/>
  <c r="H37" i="31"/>
  <c r="G37" i="31"/>
  <c r="F37" i="31"/>
  <c r="E37" i="31"/>
  <c r="D37" i="31"/>
  <c r="C37" i="31"/>
  <c r="I34" i="31"/>
  <c r="H34" i="31"/>
  <c r="G34" i="31"/>
  <c r="F34" i="31"/>
  <c r="E34" i="31"/>
  <c r="D34" i="31"/>
  <c r="K17" i="31"/>
  <c r="J17" i="31"/>
  <c r="O17" i="31" s="1"/>
  <c r="I17" i="31"/>
  <c r="H17" i="31"/>
  <c r="G17" i="31"/>
  <c r="F17" i="31"/>
  <c r="E17" i="31"/>
  <c r="D17" i="31"/>
  <c r="E7" i="31"/>
  <c r="E4" i="31"/>
  <c r="E10" i="30"/>
  <c r="D11" i="30"/>
  <c r="B7" i="30" s="1"/>
  <c r="B11" i="30"/>
  <c r="B5" i="30" s="1"/>
  <c r="B6" i="30" l="1"/>
  <c r="C12" i="30"/>
  <c r="B12" i="30"/>
  <c r="D12" i="30"/>
  <c r="E8" i="31"/>
  <c r="E9" i="30"/>
  <c r="E11" i="30" l="1"/>
  <c r="E12" i="30" s="1"/>
  <c r="G4" i="31" l="1"/>
  <c r="D40" i="31"/>
  <c r="D31" i="28" l="1"/>
  <c r="C31" i="28" l="1"/>
  <c r="E31" i="28" l="1"/>
  <c r="D67" i="8" l="1"/>
  <c r="C67" i="8"/>
  <c r="B67" i="8"/>
  <c r="F66" i="8"/>
  <c r="G66" i="8" s="1"/>
  <c r="F65" i="8"/>
  <c r="G65" i="8" s="1"/>
  <c r="D62" i="8"/>
  <c r="C62" i="8"/>
  <c r="B62" i="8"/>
  <c r="F60" i="8"/>
  <c r="G60" i="8" s="1"/>
  <c r="E67" i="8" l="1"/>
  <c r="E62" i="8"/>
  <c r="F64" i="8"/>
  <c r="G64" i="8" s="1"/>
  <c r="F61" i="8" l="1"/>
  <c r="F62" i="8" s="1"/>
  <c r="F67" i="8"/>
  <c r="G61" i="8" l="1"/>
  <c r="G62" i="8" s="1"/>
  <c r="G67" i="8"/>
  <c r="D47" i="31" l="1"/>
  <c r="H7" i="29" l="1"/>
  <c r="H6" i="29"/>
  <c r="H5" i="29"/>
  <c r="B49" i="29"/>
  <c r="C49" i="29" s="1"/>
  <c r="C32" i="29"/>
  <c r="C38" i="29" s="1"/>
  <c r="C31" i="29"/>
  <c r="C37" i="29" s="1"/>
  <c r="C30" i="29"/>
  <c r="C36" i="29" s="1"/>
  <c r="C29" i="29"/>
  <c r="C35" i="29" s="1"/>
  <c r="H4" i="29"/>
  <c r="E40" i="31" l="1"/>
  <c r="E47" i="31"/>
  <c r="H8" i="29"/>
  <c r="F47" i="31" l="1"/>
  <c r="F40" i="31"/>
  <c r="G47" i="31" l="1"/>
  <c r="G40" i="31"/>
  <c r="H47" i="31" l="1"/>
  <c r="H40" i="31"/>
  <c r="I40" i="31" l="1"/>
  <c r="I47" i="31"/>
  <c r="B52" i="8" l="1"/>
  <c r="B57" i="8"/>
  <c r="F56" i="8"/>
  <c r="G56" i="8" s="1"/>
  <c r="F55" i="8"/>
  <c r="G55" i="8" s="1"/>
  <c r="E57" i="8"/>
  <c r="D57" i="8"/>
  <c r="F54" i="8"/>
  <c r="G54" i="8" s="1"/>
  <c r="D52" i="8"/>
  <c r="G51" i="8" l="1"/>
  <c r="F57" i="8"/>
  <c r="C57" i="8"/>
  <c r="F50" i="8"/>
  <c r="G50" i="8" s="1"/>
  <c r="E52" i="8" l="1"/>
  <c r="G57" i="8"/>
  <c r="F51" i="8"/>
  <c r="F52" i="8" s="1"/>
  <c r="C52" i="8"/>
  <c r="G52" i="8" l="1"/>
  <c r="B15" i="30" l="1"/>
  <c r="B16" i="30"/>
  <c r="C17" i="30" l="1"/>
  <c r="B14" i="30"/>
  <c r="B17" i="30" l="1"/>
  <c r="C42" i="31"/>
  <c r="G6" i="31"/>
  <c r="C43" i="31"/>
  <c r="G7" i="31"/>
  <c r="D43" i="31" l="1"/>
  <c r="D50" i="31"/>
  <c r="D42" i="31"/>
  <c r="D49" i="31"/>
  <c r="G5" i="31"/>
  <c r="C41" i="31"/>
  <c r="B54" i="31"/>
  <c r="C54" i="31" s="1"/>
  <c r="E43" i="31" l="1"/>
  <c r="D41" i="31"/>
  <c r="D48" i="31"/>
  <c r="G8" i="31"/>
  <c r="E49" i="31"/>
  <c r="E42" i="31"/>
  <c r="E50" i="31"/>
  <c r="F43" i="31" l="1"/>
  <c r="F50" i="31"/>
  <c r="E48" i="31"/>
  <c r="E52" i="31" s="1"/>
  <c r="D52" i="31"/>
  <c r="E41" i="31"/>
  <c r="F49" i="31"/>
  <c r="F42" i="31"/>
  <c r="D54" i="31"/>
  <c r="G43" i="31" l="1"/>
  <c r="G49" i="31"/>
  <c r="G50" i="31"/>
  <c r="H43" i="31" s="1"/>
  <c r="G42" i="31"/>
  <c r="F41" i="31"/>
  <c r="F48" i="31"/>
  <c r="F52" i="31" s="1"/>
  <c r="D51" i="31"/>
  <c r="E54" i="31"/>
  <c r="G48" i="31" l="1"/>
  <c r="G52" i="31" s="1"/>
  <c r="H50" i="31"/>
  <c r="I43" i="31" s="1"/>
  <c r="G41" i="31"/>
  <c r="H42" i="31"/>
  <c r="H49" i="31"/>
  <c r="F54" i="31"/>
  <c r="E51" i="31"/>
  <c r="I50" i="31" l="1"/>
  <c r="I42" i="31"/>
  <c r="I49" i="31"/>
  <c r="H41" i="31"/>
  <c r="H48" i="31"/>
  <c r="H52" i="31" s="1"/>
  <c r="G54" i="31"/>
  <c r="F51" i="31"/>
  <c r="H54" i="31" l="1"/>
  <c r="G51" i="31"/>
  <c r="I41" i="31"/>
  <c r="I48" i="31"/>
  <c r="I52" i="31" s="1"/>
  <c r="H51" i="31" l="1"/>
  <c r="I54" i="31"/>
  <c r="E20" i="28"/>
  <c r="D20" i="28"/>
  <c r="C20" i="28"/>
  <c r="I51" i="31" l="1"/>
  <c r="B48" i="28"/>
  <c r="F47" i="28"/>
  <c r="E48" i="28"/>
  <c r="D48" i="28"/>
  <c r="F45" i="28"/>
  <c r="B43" i="28"/>
  <c r="E37" i="28"/>
  <c r="D37" i="28"/>
  <c r="F36" i="28"/>
  <c r="F35" i="28"/>
  <c r="F34" i="28"/>
  <c r="C37" i="28"/>
  <c r="B37" i="28"/>
  <c r="E32" i="28"/>
  <c r="D32" i="28"/>
  <c r="F31" i="28"/>
  <c r="G31" i="28" s="1"/>
  <c r="C32" i="28"/>
  <c r="B32" i="28"/>
  <c r="E26" i="28"/>
  <c r="D26" i="28"/>
  <c r="D21" i="28"/>
  <c r="G45" i="28" l="1"/>
  <c r="G47" i="28"/>
  <c r="G34" i="28"/>
  <c r="G35" i="28"/>
  <c r="G36" i="28"/>
  <c r="B20" i="28"/>
  <c r="B26" i="28"/>
  <c r="F37" i="28"/>
  <c r="F42" i="28"/>
  <c r="F19" i="28"/>
  <c r="F24" i="28"/>
  <c r="F46" i="28"/>
  <c r="C48" i="28"/>
  <c r="C21" i="28"/>
  <c r="C26" i="28"/>
  <c r="F25" i="28"/>
  <c r="F23" i="28"/>
  <c r="F30" i="28"/>
  <c r="F41" i="28"/>
  <c r="G46" i="28" l="1"/>
  <c r="G42" i="28" s="1"/>
  <c r="G41" i="28"/>
  <c r="B10" i="28"/>
  <c r="G30" i="28"/>
  <c r="G32" i="28" s="1"/>
  <c r="G37" i="28"/>
  <c r="B21" i="28"/>
  <c r="F20" i="28"/>
  <c r="G20" i="28" s="1"/>
  <c r="G25" i="28"/>
  <c r="G19" i="28"/>
  <c r="G24" i="28"/>
  <c r="G23" i="28"/>
  <c r="F26" i="28"/>
  <c r="E21" i="28"/>
  <c r="F48" i="28"/>
  <c r="F32" i="28"/>
  <c r="F43" i="28"/>
  <c r="G43" i="28" l="1"/>
  <c r="G48" i="28"/>
  <c r="F21" i="28"/>
  <c r="G21" i="28"/>
  <c r="G26" i="28"/>
  <c r="D37" i="22" l="1"/>
  <c r="D36" i="22"/>
  <c r="D35" i="22"/>
  <c r="D34" i="22"/>
  <c r="B42" i="8" l="1"/>
  <c r="B47" i="8" l="1"/>
  <c r="C14" i="8" l="1"/>
  <c r="D14" i="8" l="1"/>
  <c r="D47" i="8" l="1"/>
  <c r="C9" i="8"/>
  <c r="C47" i="8"/>
  <c r="D42" i="8" l="1"/>
  <c r="D9" i="8"/>
  <c r="C42" i="8"/>
  <c r="F44" i="8" l="1"/>
  <c r="G44" i="8" s="1"/>
  <c r="E14" i="8" l="1"/>
  <c r="F46" i="8" l="1"/>
  <c r="G46" i="8" s="1"/>
  <c r="F40" i="8" l="1"/>
  <c r="G40" i="8" s="1"/>
  <c r="F45" i="8" l="1"/>
  <c r="G45" i="8" s="1"/>
  <c r="E47" i="8"/>
  <c r="E9" i="8"/>
  <c r="F41" i="8" l="1"/>
  <c r="G41" i="8" s="1"/>
  <c r="E42" i="8"/>
  <c r="F47" i="8"/>
  <c r="G47" i="8" l="1"/>
  <c r="F42" i="8"/>
  <c r="G42" i="8" l="1"/>
  <c r="A2" i="20" l="1"/>
  <c r="B14" i="8" l="1"/>
  <c r="B31" i="8"/>
  <c r="B9" i="8" l="1"/>
  <c r="G5" i="23" l="1"/>
  <c r="B52" i="23" l="1"/>
  <c r="B55" i="24"/>
  <c r="D39" i="16" l="1"/>
  <c r="C39" i="16"/>
  <c r="E25" i="8" l="1"/>
  <c r="B25" i="8"/>
  <c r="D25" i="8"/>
  <c r="E20" i="8"/>
  <c r="F23" i="8"/>
  <c r="G23" i="8" s="1"/>
  <c r="F19" i="8"/>
  <c r="G19" i="8" s="1"/>
  <c r="B20" i="8"/>
  <c r="C20" i="8"/>
  <c r="F22" i="8"/>
  <c r="G22" i="8" s="1"/>
  <c r="D20" i="8"/>
  <c r="C25" i="8"/>
  <c r="F24" i="8"/>
  <c r="G24" i="8" s="1"/>
  <c r="F18" i="8"/>
  <c r="G18" i="8" s="1"/>
  <c r="F25" i="8" l="1"/>
  <c r="F20" i="8"/>
  <c r="G20" i="8" l="1"/>
  <c r="G25" i="8"/>
  <c r="G5" i="16" l="1"/>
  <c r="I6" i="24" l="1"/>
  <c r="I5" i="24"/>
  <c r="C38" i="24" l="1"/>
  <c r="C44" i="24" s="1"/>
  <c r="C37" i="24"/>
  <c r="C43" i="24" s="1"/>
  <c r="C36" i="24"/>
  <c r="C42" i="24" s="1"/>
  <c r="C35" i="24"/>
  <c r="F15" i="16" l="1"/>
  <c r="H15" i="16" l="1"/>
  <c r="I15" i="16" l="1"/>
  <c r="J15" i="16" l="1"/>
  <c r="K15" i="16" l="1"/>
  <c r="L15" i="16" l="1"/>
  <c r="P15" i="16" s="1"/>
  <c r="N26" i="16" l="1"/>
  <c r="N25" i="16"/>
  <c r="J39" i="16" l="1"/>
  <c r="I39" i="16"/>
  <c r="H39" i="16"/>
  <c r="I6" i="22" l="1"/>
  <c r="I5" i="22"/>
  <c r="I36" i="22" l="1"/>
  <c r="H36" i="22"/>
  <c r="G36" i="22"/>
  <c r="F36" i="22"/>
  <c r="E36" i="22"/>
  <c r="D42" i="22"/>
  <c r="I35" i="22"/>
  <c r="H35" i="22"/>
  <c r="G35" i="22"/>
  <c r="F35" i="22"/>
  <c r="E35" i="22"/>
  <c r="D41" i="22"/>
  <c r="E41" i="22" l="1"/>
  <c r="E42" i="22"/>
  <c r="C34" i="23"/>
  <c r="C40" i="23" s="1"/>
  <c r="C33" i="23"/>
  <c r="C39" i="23" s="1"/>
  <c r="G39" i="16" l="1"/>
  <c r="F39" i="16"/>
  <c r="E39" i="16"/>
  <c r="E15" i="16" l="1"/>
  <c r="N27" i="16" l="1"/>
  <c r="F5" i="16" s="1"/>
  <c r="C55" i="24" l="1"/>
  <c r="C41" i="24"/>
  <c r="I7" i="24"/>
  <c r="I4" i="24"/>
  <c r="I8" i="24" l="1"/>
  <c r="C52" i="23" l="1"/>
  <c r="C35" i="23"/>
  <c r="C41" i="23" s="1"/>
  <c r="C32" i="23"/>
  <c r="C38" i="23" s="1"/>
  <c r="G4" i="23"/>
  <c r="G6" i="23" s="1"/>
  <c r="C38" i="16"/>
  <c r="M52" i="22"/>
  <c r="D43" i="22"/>
  <c r="H37" i="22"/>
  <c r="G37" i="22"/>
  <c r="G34" i="22"/>
  <c r="F34" i="22"/>
  <c r="I7" i="22"/>
  <c r="I4" i="22"/>
  <c r="I8" i="22" l="1"/>
  <c r="H34" i="22"/>
  <c r="I34" i="22"/>
  <c r="F37" i="22"/>
  <c r="I37" i="22"/>
  <c r="J11" i="23"/>
  <c r="E37" i="22"/>
  <c r="D40" i="22"/>
  <c r="E43" i="22" l="1"/>
  <c r="E40" i="22"/>
  <c r="D38" i="16" l="1"/>
  <c r="D15" i="16"/>
  <c r="B52" i="16" l="1"/>
  <c r="E49" i="22" l="1"/>
  <c r="E48" i="22"/>
  <c r="E50" i="22"/>
  <c r="C52" i="16"/>
  <c r="D52" i="16" s="1"/>
  <c r="E52" i="22" l="1"/>
  <c r="E54" i="22"/>
  <c r="E51" i="22" s="1"/>
  <c r="F42" i="22"/>
  <c r="F49" i="22"/>
  <c r="F41" i="22"/>
  <c r="F48" i="22"/>
  <c r="F47" i="22"/>
  <c r="F40" i="22"/>
  <c r="F50" i="22"/>
  <c r="F43" i="22"/>
  <c r="F54" i="22" l="1"/>
  <c r="F51" i="22" s="1"/>
  <c r="G42" i="22"/>
  <c r="G41" i="22"/>
  <c r="G48" i="22"/>
  <c r="G49" i="22"/>
  <c r="G47" i="22"/>
  <c r="G40" i="22"/>
  <c r="F52" i="22"/>
  <c r="G43" i="22"/>
  <c r="G50" i="22"/>
  <c r="H49" i="22" l="1"/>
  <c r="G54" i="22"/>
  <c r="G51" i="22" s="1"/>
  <c r="H42" i="22"/>
  <c r="H41" i="22"/>
  <c r="H48" i="22"/>
  <c r="H50" i="22"/>
  <c r="H43" i="22"/>
  <c r="H40" i="22"/>
  <c r="H47" i="22"/>
  <c r="G52" i="22"/>
  <c r="H54" i="22" l="1"/>
  <c r="H51" i="22" s="1"/>
  <c r="I48" i="22"/>
  <c r="I41" i="22"/>
  <c r="I42" i="22"/>
  <c r="I49" i="22"/>
  <c r="I40" i="22"/>
  <c r="I47" i="22"/>
  <c r="H52" i="22"/>
  <c r="I50" i="22"/>
  <c r="I43" i="22"/>
  <c r="C43" i="16"/>
  <c r="D43" i="16" s="1"/>
  <c r="E43" i="16" s="1"/>
  <c r="C42" i="16"/>
  <c r="D42" i="16" s="1"/>
  <c r="I5" i="16"/>
  <c r="I4" i="16"/>
  <c r="I6" i="16" l="1"/>
  <c r="I54" i="22"/>
  <c r="I51" i="22" s="1"/>
  <c r="I52" i="22"/>
  <c r="E5" i="20" l="1"/>
  <c r="E38" i="16" l="1"/>
  <c r="F38" i="16" l="1"/>
  <c r="E47" i="16"/>
  <c r="E42" i="16"/>
  <c r="F47" i="16" l="1"/>
  <c r="F42" i="16"/>
  <c r="G38" i="16"/>
  <c r="E48" i="16"/>
  <c r="G42" i="16" l="1"/>
  <c r="E52" i="16"/>
  <c r="E49" i="16" s="1"/>
  <c r="F43" i="16"/>
  <c r="E50" i="16"/>
  <c r="H38" i="16"/>
  <c r="G47" i="16"/>
  <c r="F48" i="16"/>
  <c r="F52" i="16" s="1"/>
  <c r="F4" i="16"/>
  <c r="G43" i="16" l="1"/>
  <c r="F49" i="16"/>
  <c r="H47" i="16"/>
  <c r="H42" i="16"/>
  <c r="F6" i="16"/>
  <c r="I38" i="16"/>
  <c r="F50" i="16"/>
  <c r="G48" i="16"/>
  <c r="G50" i="16" s="1"/>
  <c r="H43" i="16" l="1"/>
  <c r="G52" i="16"/>
  <c r="G49" i="16" s="1"/>
  <c r="H48" i="16"/>
  <c r="H50" i="16" s="1"/>
  <c r="J38" i="16"/>
  <c r="I47" i="16"/>
  <c r="I42" i="16"/>
  <c r="G4" i="16"/>
  <c r="I43" i="16" l="1"/>
  <c r="I48" i="16"/>
  <c r="I50" i="16" s="1"/>
  <c r="H52" i="16"/>
  <c r="H49" i="16" s="1"/>
  <c r="J42" i="16"/>
  <c r="J47" i="16"/>
  <c r="J43" i="16" l="1"/>
  <c r="G6" i="16"/>
  <c r="J48" i="16"/>
  <c r="J50" i="16" s="1"/>
  <c r="I52" i="16"/>
  <c r="I49" i="16" s="1"/>
  <c r="J52" i="16" l="1"/>
  <c r="J49" i="16" l="1"/>
  <c r="J37" i="22" l="1"/>
  <c r="J36" i="22" l="1"/>
  <c r="J43" i="22"/>
  <c r="J50" i="22"/>
  <c r="J34" i="22"/>
  <c r="J47" i="22" l="1"/>
  <c r="J40" i="22"/>
  <c r="J42" i="22"/>
  <c r="J49" i="22"/>
  <c r="J35" i="22" l="1"/>
  <c r="J48" i="22" l="1"/>
  <c r="J54" i="22" s="1"/>
  <c r="J41" i="22"/>
  <c r="J52" i="22" l="1"/>
  <c r="J51" i="22"/>
  <c r="G4" i="22" l="1"/>
  <c r="G7" i="22" l="1"/>
  <c r="G6" i="22"/>
  <c r="G5" i="22" l="1"/>
  <c r="G8" i="22" l="1"/>
  <c r="B36" i="8" l="1"/>
  <c r="C31" i="8" l="1"/>
  <c r="C36" i="8"/>
  <c r="D36" i="8" l="1"/>
  <c r="D31" i="8"/>
  <c r="F33" i="8" l="1"/>
  <c r="F12" i="8"/>
  <c r="F34" i="8"/>
  <c r="E36" i="8"/>
  <c r="G34" i="8" l="1"/>
  <c r="G12" i="8" s="1"/>
  <c r="E34" i="23"/>
  <c r="F34" i="23"/>
  <c r="D34" i="23"/>
  <c r="G33" i="8"/>
  <c r="G11" i="8" s="1"/>
  <c r="F33" i="23"/>
  <c r="E33" i="23"/>
  <c r="D33" i="23"/>
  <c r="F13" i="8"/>
  <c r="F35" i="8"/>
  <c r="F11" i="8"/>
  <c r="E35" i="23" l="1"/>
  <c r="F35" i="23"/>
  <c r="G35" i="8"/>
  <c r="G13" i="8" s="1"/>
  <c r="D35" i="23"/>
  <c r="D40" i="23"/>
  <c r="D47" i="23"/>
  <c r="D39" i="23"/>
  <c r="D46" i="23"/>
  <c r="I33" i="23"/>
  <c r="H33" i="23"/>
  <c r="G34" i="23"/>
  <c r="H34" i="23"/>
  <c r="I34" i="23"/>
  <c r="G33" i="23"/>
  <c r="F14" i="8"/>
  <c r="F36" i="8"/>
  <c r="D41" i="23" l="1"/>
  <c r="D48" i="23"/>
  <c r="E39" i="23"/>
  <c r="E46" i="23"/>
  <c r="E47" i="23"/>
  <c r="E40" i="23"/>
  <c r="H35" i="23"/>
  <c r="G35" i="23"/>
  <c r="I35" i="23"/>
  <c r="G36" i="8"/>
  <c r="G14" i="8"/>
  <c r="F47" i="23" l="1"/>
  <c r="F40" i="23"/>
  <c r="F39" i="23"/>
  <c r="F46" i="23"/>
  <c r="E48" i="23"/>
  <c r="E41" i="23"/>
  <c r="E5" i="23"/>
  <c r="E31" i="8"/>
  <c r="F8" i="8"/>
  <c r="F30" i="8"/>
  <c r="G30" i="8" s="1"/>
  <c r="G8" i="8" s="1"/>
  <c r="D15" i="23" l="1"/>
  <c r="G29" i="8"/>
  <c r="G7" i="8" s="1"/>
  <c r="G39" i="23"/>
  <c r="G46" i="23"/>
  <c r="G40" i="23"/>
  <c r="G47" i="23"/>
  <c r="F41" i="23"/>
  <c r="F48" i="23"/>
  <c r="F31" i="8"/>
  <c r="F7" i="8"/>
  <c r="F9" i="8" s="1"/>
  <c r="E15" i="23" l="1"/>
  <c r="E32" i="23"/>
  <c r="G48" i="23"/>
  <c r="G41" i="23"/>
  <c r="H15" i="23"/>
  <c r="D32" i="23"/>
  <c r="H47" i="23"/>
  <c r="H40" i="23"/>
  <c r="K15" i="23"/>
  <c r="F32" i="23"/>
  <c r="F15" i="23"/>
  <c r="J15" i="23"/>
  <c r="I32" i="23"/>
  <c r="H46" i="23"/>
  <c r="H39" i="23"/>
  <c r="G15" i="23"/>
  <c r="G32" i="23"/>
  <c r="G31" i="8"/>
  <c r="O15" i="23" l="1"/>
  <c r="H41" i="23"/>
  <c r="H48" i="23"/>
  <c r="H32" i="23"/>
  <c r="I15" i="23"/>
  <c r="E4" i="23"/>
  <c r="E6" i="23" s="1"/>
  <c r="I39" i="23"/>
  <c r="I46" i="23"/>
  <c r="D38" i="23"/>
  <c r="D45" i="23"/>
  <c r="D50" i="23" s="1"/>
  <c r="I40" i="23"/>
  <c r="I47" i="23"/>
  <c r="G9" i="8"/>
  <c r="D52" i="23" l="1"/>
  <c r="D49" i="23" s="1"/>
  <c r="E45" i="23"/>
  <c r="E38" i="23"/>
  <c r="I48" i="23"/>
  <c r="I41" i="23"/>
  <c r="F45" i="23" l="1"/>
  <c r="F38" i="23"/>
  <c r="E50" i="23"/>
  <c r="E52" i="23"/>
  <c r="E49" i="23" s="1"/>
  <c r="G45" i="23" l="1"/>
  <c r="G38" i="23"/>
  <c r="F50" i="23"/>
  <c r="F52" i="23"/>
  <c r="F49" i="23" s="1"/>
  <c r="H38" i="23" l="1"/>
  <c r="H45" i="23"/>
  <c r="G50" i="23"/>
  <c r="G52" i="23"/>
  <c r="G49" i="23" s="1"/>
  <c r="H50" i="23" l="1"/>
  <c r="H52" i="23"/>
  <c r="H49" i="23" s="1"/>
  <c r="I45" i="23"/>
  <c r="I38" i="23"/>
  <c r="I50" i="23" l="1"/>
  <c r="I52" i="23"/>
  <c r="I49" i="23" l="1"/>
  <c r="B5" i="20" l="1"/>
  <c r="B7" i="20" l="1"/>
  <c r="B8" i="20" l="1"/>
  <c r="E7" i="20"/>
  <c r="E6" i="20"/>
  <c r="E8" i="20"/>
  <c r="B6" i="20" l="1"/>
  <c r="D37" i="24" l="1"/>
  <c r="D43" i="24" s="1"/>
  <c r="D38" i="24"/>
  <c r="D44" i="24" s="1"/>
  <c r="D35" i="24" l="1"/>
  <c r="D41" i="24" s="1"/>
  <c r="E35" i="24"/>
  <c r="D36" i="24"/>
  <c r="D42" i="24" s="1"/>
  <c r="F35" i="24" l="1"/>
  <c r="D55" i="24"/>
  <c r="E37" i="24"/>
  <c r="F37" i="24"/>
  <c r="E38" i="24"/>
  <c r="E41" i="24"/>
  <c r="E48" i="24"/>
  <c r="F38" i="24"/>
  <c r="F36" i="24"/>
  <c r="E51" i="24" l="1"/>
  <c r="E44" i="24"/>
  <c r="G38" i="24"/>
  <c r="E36" i="24"/>
  <c r="E12" i="24"/>
  <c r="E43" i="24"/>
  <c r="E50" i="24"/>
  <c r="F12" i="24"/>
  <c r="G37" i="24"/>
  <c r="F41" i="24"/>
  <c r="F48" i="24"/>
  <c r="G36" i="24"/>
  <c r="H35" i="24" l="1"/>
  <c r="G35" i="24"/>
  <c r="G48" i="24" s="1"/>
  <c r="G12" i="24"/>
  <c r="F44" i="24"/>
  <c r="F51" i="24"/>
  <c r="F50" i="24"/>
  <c r="F43" i="24"/>
  <c r="E42" i="24"/>
  <c r="E49" i="24"/>
  <c r="H37" i="24"/>
  <c r="H38" i="24" l="1"/>
  <c r="G44" i="24"/>
  <c r="G51" i="24"/>
  <c r="F49" i="24"/>
  <c r="F42" i="24"/>
  <c r="I38" i="24"/>
  <c r="G50" i="24"/>
  <c r="G43" i="24"/>
  <c r="E53" i="24"/>
  <c r="J38" i="24"/>
  <c r="I37" i="24"/>
  <c r="G41" i="24"/>
  <c r="E55" i="24"/>
  <c r="E52" i="24" s="1"/>
  <c r="H36" i="24" l="1"/>
  <c r="H12" i="24"/>
  <c r="H51" i="24"/>
  <c r="H44" i="24"/>
  <c r="H48" i="24"/>
  <c r="H41" i="24"/>
  <c r="I35" i="24"/>
  <c r="G49" i="24"/>
  <c r="G42" i="24"/>
  <c r="J37" i="24"/>
  <c r="F53" i="24"/>
  <c r="F55" i="24"/>
  <c r="F52" i="24" s="1"/>
  <c r="I36" i="24"/>
  <c r="H43" i="24"/>
  <c r="H50" i="24"/>
  <c r="N23" i="24" l="1"/>
  <c r="F6" i="24" s="1"/>
  <c r="N22" i="24"/>
  <c r="F5" i="24" s="1"/>
  <c r="P27" i="24"/>
  <c r="N24" i="24"/>
  <c r="F7" i="24" s="1"/>
  <c r="I12" i="24"/>
  <c r="J36" i="24"/>
  <c r="I48" i="24"/>
  <c r="I41" i="24"/>
  <c r="I43" i="24"/>
  <c r="I50" i="24"/>
  <c r="H42" i="24"/>
  <c r="H49" i="24"/>
  <c r="G55" i="24"/>
  <c r="G52" i="24" s="1"/>
  <c r="G53" i="24"/>
  <c r="I44" i="24"/>
  <c r="I51" i="24"/>
  <c r="P22" i="24"/>
  <c r="P23" i="24"/>
  <c r="N21" i="24"/>
  <c r="F4" i="24" s="1"/>
  <c r="P24" i="24" l="1"/>
  <c r="P21" i="24"/>
  <c r="G4" i="24"/>
  <c r="F8" i="24"/>
  <c r="H55" i="24"/>
  <c r="H52" i="24" s="1"/>
  <c r="H53" i="24"/>
  <c r="J51" i="24"/>
  <c r="J44" i="24"/>
  <c r="I49" i="24"/>
  <c r="I53" i="24" s="1"/>
  <c r="I42" i="24"/>
  <c r="P30" i="24"/>
  <c r="J35" i="24"/>
  <c r="J41" i="24" s="1"/>
  <c r="J12" i="24"/>
  <c r="G7" i="24"/>
  <c r="J43" i="24"/>
  <c r="J50" i="24"/>
  <c r="J48" i="24" l="1"/>
  <c r="I55" i="24"/>
  <c r="I52" i="24" s="1"/>
  <c r="K12" i="24"/>
  <c r="J42" i="24"/>
  <c r="J49" i="24"/>
  <c r="P28" i="24"/>
  <c r="J55" i="24" l="1"/>
  <c r="G6" i="24"/>
  <c r="P29" i="24"/>
  <c r="G5" i="24"/>
  <c r="J53" i="24"/>
  <c r="L12" i="24"/>
  <c r="P12" i="24" s="1"/>
  <c r="J52" i="24" l="1"/>
  <c r="G8" i="24"/>
  <c r="B10" i="19" l="1"/>
  <c r="C9" i="19" l="1"/>
  <c r="C8" i="19"/>
  <c r="C6" i="19" l="1"/>
  <c r="C7" i="19"/>
  <c r="D10" i="19" l="1"/>
  <c r="C10" i="19"/>
  <c r="B10" i="37" l="1"/>
  <c r="C8" i="37"/>
  <c r="D14" i="5" s="1"/>
  <c r="C9" i="37" l="1"/>
  <c r="D15" i="5" s="1"/>
  <c r="C7" i="37"/>
  <c r="D13" i="5" s="1"/>
  <c r="C6" i="37" l="1"/>
  <c r="D12" i="5" s="1"/>
  <c r="D10" i="37"/>
  <c r="C10" i="37" l="1"/>
  <c r="B10" i="22" l="1"/>
  <c r="B13" i="16" s="1"/>
  <c r="B10" i="24"/>
  <c r="B13" i="23"/>
  <c r="B10" i="29"/>
  <c r="B15" i="31"/>
  <c r="B10" i="40"/>
  <c r="C10" i="22"/>
  <c r="C13" i="16" s="1"/>
  <c r="C10" i="24"/>
  <c r="C10" i="40"/>
  <c r="C13" i="23"/>
  <c r="C10" i="29"/>
  <c r="C15" i="31"/>
  <c r="AD15" i="5" l="1"/>
  <c r="K20" i="22"/>
  <c r="K15" i="40"/>
  <c r="K18" i="16"/>
  <c r="J18" i="23"/>
  <c r="J20" i="31"/>
  <c r="K15" i="24"/>
  <c r="K15" i="29"/>
  <c r="K26" i="35"/>
  <c r="F4" i="35"/>
  <c r="P20" i="35"/>
  <c r="M20" i="22"/>
  <c r="M26" i="22" s="1"/>
  <c r="M34" i="22" s="1"/>
  <c r="L20" i="31"/>
  <c r="L34" i="31" s="1"/>
  <c r="M18" i="16"/>
  <c r="M38" i="16" s="1"/>
  <c r="M15" i="24"/>
  <c r="M35" i="24" s="1"/>
  <c r="M15" i="29"/>
  <c r="M29" i="29" s="1"/>
  <c r="M15" i="40"/>
  <c r="M35" i="40" s="1"/>
  <c r="L18" i="23"/>
  <c r="L32" i="23" s="1"/>
  <c r="M26" i="35"/>
  <c r="L20" i="22"/>
  <c r="L26" i="22" s="1"/>
  <c r="L34" i="22" s="1"/>
  <c r="L15" i="24"/>
  <c r="L35" i="24" s="1"/>
  <c r="L18" i="16"/>
  <c r="L38" i="16" s="1"/>
  <c r="L15" i="29"/>
  <c r="K20" i="31"/>
  <c r="K34" i="31" s="1"/>
  <c r="L15" i="40"/>
  <c r="L35" i="40" s="1"/>
  <c r="K18" i="23"/>
  <c r="K32" i="23" s="1"/>
  <c r="L26" i="35"/>
  <c r="M18" i="40"/>
  <c r="M38" i="40" s="1"/>
  <c r="L21" i="23"/>
  <c r="L35" i="23" s="1"/>
  <c r="L23" i="31"/>
  <c r="L37" i="31" s="1"/>
  <c r="M23" i="22"/>
  <c r="M29" i="22" s="1"/>
  <c r="M37" i="22" s="1"/>
  <c r="M18" i="24"/>
  <c r="M38" i="24" s="1"/>
  <c r="M21" i="16"/>
  <c r="M18" i="29"/>
  <c r="M32" i="29" s="1"/>
  <c r="M29" i="35"/>
  <c r="L17" i="24"/>
  <c r="L37" i="24" s="1"/>
  <c r="L22" i="22"/>
  <c r="L28" i="22" s="1"/>
  <c r="L36" i="22" s="1"/>
  <c r="L20" i="16"/>
  <c r="K22" i="31"/>
  <c r="K36" i="31" s="1"/>
  <c r="L17" i="40"/>
  <c r="L37" i="40" s="1"/>
  <c r="K20" i="23"/>
  <c r="K34" i="23" s="1"/>
  <c r="L17" i="29"/>
  <c r="L28" i="35"/>
  <c r="L18" i="40"/>
  <c r="L38" i="40" s="1"/>
  <c r="L18" i="24"/>
  <c r="L38" i="24" s="1"/>
  <c r="K21" i="23"/>
  <c r="K35" i="23" s="1"/>
  <c r="K23" i="31"/>
  <c r="K37" i="31" s="1"/>
  <c r="L23" i="22"/>
  <c r="L29" i="22" s="1"/>
  <c r="L37" i="22" s="1"/>
  <c r="L18" i="29"/>
  <c r="L21" i="16"/>
  <c r="L29" i="35"/>
  <c r="L16" i="40"/>
  <c r="L36" i="40" s="1"/>
  <c r="L19" i="16"/>
  <c r="L16" i="29"/>
  <c r="L16" i="24"/>
  <c r="L36" i="24" s="1"/>
  <c r="K19" i="23"/>
  <c r="K33" i="23" s="1"/>
  <c r="K21" i="31"/>
  <c r="K35" i="31" s="1"/>
  <c r="L21" i="22"/>
  <c r="L27" i="22" s="1"/>
  <c r="L35" i="22" s="1"/>
  <c r="L27" i="35"/>
  <c r="L20" i="23"/>
  <c r="L34" i="23" s="1"/>
  <c r="M17" i="40"/>
  <c r="M37" i="40" s="1"/>
  <c r="M22" i="22"/>
  <c r="M28" i="22" s="1"/>
  <c r="M36" i="22" s="1"/>
  <c r="M17" i="29"/>
  <c r="M31" i="29" s="1"/>
  <c r="M20" i="16"/>
  <c r="L22" i="31"/>
  <c r="L36" i="31" s="1"/>
  <c r="M17" i="24"/>
  <c r="M37" i="24" s="1"/>
  <c r="M28" i="35"/>
  <c r="K17" i="24"/>
  <c r="K17" i="29"/>
  <c r="J20" i="23"/>
  <c r="K17" i="40"/>
  <c r="K20" i="16"/>
  <c r="K22" i="22"/>
  <c r="J22" i="31"/>
  <c r="F6" i="35"/>
  <c r="K28" i="35"/>
  <c r="P22" i="35"/>
  <c r="M16" i="24"/>
  <c r="M36" i="24" s="1"/>
  <c r="M16" i="40"/>
  <c r="M36" i="40" s="1"/>
  <c r="M21" i="22"/>
  <c r="M27" i="22" s="1"/>
  <c r="M35" i="22" s="1"/>
  <c r="L21" i="31"/>
  <c r="L35" i="31" s="1"/>
  <c r="L19" i="23"/>
  <c r="L33" i="23" s="1"/>
  <c r="M16" i="29"/>
  <c r="M30" i="29" s="1"/>
  <c r="M19" i="16"/>
  <c r="M27" i="35"/>
  <c r="K16" i="24"/>
  <c r="K21" i="22"/>
  <c r="K16" i="29"/>
  <c r="K19" i="16"/>
  <c r="K16" i="40"/>
  <c r="J21" i="31"/>
  <c r="J19" i="23"/>
  <c r="F5" i="35"/>
  <c r="P21" i="35"/>
  <c r="K27" i="35"/>
  <c r="K18" i="24"/>
  <c r="J23" i="31"/>
  <c r="K23" i="22"/>
  <c r="K21" i="16"/>
  <c r="K18" i="29"/>
  <c r="K18" i="40"/>
  <c r="J21" i="23"/>
  <c r="P23" i="35"/>
  <c r="F7" i="35"/>
  <c r="K29" i="35"/>
  <c r="U15" i="5" l="1"/>
  <c r="B8" i="38"/>
  <c r="AD14" i="5"/>
  <c r="Y15" i="5"/>
  <c r="AE15" i="5"/>
  <c r="AC15" i="5"/>
  <c r="AA15" i="5"/>
  <c r="M39" i="16"/>
  <c r="AC14" i="5"/>
  <c r="S6" i="5"/>
  <c r="AD13" i="5"/>
  <c r="Y13" i="5"/>
  <c r="AE13" i="5"/>
  <c r="D22" i="20" s="1"/>
  <c r="Y14" i="5"/>
  <c r="AE14" i="5"/>
  <c r="D23" i="20" s="1"/>
  <c r="AA14" i="5"/>
  <c r="U14" i="5"/>
  <c r="S7" i="5"/>
  <c r="B7" i="38"/>
  <c r="B5" i="38"/>
  <c r="AA12" i="5"/>
  <c r="AE12" i="5"/>
  <c r="AC12" i="5"/>
  <c r="U12" i="5"/>
  <c r="Y12" i="5"/>
  <c r="AD12" i="5"/>
  <c r="U13" i="5"/>
  <c r="P26" i="35"/>
  <c r="K34" i="35"/>
  <c r="E4" i="35"/>
  <c r="H4" i="35" s="1"/>
  <c r="AC13" i="5"/>
  <c r="M34" i="35"/>
  <c r="P15" i="29"/>
  <c r="E4" i="29"/>
  <c r="P15" i="24"/>
  <c r="E4" i="24"/>
  <c r="H4" i="24" s="1"/>
  <c r="K35" i="24"/>
  <c r="S5" i="5"/>
  <c r="O20" i="31"/>
  <c r="D4" i="31"/>
  <c r="F4" i="31" s="1"/>
  <c r="J34" i="31"/>
  <c r="O18" i="23"/>
  <c r="D4" i="23"/>
  <c r="F4" i="23" s="1"/>
  <c r="J32" i="23"/>
  <c r="AA13" i="5"/>
  <c r="L34" i="35"/>
  <c r="P18" i="16"/>
  <c r="E4" i="16"/>
  <c r="H4" i="16" s="1"/>
  <c r="K38" i="16"/>
  <c r="B6" i="38"/>
  <c r="P15" i="40"/>
  <c r="E4" i="40"/>
  <c r="H4" i="40" s="1"/>
  <c r="K35" i="40"/>
  <c r="K26" i="22"/>
  <c r="P20" i="22"/>
  <c r="F4" i="22"/>
  <c r="P21" i="16"/>
  <c r="F8" i="35"/>
  <c r="L35" i="35"/>
  <c r="J35" i="23"/>
  <c r="O21" i="23"/>
  <c r="P16" i="40"/>
  <c r="E5" i="40"/>
  <c r="K36" i="40"/>
  <c r="M37" i="35"/>
  <c r="K39" i="16"/>
  <c r="E5" i="16"/>
  <c r="P19" i="16"/>
  <c r="P18" i="29"/>
  <c r="E7" i="29"/>
  <c r="P16" i="29"/>
  <c r="E5" i="29"/>
  <c r="J33" i="23"/>
  <c r="D5" i="23"/>
  <c r="O19" i="23"/>
  <c r="K27" i="22"/>
  <c r="F5" i="22"/>
  <c r="P21" i="22"/>
  <c r="K36" i="35"/>
  <c r="E6" i="35"/>
  <c r="H6" i="35" s="1"/>
  <c r="P28" i="35"/>
  <c r="L39" i="16"/>
  <c r="L36" i="35"/>
  <c r="P29" i="35"/>
  <c r="K37" i="35"/>
  <c r="E7" i="35"/>
  <c r="H7" i="35" s="1"/>
  <c r="O20" i="23"/>
  <c r="J34" i="23"/>
  <c r="O21" i="31"/>
  <c r="J35" i="31"/>
  <c r="D5" i="31"/>
  <c r="K29" i="22"/>
  <c r="P23" i="22"/>
  <c r="F7" i="22"/>
  <c r="E5" i="24"/>
  <c r="P16" i="24"/>
  <c r="K36" i="24"/>
  <c r="P17" i="40"/>
  <c r="E6" i="40"/>
  <c r="H6" i="40" s="1"/>
  <c r="K37" i="40"/>
  <c r="E6" i="29"/>
  <c r="P17" i="29"/>
  <c r="M36" i="35"/>
  <c r="J37" i="31"/>
  <c r="O23" i="31"/>
  <c r="D7" i="31"/>
  <c r="F7" i="31" s="1"/>
  <c r="M35" i="35"/>
  <c r="O22" i="31"/>
  <c r="J36" i="31"/>
  <c r="D6" i="31"/>
  <c r="F6" i="31" s="1"/>
  <c r="P22" i="22"/>
  <c r="K28" i="22"/>
  <c r="F6" i="22"/>
  <c r="L37" i="35"/>
  <c r="P17" i="24"/>
  <c r="E6" i="24"/>
  <c r="H6" i="24" s="1"/>
  <c r="K37" i="24"/>
  <c r="E7" i="40"/>
  <c r="H7" i="40" s="1"/>
  <c r="K38" i="40"/>
  <c r="P18" i="40"/>
  <c r="E7" i="24"/>
  <c r="H7" i="24" s="1"/>
  <c r="P18" i="24"/>
  <c r="K38" i="24"/>
  <c r="E5" i="35"/>
  <c r="P27" i="35"/>
  <c r="K35" i="35"/>
  <c r="P20" i="16"/>
  <c r="K32" i="24" l="1"/>
  <c r="K31" i="35"/>
  <c r="D24" i="20"/>
  <c r="B9" i="38"/>
  <c r="E4" i="22"/>
  <c r="H4" i="22" s="1"/>
  <c r="P26" i="22"/>
  <c r="K34" i="22"/>
  <c r="K40" i="35"/>
  <c r="K47" i="35"/>
  <c r="K47" i="16"/>
  <c r="K42" i="16"/>
  <c r="K41" i="24"/>
  <c r="K48" i="24"/>
  <c r="J38" i="23"/>
  <c r="K29" i="23" s="1"/>
  <c r="J45" i="23"/>
  <c r="D21" i="20"/>
  <c r="K41" i="40"/>
  <c r="K48" i="40"/>
  <c r="J40" i="31"/>
  <c r="J47" i="31"/>
  <c r="K50" i="24"/>
  <c r="K43" i="24"/>
  <c r="J43" i="31"/>
  <c r="J50" i="31"/>
  <c r="J40" i="23"/>
  <c r="J47" i="23"/>
  <c r="H5" i="40"/>
  <c r="E8" i="40"/>
  <c r="P28" i="22"/>
  <c r="K36" i="22"/>
  <c r="E6" i="22"/>
  <c r="H6" i="22" s="1"/>
  <c r="J48" i="23"/>
  <c r="J41" i="23"/>
  <c r="K43" i="40"/>
  <c r="K50" i="40"/>
  <c r="P29" i="22"/>
  <c r="E7" i="22"/>
  <c r="H7" i="22" s="1"/>
  <c r="K37" i="22"/>
  <c r="F8" i="22"/>
  <c r="K43" i="16"/>
  <c r="K48" i="16"/>
  <c r="K35" i="16"/>
  <c r="K44" i="24"/>
  <c r="K51" i="24"/>
  <c r="J42" i="31"/>
  <c r="J49" i="31"/>
  <c r="E5" i="22"/>
  <c r="K35" i="22"/>
  <c r="P27" i="22"/>
  <c r="E8" i="29"/>
  <c r="K49" i="35"/>
  <c r="K42" i="35"/>
  <c r="K41" i="35"/>
  <c r="K48" i="35"/>
  <c r="E8" i="35"/>
  <c r="H5" i="35"/>
  <c r="H8" i="35" s="1"/>
  <c r="F5" i="31"/>
  <c r="D8" i="31"/>
  <c r="J31" i="31"/>
  <c r="J48" i="31"/>
  <c r="J41" i="31"/>
  <c r="H5" i="16"/>
  <c r="E6" i="16"/>
  <c r="K49" i="24"/>
  <c r="K42" i="24"/>
  <c r="F5" i="23"/>
  <c r="D6" i="23"/>
  <c r="K44" i="40"/>
  <c r="K51" i="40"/>
  <c r="J29" i="23"/>
  <c r="J39" i="23"/>
  <c r="J46" i="23"/>
  <c r="K43" i="35"/>
  <c r="K50" i="35"/>
  <c r="E8" i="24"/>
  <c r="H5" i="24"/>
  <c r="K32" i="40"/>
  <c r="K42" i="40"/>
  <c r="K49" i="40"/>
  <c r="L32" i="40" l="1"/>
  <c r="K52" i="16"/>
  <c r="L31" i="35"/>
  <c r="P31" i="35" s="1"/>
  <c r="K47" i="22"/>
  <c r="K40" i="22"/>
  <c r="K45" i="23"/>
  <c r="H4" i="23" s="1"/>
  <c r="I4" i="23" s="1"/>
  <c r="K38" i="23"/>
  <c r="L48" i="24"/>
  <c r="J4" i="24"/>
  <c r="K4" i="24" s="1"/>
  <c r="J54" i="31"/>
  <c r="J51" i="31" s="1"/>
  <c r="K47" i="31"/>
  <c r="H4" i="31" s="1"/>
  <c r="I4" i="31" s="1"/>
  <c r="K40" i="31"/>
  <c r="L41" i="24"/>
  <c r="L42" i="16"/>
  <c r="L47" i="16"/>
  <c r="J4" i="16" s="1"/>
  <c r="K4" i="16" s="1"/>
  <c r="L41" i="40"/>
  <c r="L48" i="40"/>
  <c r="J4" i="40" s="1"/>
  <c r="K4" i="40" s="1"/>
  <c r="K53" i="24"/>
  <c r="L47" i="35"/>
  <c r="P47" i="35" s="1"/>
  <c r="L40" i="35"/>
  <c r="J50" i="23"/>
  <c r="K49" i="16"/>
  <c r="H8" i="24"/>
  <c r="L49" i="24"/>
  <c r="J5" i="24" s="1"/>
  <c r="L42" i="24"/>
  <c r="L32" i="24"/>
  <c r="H8" i="40"/>
  <c r="K55" i="24"/>
  <c r="F8" i="31"/>
  <c r="K47" i="23"/>
  <c r="K40" i="23"/>
  <c r="K48" i="22"/>
  <c r="K31" i="22"/>
  <c r="K41" i="22"/>
  <c r="F6" i="23"/>
  <c r="L48" i="16"/>
  <c r="J5" i="16" s="1"/>
  <c r="L43" i="16"/>
  <c r="L35" i="16"/>
  <c r="P35" i="16" s="1"/>
  <c r="K50" i="22"/>
  <c r="K43" i="22"/>
  <c r="J52" i="23"/>
  <c r="K54" i="35"/>
  <c r="E8" i="22"/>
  <c r="H5" i="22"/>
  <c r="H8" i="22" s="1"/>
  <c r="K43" i="31"/>
  <c r="K50" i="31"/>
  <c r="H7" i="31" s="1"/>
  <c r="I7" i="31" s="1"/>
  <c r="L43" i="35"/>
  <c r="L50" i="35"/>
  <c r="J7" i="35" s="1"/>
  <c r="K7" i="35" s="1"/>
  <c r="AC23" i="5" s="1"/>
  <c r="K39" i="23"/>
  <c r="K46" i="23"/>
  <c r="H6" i="16"/>
  <c r="L48" i="35"/>
  <c r="J5" i="35" s="1"/>
  <c r="L41" i="35"/>
  <c r="L43" i="40"/>
  <c r="L50" i="40"/>
  <c r="J6" i="40" s="1"/>
  <c r="K6" i="40" s="1"/>
  <c r="AD22" i="5" s="1"/>
  <c r="L43" i="24"/>
  <c r="L50" i="24"/>
  <c r="J6" i="24" s="1"/>
  <c r="K6" i="24" s="1"/>
  <c r="Y22" i="5" s="1"/>
  <c r="K55" i="40"/>
  <c r="K31" i="31"/>
  <c r="O31" i="31" s="1"/>
  <c r="K41" i="31"/>
  <c r="K48" i="31"/>
  <c r="H5" i="31" s="1"/>
  <c r="K52" i="35"/>
  <c r="L42" i="40"/>
  <c r="L49" i="40"/>
  <c r="P49" i="40" s="1"/>
  <c r="K49" i="31"/>
  <c r="H6" i="31" s="1"/>
  <c r="I6" i="31" s="1"/>
  <c r="K42" i="31"/>
  <c r="K41" i="23"/>
  <c r="K48" i="23"/>
  <c r="K53" i="40"/>
  <c r="L44" i="40"/>
  <c r="L51" i="40"/>
  <c r="J7" i="40" s="1"/>
  <c r="K7" i="40" s="1"/>
  <c r="J52" i="31"/>
  <c r="L42" i="35"/>
  <c r="L49" i="35"/>
  <c r="J6" i="35" s="1"/>
  <c r="K6" i="35" s="1"/>
  <c r="AC22" i="5" s="1"/>
  <c r="L44" i="24"/>
  <c r="L51" i="24"/>
  <c r="J7" i="24" s="1"/>
  <c r="K7" i="24" s="1"/>
  <c r="Y23" i="5" s="1"/>
  <c r="K50" i="16"/>
  <c r="K49" i="22"/>
  <c r="K42" i="22"/>
  <c r="M40" i="35" l="1"/>
  <c r="J6" i="16"/>
  <c r="L31" i="22"/>
  <c r="P31" i="22" s="1"/>
  <c r="P49" i="24"/>
  <c r="M42" i="24"/>
  <c r="F20" i="5"/>
  <c r="AA20" i="5"/>
  <c r="U20" i="5"/>
  <c r="M48" i="24"/>
  <c r="P48" i="24" s="1"/>
  <c r="M41" i="24"/>
  <c r="L4" i="24" s="1"/>
  <c r="L40" i="22"/>
  <c r="L47" i="22"/>
  <c r="P47" i="22" s="1"/>
  <c r="L47" i="31"/>
  <c r="O47" i="31" s="1"/>
  <c r="L40" i="31"/>
  <c r="J4" i="31" s="1"/>
  <c r="M41" i="40"/>
  <c r="L4" i="40" s="1"/>
  <c r="M48" i="40"/>
  <c r="P48" i="40" s="1"/>
  <c r="M42" i="16"/>
  <c r="L4" i="16" s="1"/>
  <c r="M47" i="16"/>
  <c r="P47" i="16" s="1"/>
  <c r="AD20" i="5"/>
  <c r="D20" i="5"/>
  <c r="J4" i="35"/>
  <c r="K4" i="35" s="1"/>
  <c r="Y20" i="5"/>
  <c r="T20" i="5"/>
  <c r="H5" i="23"/>
  <c r="I5" i="23" s="1"/>
  <c r="L38" i="23"/>
  <c r="J4" i="23" s="1"/>
  <c r="L45" i="23"/>
  <c r="O45" i="23" s="1"/>
  <c r="L52" i="16"/>
  <c r="L49" i="16" s="1"/>
  <c r="P49" i="35"/>
  <c r="P50" i="35"/>
  <c r="M43" i="40"/>
  <c r="L6" i="40" s="1"/>
  <c r="M42" i="35"/>
  <c r="L6" i="35" s="1"/>
  <c r="L42" i="22"/>
  <c r="L49" i="22"/>
  <c r="P49" i="22" s="1"/>
  <c r="L54" i="35"/>
  <c r="K51" i="35"/>
  <c r="AD23" i="5"/>
  <c r="J5" i="40"/>
  <c r="L41" i="22"/>
  <c r="L48" i="22"/>
  <c r="P48" i="22" s="1"/>
  <c r="L53" i="40"/>
  <c r="K52" i="22"/>
  <c r="P32" i="40"/>
  <c r="P50" i="24"/>
  <c r="M43" i="24"/>
  <c r="L6" i="24" s="1"/>
  <c r="M43" i="35"/>
  <c r="L7" i="35" s="1"/>
  <c r="K54" i="22"/>
  <c r="J8" i="24"/>
  <c r="O29" i="23"/>
  <c r="K50" i="23"/>
  <c r="M42" i="40"/>
  <c r="K52" i="23"/>
  <c r="J49" i="23"/>
  <c r="K5" i="24"/>
  <c r="Y21" i="5" s="1"/>
  <c r="K52" i="40"/>
  <c r="L55" i="40"/>
  <c r="L46" i="23"/>
  <c r="O46" i="23" s="1"/>
  <c r="L39" i="23"/>
  <c r="P48" i="35"/>
  <c r="M44" i="40"/>
  <c r="L7" i="40" s="1"/>
  <c r="M51" i="40"/>
  <c r="P32" i="24"/>
  <c r="L53" i="24"/>
  <c r="L50" i="22"/>
  <c r="P50" i="22" s="1"/>
  <c r="L43" i="22"/>
  <c r="L41" i="23"/>
  <c r="L48" i="23"/>
  <c r="O48" i="23" s="1"/>
  <c r="M41" i="35"/>
  <c r="L40" i="23"/>
  <c r="L47" i="23"/>
  <c r="O47" i="23" s="1"/>
  <c r="K5" i="35"/>
  <c r="F23" i="5"/>
  <c r="AA23" i="5"/>
  <c r="M51" i="24"/>
  <c r="M44" i="24"/>
  <c r="L7" i="24" s="1"/>
  <c r="F22" i="5"/>
  <c r="AA22" i="5"/>
  <c r="H8" i="31"/>
  <c r="L52" i="35"/>
  <c r="L50" i="31"/>
  <c r="O50" i="31" s="1"/>
  <c r="L43" i="31"/>
  <c r="J7" i="31" s="1"/>
  <c r="L50" i="16"/>
  <c r="I5" i="31"/>
  <c r="L41" i="31"/>
  <c r="L48" i="31"/>
  <c r="K5" i="16"/>
  <c r="P50" i="40"/>
  <c r="M43" i="16"/>
  <c r="M48" i="16"/>
  <c r="C16" i="20"/>
  <c r="L42" i="31"/>
  <c r="J6" i="31" s="1"/>
  <c r="L49" i="31"/>
  <c r="O49" i="31" s="1"/>
  <c r="K54" i="31"/>
  <c r="K52" i="31"/>
  <c r="K52" i="24"/>
  <c r="L55" i="24"/>
  <c r="J8" i="35" l="1"/>
  <c r="J4" i="22"/>
  <c r="K4" i="22" s="1"/>
  <c r="H6" i="23"/>
  <c r="M52" i="16"/>
  <c r="M49" i="16" s="1"/>
  <c r="C5" i="20"/>
  <c r="E13" i="20"/>
  <c r="C13" i="20"/>
  <c r="L4" i="35"/>
  <c r="AC20" i="5"/>
  <c r="C20" i="5"/>
  <c r="K4" i="5"/>
  <c r="T25" i="5" s="1"/>
  <c r="D4" i="5"/>
  <c r="M40" i="22"/>
  <c r="L4" i="22" s="1"/>
  <c r="C21" i="20"/>
  <c r="D5" i="20"/>
  <c r="M43" i="22"/>
  <c r="X20" i="5"/>
  <c r="F4" i="5"/>
  <c r="M4" i="5"/>
  <c r="V25" i="5" s="1"/>
  <c r="M41" i="22"/>
  <c r="J6" i="22"/>
  <c r="K6" i="22" s="1"/>
  <c r="J8" i="40"/>
  <c r="K5" i="40"/>
  <c r="E16" i="20"/>
  <c r="L5" i="24"/>
  <c r="K8" i="24"/>
  <c r="M54" i="35"/>
  <c r="M51" i="35" s="1"/>
  <c r="L51" i="35"/>
  <c r="M55" i="24"/>
  <c r="M52" i="24" s="1"/>
  <c r="L52" i="24"/>
  <c r="M53" i="40"/>
  <c r="P51" i="40"/>
  <c r="M42" i="22"/>
  <c r="P48" i="16"/>
  <c r="M50" i="16"/>
  <c r="K8" i="35"/>
  <c r="AC21" i="5"/>
  <c r="K6" i="16"/>
  <c r="K10" i="16"/>
  <c r="K9" i="16"/>
  <c r="L5" i="16"/>
  <c r="K8" i="16"/>
  <c r="E15" i="20"/>
  <c r="J7" i="22"/>
  <c r="K7" i="22" s="1"/>
  <c r="X23" i="5" s="1"/>
  <c r="B24" i="20"/>
  <c r="I10" i="23"/>
  <c r="I6" i="23"/>
  <c r="I9" i="23"/>
  <c r="I8" i="23"/>
  <c r="U21" i="5" s="1"/>
  <c r="J5" i="23"/>
  <c r="F21" i="5"/>
  <c r="AA21" i="5"/>
  <c r="I8" i="31"/>
  <c r="J5" i="31"/>
  <c r="L52" i="40"/>
  <c r="M55" i="40"/>
  <c r="M52" i="40" s="1"/>
  <c r="F7" i="5"/>
  <c r="M7" i="5"/>
  <c r="V28" i="5" s="1"/>
  <c r="C24" i="20"/>
  <c r="O48" i="31"/>
  <c r="L52" i="31"/>
  <c r="M6" i="5"/>
  <c r="V27" i="5" s="1"/>
  <c r="F6" i="5"/>
  <c r="C23" i="20"/>
  <c r="K51" i="31"/>
  <c r="L54" i="31"/>
  <c r="L51" i="31" s="1"/>
  <c r="K51" i="22"/>
  <c r="L54" i="22"/>
  <c r="B23" i="20"/>
  <c r="P51" i="24"/>
  <c r="M53" i="24"/>
  <c r="L5" i="35"/>
  <c r="L50" i="23"/>
  <c r="K49" i="23"/>
  <c r="L52" i="23"/>
  <c r="L49" i="23" s="1"/>
  <c r="J5" i="22"/>
  <c r="L52" i="22"/>
  <c r="C15" i="20"/>
  <c r="C22" i="5" l="1"/>
  <c r="J6" i="5" s="1"/>
  <c r="X22" i="5"/>
  <c r="B15" i="20" s="1"/>
  <c r="C6" i="5"/>
  <c r="E29" i="20"/>
  <c r="E34" i="20" s="1"/>
  <c r="F5" i="20"/>
  <c r="C29" i="20"/>
  <c r="C34" i="20" s="1"/>
  <c r="B21" i="20"/>
  <c r="L6" i="22"/>
  <c r="B13" i="20"/>
  <c r="J4" i="5"/>
  <c r="S25" i="5" s="1"/>
  <c r="C4" i="5"/>
  <c r="T23" i="5"/>
  <c r="D23" i="5"/>
  <c r="B22" i="20"/>
  <c r="F24" i="20"/>
  <c r="L7" i="22"/>
  <c r="C23" i="5"/>
  <c r="J7" i="5" s="1"/>
  <c r="C14" i="20"/>
  <c r="E32" i="20"/>
  <c r="E37" i="20" s="1"/>
  <c r="U23" i="5"/>
  <c r="I11" i="23"/>
  <c r="K5" i="22"/>
  <c r="J8" i="22"/>
  <c r="E14" i="20"/>
  <c r="T21" i="5"/>
  <c r="K11" i="16"/>
  <c r="K8" i="40"/>
  <c r="AD21" i="5"/>
  <c r="L5" i="40"/>
  <c r="D21" i="5"/>
  <c r="U22" i="5"/>
  <c r="F23" i="20"/>
  <c r="E31" i="20"/>
  <c r="E36" i="20" s="1"/>
  <c r="L51" i="22"/>
  <c r="M54" i="22"/>
  <c r="M51" i="22" s="1"/>
  <c r="F5" i="5"/>
  <c r="R5" i="5" s="1"/>
  <c r="M5" i="5"/>
  <c r="V26" i="5" s="1"/>
  <c r="T22" i="5"/>
  <c r="D22" i="5"/>
  <c r="F21" i="20" l="1"/>
  <c r="S27" i="5"/>
  <c r="B29" i="20"/>
  <c r="S28" i="5"/>
  <c r="C7" i="5"/>
  <c r="C22" i="20"/>
  <c r="B16" i="20"/>
  <c r="K5" i="5"/>
  <c r="T26" i="5" s="1"/>
  <c r="D5" i="5"/>
  <c r="D8" i="20"/>
  <c r="B31" i="20"/>
  <c r="C6" i="20"/>
  <c r="R6" i="5"/>
  <c r="R7" i="5"/>
  <c r="E30" i="20"/>
  <c r="E35" i="20" s="1"/>
  <c r="K7" i="5"/>
  <c r="T28" i="5" s="1"/>
  <c r="D7" i="5"/>
  <c r="C7" i="20"/>
  <c r="D6" i="20"/>
  <c r="K6" i="5"/>
  <c r="T27" i="5" s="1"/>
  <c r="D6" i="5"/>
  <c r="D7" i="20"/>
  <c r="X21" i="5"/>
  <c r="L5" i="22"/>
  <c r="K8" i="22"/>
  <c r="C21" i="5"/>
  <c r="J5" i="5" s="1"/>
  <c r="C8" i="20"/>
  <c r="F22" i="20" l="1"/>
  <c r="B34" i="20"/>
  <c r="P7" i="5"/>
  <c r="B36" i="20"/>
  <c r="F8" i="20"/>
  <c r="C32" i="20"/>
  <c r="C37" i="20" s="1"/>
  <c r="B32" i="20"/>
  <c r="P6" i="5"/>
  <c r="F6" i="20"/>
  <c r="C30" i="20"/>
  <c r="C35" i="20" s="1"/>
  <c r="S26" i="5"/>
  <c r="C5" i="5"/>
  <c r="O7" i="5" s="1"/>
  <c r="P5" i="5"/>
  <c r="B14" i="20"/>
  <c r="F7" i="20"/>
  <c r="C31" i="20"/>
  <c r="C36" i="20" s="1"/>
  <c r="O5" i="5" l="1"/>
  <c r="O6" i="5"/>
  <c r="B37" i="20"/>
  <c r="B30" i="20"/>
  <c r="B35" i="20" l="1"/>
  <c r="C91" i="28" l="1"/>
  <c r="C85" i="28"/>
  <c r="D85" i="28" l="1"/>
  <c r="C90" i="28"/>
  <c r="D91" i="28" l="1"/>
  <c r="D90" i="28"/>
  <c r="C89" i="28"/>
  <c r="C92" i="28" l="1"/>
  <c r="C86" i="28"/>
  <c r="D89" i="28"/>
  <c r="D86" i="28" l="1"/>
  <c r="D87" i="28" s="1"/>
  <c r="D92" i="28"/>
  <c r="C87" i="28"/>
  <c r="C74" i="28" l="1"/>
  <c r="C80" i="28"/>
  <c r="C79" i="28"/>
  <c r="C96" i="28"/>
  <c r="D74" i="28" l="1"/>
  <c r="C102" i="28"/>
  <c r="D80" i="28"/>
  <c r="C101" i="28"/>
  <c r="D79" i="28" l="1"/>
  <c r="D96" i="28"/>
  <c r="D101" i="28"/>
  <c r="D8" i="28" l="1"/>
  <c r="D102" i="28"/>
  <c r="D13" i="28"/>
  <c r="C100" i="28"/>
  <c r="C103" i="28" l="1"/>
  <c r="C97" i="28" s="1"/>
  <c r="D14" i="28"/>
  <c r="D100" i="28"/>
  <c r="D103" i="28" s="1"/>
  <c r="D97" i="28" s="1"/>
  <c r="D98" i="28" s="1"/>
  <c r="D78" i="28"/>
  <c r="C78" i="28"/>
  <c r="C75" i="28" l="1"/>
  <c r="C81" i="28"/>
  <c r="D12" i="28"/>
  <c r="D15" i="28" s="1"/>
  <c r="D9" i="28" s="1"/>
  <c r="D10" i="28" s="1"/>
  <c r="D75" i="28"/>
  <c r="D76" i="28" s="1"/>
  <c r="D81" i="28"/>
  <c r="C98" i="28"/>
  <c r="C76" i="28" l="1"/>
  <c r="C107" i="28" l="1"/>
  <c r="C112" i="28" l="1"/>
  <c r="C113" i="28"/>
  <c r="C8" i="28"/>
  <c r="C14" i="28" l="1"/>
  <c r="C13" i="28"/>
  <c r="C111" i="28" l="1"/>
  <c r="E74" i="28"/>
  <c r="C114" i="28" l="1"/>
  <c r="C108" i="28" s="1"/>
  <c r="C12" i="28"/>
  <c r="F74" i="28"/>
  <c r="G74" i="28" l="1"/>
  <c r="C15" i="28"/>
  <c r="C9" i="28" s="1"/>
  <c r="C109" i="28"/>
  <c r="C10" i="28" l="1"/>
  <c r="E79" i="28"/>
  <c r="E80" i="28"/>
  <c r="F79" i="28" l="1"/>
  <c r="F80" i="28"/>
  <c r="G80" i="28" l="1"/>
  <c r="G79" i="28"/>
  <c r="E78" i="28" l="1"/>
  <c r="E85" i="28" l="1"/>
  <c r="E75" i="28"/>
  <c r="E81" i="28"/>
  <c r="F78" i="28"/>
  <c r="G78" i="28" l="1"/>
  <c r="F81" i="28"/>
  <c r="F75" i="28"/>
  <c r="F76" i="28" s="1"/>
  <c r="E76" i="28"/>
  <c r="F85" i="28"/>
  <c r="G85" i="28" l="1"/>
  <c r="F21" i="29"/>
  <c r="E21" i="29"/>
  <c r="G21" i="29"/>
  <c r="G81" i="28"/>
  <c r="G75" i="28"/>
  <c r="G76" i="28" s="1"/>
  <c r="E90" i="28"/>
  <c r="E91" i="28"/>
  <c r="G29" i="29" l="1"/>
  <c r="F90" i="28"/>
  <c r="E29" i="29"/>
  <c r="F91" i="28"/>
  <c r="F29" i="29"/>
  <c r="G91" i="28" l="1"/>
  <c r="G24" i="29"/>
  <c r="G32" i="29" s="1"/>
  <c r="E24" i="29"/>
  <c r="F24" i="29"/>
  <c r="F32" i="29" s="1"/>
  <c r="E35" i="29"/>
  <c r="E42" i="29"/>
  <c r="G90" i="28"/>
  <c r="E23" i="29"/>
  <c r="G23" i="29"/>
  <c r="G31" i="29" s="1"/>
  <c r="F23" i="29"/>
  <c r="F31" i="29" s="1"/>
  <c r="F35" i="29" l="1"/>
  <c r="F42" i="29"/>
  <c r="E31" i="29"/>
  <c r="E32" i="29"/>
  <c r="E89" i="28"/>
  <c r="E38" i="29" l="1"/>
  <c r="E45" i="29"/>
  <c r="E92" i="28"/>
  <c r="E86" i="28"/>
  <c r="F89" i="28"/>
  <c r="E37" i="29"/>
  <c r="E44" i="29"/>
  <c r="G35" i="29"/>
  <c r="G42" i="29"/>
  <c r="F44" i="29" l="1"/>
  <c r="F37" i="29"/>
  <c r="F92" i="28"/>
  <c r="G89" i="28"/>
  <c r="G22" i="29"/>
  <c r="E22" i="29"/>
  <c r="F22" i="29"/>
  <c r="E87" i="28"/>
  <c r="F86" i="28"/>
  <c r="E96" i="28"/>
  <c r="F38" i="29"/>
  <c r="F45" i="29"/>
  <c r="F30" i="29" l="1"/>
  <c r="F12" i="29"/>
  <c r="E30" i="29"/>
  <c r="E12" i="29"/>
  <c r="G30" i="29"/>
  <c r="G12" i="29"/>
  <c r="G92" i="28"/>
  <c r="E101" i="28"/>
  <c r="G37" i="29"/>
  <c r="G44" i="29"/>
  <c r="G38" i="29"/>
  <c r="G45" i="29"/>
  <c r="F96" i="28"/>
  <c r="G86" i="28"/>
  <c r="G87" i="28" s="1"/>
  <c r="F87" i="28"/>
  <c r="F101" i="28" l="1"/>
  <c r="G96" i="28"/>
  <c r="H21" i="29"/>
  <c r="L21" i="29"/>
  <c r="K21" i="29"/>
  <c r="J21" i="29"/>
  <c r="I21" i="29"/>
  <c r="E36" i="29"/>
  <c r="E43" i="29"/>
  <c r="E47" i="29" s="1"/>
  <c r="I29" i="29" l="1"/>
  <c r="E102" i="28"/>
  <c r="J29" i="29"/>
  <c r="L29" i="29"/>
  <c r="H29" i="29"/>
  <c r="F4" i="29"/>
  <c r="P21" i="29"/>
  <c r="K29" i="29"/>
  <c r="F36" i="29"/>
  <c r="F43" i="29"/>
  <c r="F47" i="29" s="1"/>
  <c r="G101" i="28"/>
  <c r="J23" i="29"/>
  <c r="J31" i="29" s="1"/>
  <c r="I23" i="29"/>
  <c r="I31" i="29" s="1"/>
  <c r="K23" i="29"/>
  <c r="L23" i="29"/>
  <c r="L31" i="29" s="1"/>
  <c r="H23" i="29"/>
  <c r="E49" i="29"/>
  <c r="G4" i="29" l="1"/>
  <c r="G43" i="29"/>
  <c r="G47" i="29" s="1"/>
  <c r="G36" i="29"/>
  <c r="H35" i="29"/>
  <c r="H42" i="29"/>
  <c r="E46" i="29"/>
  <c r="F49" i="29"/>
  <c r="F102" i="28"/>
  <c r="H31" i="29"/>
  <c r="F6" i="29"/>
  <c r="G6" i="29" s="1"/>
  <c r="P23" i="29"/>
  <c r="K31" i="29"/>
  <c r="G102" i="28" l="1"/>
  <c r="J24" i="29"/>
  <c r="J32" i="29" s="1"/>
  <c r="H24" i="29"/>
  <c r="I24" i="29"/>
  <c r="I32" i="29" s="1"/>
  <c r="L24" i="29"/>
  <c r="L32" i="29" s="1"/>
  <c r="K24" i="29"/>
  <c r="F46" i="29"/>
  <c r="G49" i="29"/>
  <c r="G46" i="29" s="1"/>
  <c r="I35" i="29"/>
  <c r="I42" i="29"/>
  <c r="E100" i="28"/>
  <c r="H44" i="29"/>
  <c r="H37" i="29"/>
  <c r="J35" i="29" l="1"/>
  <c r="J42" i="29"/>
  <c r="E107" i="28"/>
  <c r="P24" i="29"/>
  <c r="K32" i="29"/>
  <c r="I37" i="29"/>
  <c r="I44" i="29"/>
  <c r="H32" i="29"/>
  <c r="F7" i="29"/>
  <c r="G7" i="29" s="1"/>
  <c r="E103" i="28"/>
  <c r="E97" i="28" s="1"/>
  <c r="F100" i="28"/>
  <c r="F97" i="28" l="1"/>
  <c r="E98" i="28"/>
  <c r="J37" i="29"/>
  <c r="J44" i="29"/>
  <c r="F107" i="28"/>
  <c r="E8" i="28"/>
  <c r="H38" i="29"/>
  <c r="H45" i="29"/>
  <c r="G100" i="28"/>
  <c r="F103" i="28"/>
  <c r="K22" i="29"/>
  <c r="H22" i="29"/>
  <c r="I22" i="29"/>
  <c r="J22" i="29"/>
  <c r="L22" i="29"/>
  <c r="K35" i="29"/>
  <c r="K42" i="29"/>
  <c r="F8" i="28" l="1"/>
  <c r="L35" i="29"/>
  <c r="L42" i="29"/>
  <c r="I4" i="29" s="1"/>
  <c r="G107" i="28"/>
  <c r="P22" i="29"/>
  <c r="K30" i="29"/>
  <c r="K12" i="29"/>
  <c r="I45" i="29"/>
  <c r="I38" i="29"/>
  <c r="J30" i="29"/>
  <c r="J12" i="29"/>
  <c r="K44" i="29"/>
  <c r="K37" i="29"/>
  <c r="I30" i="29"/>
  <c r="I12" i="29"/>
  <c r="G103" i="28"/>
  <c r="L30" i="29"/>
  <c r="L12" i="29"/>
  <c r="H30" i="29"/>
  <c r="F5" i="29"/>
  <c r="H12" i="29"/>
  <c r="G97" i="28"/>
  <c r="G98" i="28" s="1"/>
  <c r="F98" i="28"/>
  <c r="E113" i="28"/>
  <c r="E112" i="28"/>
  <c r="J45" i="29" l="1"/>
  <c r="J38" i="29"/>
  <c r="F112" i="28"/>
  <c r="G112" i="28" s="1"/>
  <c r="E13" i="28"/>
  <c r="F13" i="28" s="1"/>
  <c r="P12" i="29"/>
  <c r="G8" i="28"/>
  <c r="J4" i="29"/>
  <c r="L37" i="29"/>
  <c r="L44" i="29"/>
  <c r="I6" i="29" s="1"/>
  <c r="J6" i="29" s="1"/>
  <c r="M35" i="29"/>
  <c r="M42" i="29"/>
  <c r="H43" i="29"/>
  <c r="H47" i="29" s="1"/>
  <c r="H36" i="29"/>
  <c r="F113" i="28"/>
  <c r="G113" i="28" s="1"/>
  <c r="E14" i="28"/>
  <c r="F14" i="28" s="1"/>
  <c r="G5" i="29"/>
  <c r="F8" i="29"/>
  <c r="H49" i="29" l="1"/>
  <c r="H46" i="29" s="1"/>
  <c r="E12" i="5"/>
  <c r="Z12" i="5"/>
  <c r="M37" i="29"/>
  <c r="K6" i="29" s="1"/>
  <c r="M44" i="29"/>
  <c r="P44" i="29" s="1"/>
  <c r="G8" i="29"/>
  <c r="Z20" i="5"/>
  <c r="E20" i="5"/>
  <c r="I49" i="29"/>
  <c r="P42" i="29"/>
  <c r="K4" i="29"/>
  <c r="K38" i="29"/>
  <c r="K45" i="29"/>
  <c r="I36" i="29"/>
  <c r="I43" i="29"/>
  <c r="I47" i="29" s="1"/>
  <c r="Z22" i="5"/>
  <c r="E22" i="5"/>
  <c r="I46" i="29" l="1"/>
  <c r="J36" i="29"/>
  <c r="J43" i="29"/>
  <c r="J47" i="29" s="1"/>
  <c r="D13" i="20"/>
  <c r="AG12" i="5"/>
  <c r="L4" i="5"/>
  <c r="U25" i="5" s="1"/>
  <c r="E4" i="5"/>
  <c r="H4" i="5" s="1"/>
  <c r="L45" i="29"/>
  <c r="I7" i="29" s="1"/>
  <c r="J7" i="29" s="1"/>
  <c r="L38" i="29"/>
  <c r="E111" i="28"/>
  <c r="E114" i="28" l="1"/>
  <c r="E108" i="28" s="1"/>
  <c r="F111" i="28"/>
  <c r="E12" i="28"/>
  <c r="D29" i="20"/>
  <c r="F13" i="20"/>
  <c r="N4" i="5"/>
  <c r="K43" i="29"/>
  <c r="K36" i="29"/>
  <c r="K26" i="29"/>
  <c r="J49" i="29"/>
  <c r="M45" i="29"/>
  <c r="P45" i="29" s="1"/>
  <c r="M38" i="29"/>
  <c r="K7" i="29" s="1"/>
  <c r="Z23" i="5"/>
  <c r="E23" i="5"/>
  <c r="L36" i="29" l="1"/>
  <c r="L43" i="29"/>
  <c r="I5" i="29" s="1"/>
  <c r="L26" i="29"/>
  <c r="D34" i="20"/>
  <c r="F29" i="20"/>
  <c r="G29" i="20" s="1"/>
  <c r="K47" i="29"/>
  <c r="P26" i="29"/>
  <c r="E15" i="28"/>
  <c r="E9" i="28" s="1"/>
  <c r="F12" i="28"/>
  <c r="F15" i="28" s="1"/>
  <c r="J46" i="29"/>
  <c r="K49" i="29"/>
  <c r="F114" i="28"/>
  <c r="G111" i="28"/>
  <c r="E109" i="28"/>
  <c r="F108" i="28"/>
  <c r="G108" i="28" l="1"/>
  <c r="G109" i="28" s="1"/>
  <c r="F109" i="28"/>
  <c r="L47" i="29"/>
  <c r="I8" i="29"/>
  <c r="J5" i="29"/>
  <c r="K46" i="29"/>
  <c r="L49" i="29"/>
  <c r="M36" i="29"/>
  <c r="M43" i="29"/>
  <c r="F9" i="28"/>
  <c r="F10" i="28" s="1"/>
  <c r="E10" i="28"/>
  <c r="G114" i="28"/>
  <c r="G12" i="28"/>
  <c r="P43" i="29" l="1"/>
  <c r="M47" i="29"/>
  <c r="L46" i="29"/>
  <c r="M49" i="29"/>
  <c r="M46" i="29" s="1"/>
  <c r="Z21" i="5"/>
  <c r="K5" i="29"/>
  <c r="E21" i="5"/>
  <c r="J8" i="29"/>
  <c r="G13" i="28"/>
  <c r="G14" i="28"/>
  <c r="E13" i="5"/>
  <c r="Z13" i="5"/>
  <c r="G15" i="28" l="1"/>
  <c r="G9" i="28" s="1"/>
  <c r="G10" i="28" s="1"/>
  <c r="E5" i="5"/>
  <c r="L5" i="5"/>
  <c r="U26" i="5" s="1"/>
  <c r="E15" i="5"/>
  <c r="Z15" i="5"/>
  <c r="E14" i="5"/>
  <c r="Z14" i="5"/>
  <c r="D14" i="20"/>
  <c r="AG13" i="5"/>
  <c r="D15" i="20" l="1"/>
  <c r="AG14" i="5"/>
  <c r="L6" i="5"/>
  <c r="U27" i="5" s="1"/>
  <c r="E6" i="5"/>
  <c r="E7" i="5"/>
  <c r="L7" i="5"/>
  <c r="U28" i="5" s="1"/>
  <c r="D16" i="20"/>
  <c r="AG15" i="5"/>
  <c r="H5" i="5"/>
  <c r="D30" i="20"/>
  <c r="F14" i="20"/>
  <c r="H6" i="5" l="1"/>
  <c r="Q6" i="5"/>
  <c r="F16" i="20"/>
  <c r="D32" i="20"/>
  <c r="D35" i="20"/>
  <c r="F30" i="20"/>
  <c r="G30" i="20" s="1"/>
  <c r="N5" i="5"/>
  <c r="F15" i="20"/>
  <c r="D31" i="20"/>
  <c r="H7" i="5"/>
  <c r="Q7" i="5"/>
  <c r="Q5" i="5"/>
  <c r="D37" i="20" l="1"/>
  <c r="F32" i="20"/>
  <c r="G32" i="20" s="1"/>
  <c r="D36" i="20"/>
  <c r="F31" i="20"/>
  <c r="G31" i="20" s="1"/>
  <c r="N7" i="5"/>
  <c r="N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Allison Stewart</author>
  </authors>
  <commentList>
    <comment ref="A25" authorId="0" shapeId="0" xr:uid="{63D4616F-B640-4A84-977A-B81BB139C9EA}">
      <text>
        <r>
          <rPr>
            <b/>
            <sz val="9"/>
            <color indexed="81"/>
            <rFont val="Tahoma"/>
            <family val="2"/>
          </rPr>
          <t>Allison Stewart:</t>
        </r>
        <r>
          <rPr>
            <sz val="9"/>
            <color indexed="81"/>
            <rFont val="Tahoma"/>
            <family val="2"/>
          </rPr>
          <t xml:space="preserve">
PPC + PCR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Allison Stewart</author>
  </authors>
  <commentList>
    <comment ref="A25" authorId="0" shapeId="0" xr:uid="{0E527C46-0C18-4A6E-9ABE-1F87E393FC81}">
      <text>
        <r>
          <rPr>
            <b/>
            <sz val="9"/>
            <color indexed="81"/>
            <rFont val="Tahoma"/>
            <family val="2"/>
          </rPr>
          <t>Allison Stewart:</t>
        </r>
        <r>
          <rPr>
            <sz val="9"/>
            <color indexed="81"/>
            <rFont val="Tahoma"/>
            <family val="2"/>
          </rPr>
          <t xml:space="preserve">
PPC + PCR</t>
        </r>
      </text>
    </comment>
  </commentList>
</comments>
</file>

<file path=xl/sharedStrings.xml><?xml version="1.0" encoding="utf-8"?>
<sst xmlns="http://schemas.openxmlformats.org/spreadsheetml/2006/main" count="955" uniqueCount="300">
  <si>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</si>
  <si>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</si>
  <si>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</si>
  <si>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</si>
  <si>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</si>
  <si>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</si>
  <si>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</si>
  <si>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</si>
  <si>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</si>
  <si>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</si>
  <si>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</si>
  <si>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</si>
  <si>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</si>
  <si>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</si>
  <si>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</si>
  <si>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</si>
  <si>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</si>
  <si>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</si>
  <si>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</si>
  <si>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</si>
  <si>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</si>
  <si>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</si>
  <si>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</si>
  <si>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</si>
  <si>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</si>
  <si>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DSIM($/kWh)</t>
  </si>
  <si>
    <t>2. PTD</t>
  </si>
  <si>
    <t xml:space="preserve">INPUTS </t>
  </si>
  <si>
    <t>ACTUAL</t>
  </si>
  <si>
    <t>3. Actual/Forecasted Revenues - Program Costs Only</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</si>
  <si>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</si>
  <si>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</si>
  <si>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</si>
  <si>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</si>
  <si>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</si>
  <si>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</si>
  <si>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</si>
  <si>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</si>
  <si>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</si>
  <si>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</si>
  <si>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</si>
  <si>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</si>
  <si>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</si>
  <si>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</si>
  <si>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</si>
  <si>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</si>
  <si>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</si>
  <si>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</si>
  <si>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</si>
  <si>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</si>
  <si>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</si>
  <si>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</si>
  <si>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</si>
  <si>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</si>
  <si>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Throughput Disincentive TD Reconciliation (TDR) Calculation</t>
  </si>
  <si>
    <t>2. Actual Revenues - TD Only</t>
  </si>
  <si>
    <t>1. Actual/Forecasted TD</t>
  </si>
  <si>
    <t>1. Forecasted kWh Sales Impact</t>
  </si>
  <si>
    <t>3. kWh Sales Impact</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</si>
  <si>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</si>
  <si>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</si>
  <si>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</si>
  <si>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</si>
  <si>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</si>
  <si>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</si>
  <si>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</si>
  <si>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</si>
  <si>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</si>
  <si>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</si>
  <si>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</si>
  <si>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</si>
  <si>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</si>
  <si>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</si>
  <si>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</si>
  <si>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</si>
  <si>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</si>
  <si>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</si>
  <si>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</si>
  <si>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</si>
  <si>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</si>
  <si>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</si>
  <si>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</si>
  <si>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</si>
  <si>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</si>
  <si>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</si>
  <si>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</si>
  <si>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</si>
  <si>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</si>
  <si>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</si>
  <si>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</si>
  <si>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</si>
  <si>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</si>
  <si>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</si>
  <si>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</si>
  <si>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</si>
  <si>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</si>
  <si>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</si>
  <si>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Total Non-Residential</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</si>
  <si>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</si>
  <si>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</si>
  <si>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</si>
  <si>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</si>
  <si>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</si>
  <si>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</si>
  <si>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</si>
  <si>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</si>
  <si>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</si>
  <si>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</si>
  <si>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</si>
  <si>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</si>
  <si>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</si>
  <si>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</si>
  <si>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</si>
  <si>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</si>
  <si>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</si>
  <si>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</si>
  <si>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</si>
  <si>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</si>
  <si>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</si>
  <si>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</si>
  <si>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</si>
  <si>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</si>
  <si>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</si>
  <si>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</si>
  <si>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</si>
  <si>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</si>
  <si>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</si>
  <si>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</si>
  <si>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</si>
  <si>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</si>
  <si>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</si>
  <si>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</si>
  <si>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</si>
  <si>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</si>
  <si>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</si>
  <si>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</si>
  <si>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LGS</t>
  </si>
  <si>
    <t>LPS</t>
  </si>
  <si>
    <t>Cycle 2 - Total</t>
  </si>
  <si>
    <t>5. Total Earnings Opportunity plus Carrying Costs - Source: Sum of Columns 1. through 4.</t>
  </si>
  <si>
    <t>1.  Actual monthly EO - Source: Sum of Line 3.
    Forecasted monthly EO - Source: Sum of Line 3.</t>
  </si>
  <si>
    <t>Cycle 3 Earnings Opportunity (EO) Calculation</t>
  </si>
  <si>
    <t>Cycle 3 - Total</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</si>
  <si>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</si>
  <si>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</si>
  <si>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</si>
  <si>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</si>
  <si>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3 - Program Year 1 (including EO TD Adjustments through October 2021) (Amortize February 2022-January 2023)</t>
  </si>
  <si>
    <t>Cycle 2 - EO TD Adjustments Carrying Costs May - October 2021 (Amortize February 2022-January 2024)</t>
  </si>
  <si>
    <t>Cycle 3 Earnings Opportunity Reconciliation (EOR) Calculation</t>
  </si>
  <si>
    <t>Cycle 2 - EO TD Adjustments Carrying Costs November 2021 - April 2022 (Amortize August 2022-July 2024)</t>
  </si>
  <si>
    <t>1. &amp; 3. Actual monthly Ordered Adjustments - Source: None</t>
  </si>
  <si>
    <t>Cycle 3 - Program Year 1 EO TD Adjustments November 2021 - April 2022 (Amortize August 2022 - July 2023)</t>
  </si>
  <si>
    <t>Cycle 3 Ordered Adjustment (OA) Calculation</t>
  </si>
  <si>
    <t>1. Ordered Adjustment - Program Costs</t>
  </si>
  <si>
    <t>2. Ordered Adjustment - Throughput Disincentive</t>
  </si>
  <si>
    <t>3. Carrying Costs on OA</t>
  </si>
  <si>
    <t>Cycle 3 Ordered Adjustments Reconciliation (OAR) Calculation</t>
  </si>
  <si>
    <t>Cycle 3 - Program Year 1 EO TD Adjustments May 2022 - November 2022 (Amortize February 2023 - January 2024)</t>
  </si>
  <si>
    <t>Allocation</t>
  </si>
  <si>
    <t>Cycle 2 - EO TD Adjustments Carrying Costs May 2022 - November 2022 (Amortize February 2023-January 2025)</t>
  </si>
  <si>
    <t>Cycle 2 - EO TD Adjustments December 2022 (Amortize August 2023-July 2025)</t>
  </si>
  <si>
    <t>Cycle 3 - Program Year 2 (including EO TD Adjustments through December 2022) (Amortize August 2023-July 2024)</t>
  </si>
  <si>
    <t>7. Cycle 2 kWh Participation - Source: Missouri West Cycle 2 Monthly TD Calc 122022 01092023.xlsx</t>
  </si>
  <si>
    <t>8. Cycle 2 kWh Participation - Source: Missouri West Cycle 2 Monthly TD Calc 122022 01092023.xlsx</t>
  </si>
  <si>
    <t>NOA = Net Ordered Adjustment for the upcoming EP plus the succeeding EP (OA + OAR)</t>
  </si>
  <si>
    <t xml:space="preserve">PE = Projected Energy, in kWh to be delivered during the upcoming RP plus the succeeding RP </t>
  </si>
  <si>
    <t>3. Actual/Forecasted EO Amortization - Source:  EO Cycle 2 tab column G divided by remaining months on EO Cycle 2 tab.</t>
  </si>
  <si>
    <t>3. Actual/Forecasted EO Amortization - Source:  EO Cycle 3 tab column G divided by remaining months on EO Cycle 3 tab.</t>
  </si>
  <si>
    <t>Tab</t>
  </si>
  <si>
    <t>Summary Description</t>
  </si>
  <si>
    <t>Summary of Sources</t>
  </si>
  <si>
    <t>Tariff Tables</t>
  </si>
  <si>
    <t>Program Costs, Throughput Disincentive, Earnings Opportunity and Ordered Adjustments from subsidiary tabs listed below</t>
  </si>
  <si>
    <t>DSIM Cycle Tables</t>
  </si>
  <si>
    <t>Analysis of DSIM rates by Customer Class by MEEIA Cycle and Cost Components</t>
  </si>
  <si>
    <t>Tariff Tables tab</t>
  </si>
  <si>
    <t>PCR Cycle 3</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</si>
  <si>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</si>
  <si>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PTD Cycle 3</t>
  </si>
  <si>
    <t>TDR Cycle 2</t>
  </si>
  <si>
    <t>TDR Cycle 3</t>
  </si>
  <si>
    <t>EO Cycle 2</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</si>
  <si>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</si>
  <si>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EO Cycle 3</t>
  </si>
  <si>
    <t>EOR Cycle 2</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</si>
  <si>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</si>
  <si>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EOR Cycle 3</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</si>
  <si>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</si>
  <si>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OA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</si>
  <si>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</si>
  <si>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OAR Cycle 3</t>
  </si>
  <si>
    <t>1. Ordered Adjustment - Program Costs - Source: None</t>
  </si>
  <si>
    <t>2. Ordered Adjustment - Throughput Disincentive - Source: None</t>
  </si>
  <si>
    <t>3. Carrying Costs on OA - Source: None</t>
  </si>
  <si>
    <t>Check</t>
  </si>
  <si>
    <t>For next rider filing, reversal of Forecast to input in column C</t>
  </si>
  <si>
    <t>1. &amp; 4. Actual monthly TD - Source: None, TD reset effective December 2022
    Forecasted monthly TD - Source: None</t>
  </si>
  <si>
    <t>3. Actual kWh Sales Impact - Source:  None, TD reset effective December 2022
    Forecasted kWh Sales Impact - Source: None</t>
  </si>
  <si>
    <t>1. Total Earnings Opportunity - Source: Missouri West EO Calculation PY1-PY3 v2.xlsx, Missouri West EO Calculation PY4.xlsx; final amounts included in 6/1/2023 filing</t>
  </si>
  <si>
    <t>2. EO TD Ex Post Gross Adjustment -  Source: TD Model Missouri West PY1-3 122022.xlsx, TD Model Missouri West PY4 122022.xlsx; final amounts included in 6/1/2023 filing</t>
  </si>
  <si>
    <t>3. EO TD NTG Adjustment -  Source: TD Model Missouri West PY1-3 122022.xlsx, TD Model Missouri West PY4 122022.xlsx; final amounts included in 6/1/2023 filing</t>
  </si>
  <si>
    <t>4. Carrying Costs @ AFUDC Rate -  Source: TD Model Missouri West PY1-3 122022.xlsx, TD Model Missouri West PY4 122022.xlsx; final amounts included in 6/1/2023 filing</t>
  </si>
  <si>
    <t>Cycle 3 - Program Year 3 (including EO TD Adjustments through October 2023) (Amortize February 2024 -January 2025)</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</si>
  <si>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</si>
  <si>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Cycle 3 - Program Year 1 EO TD Adjustments December 2022 (Amortize February 2024 - January 2025)</t>
  </si>
  <si>
    <t>PPC-cycle 4</t>
  </si>
  <si>
    <t>PTD-cycle 4</t>
  </si>
  <si>
    <t>EO-cycle 4</t>
  </si>
  <si>
    <t>OA-cycle 4</t>
  </si>
  <si>
    <t>PCR-cycle 4</t>
  </si>
  <si>
    <t>TDR-cycle 4</t>
  </si>
  <si>
    <t>EOR-cycle 4</t>
  </si>
  <si>
    <t>OAR-cycle 4</t>
  </si>
  <si>
    <t>Cycle 4</t>
  </si>
  <si>
    <t>PCR Cycle 4</t>
  </si>
  <si>
    <t>Cycle 4 Program Costs Reconciliation (PCR) Calculation</t>
  </si>
  <si>
    <t>Cycle 3 - Program Year 3 EO TD Adjustments November 2023 through April 2024 (Amortize August 2024 - July 2025)</t>
  </si>
  <si>
    <t>Cycle 3 - Program Year 4 (Amortize August 2024 -July 2025)</t>
  </si>
  <si>
    <t>4. Total monthly interest - Source: calculated</t>
  </si>
  <si>
    <t>5. Total monthly interest - Source: calculated</t>
  </si>
  <si>
    <t>PPC Cycle 4</t>
  </si>
  <si>
    <t>The Company creates a forecast of program costs and throughput disincentive, among other items, based on modeled assumptions used for the MEEIA 4 filing (EO-2023-0370). Program costs by customer class is summarized from that forecast. Projected billed kWh sales by customer class (net of opt outs) are extracted from the Company budget.</t>
  </si>
  <si>
    <t>PTD Cycle 4</t>
  </si>
  <si>
    <t>Cycle 3 - Program Year 3 EO TD Adjustments May 2024 through October 2024 (Amortize February 2025 - January 2026)</t>
  </si>
  <si>
    <t>Cycle 4 Earnings Opportunity (EO) Calculation</t>
  </si>
  <si>
    <t>Cycle 4 - Total</t>
  </si>
  <si>
    <t xml:space="preserve">2. EO TD Ex Post Gross Adjustment -  Source: </t>
  </si>
  <si>
    <t xml:space="preserve">3. EO TD NTG Adjustment -  Source: </t>
  </si>
  <si>
    <t xml:space="preserve">4. Carrying Costs @ AFUDC Rate -  Source: </t>
  </si>
  <si>
    <t>2. Forecasted Throughput Disincentive -Sum of 3.</t>
  </si>
  <si>
    <t>Cycle 4 Projected Throughput Disincentive (PTD) TD Calculation</t>
  </si>
  <si>
    <t>2. Forecasted program costs by customer class - Source: sum of 3.</t>
  </si>
  <si>
    <t>Cycle 4 Projected Program Costs (PPC) Calculation</t>
  </si>
  <si>
    <t>Projections for Cycle 3 July 2025 - June 2026 DSIM</t>
  </si>
  <si>
    <t>Calculation of DSIM Rates by Customer Class Effective August 1, 2025 through July 31, 2026</t>
  </si>
  <si>
    <t>Projected Program Costs for Cycle 4 for the period July 2025 through June 2026 and projected billed kWh sales for the period August 2025 through July 2026</t>
  </si>
  <si>
    <t>Program Cost Reconciliation for Cycle 3 for the period November 2024 through April 2025 compares the DSIM revenues billed for the Cycle 3 cost components to actual program costs incurred plus the carryforward of under or over recovered Cycle 3 Program Costs.</t>
  </si>
  <si>
    <t>Program Cost Reconciliation for Cycle 4 for the period November 2024 through April 2025 compares the DSIM revenues billed for the Cycle 4 cost components to actual planning and program costs incurred plus the carryforward of under or over recovered Cycle 4 planning costs.</t>
  </si>
  <si>
    <t>Projected Throughput Disincentive for Cycle 3 for the period July 2025 through June 2026</t>
  </si>
  <si>
    <t>Projected Throughput Disincentive for Cycle 4 for the period July 2025 through June 2026</t>
  </si>
  <si>
    <t xml:space="preserve">The Company updates a forecast of program costs and throughput disincentive, among other items, based on program implementer forecast, when available, or modeled assumptions used for the MEEIA 4 filing (EO-2023-0370). Throughput Disincentive by customer class is summarized from that forecast. </t>
  </si>
  <si>
    <t>Throughput Disincentive Reconciliation for Cycle 3 for the period November 2024 through April 2025 compares the DSIM revenues billed for the Cycle 3 cost components to calculated Throughput Disincentive for Cycle 3 and the carryforward of under or over recovered Cycle 3 Throughput Disincentive.</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</si>
  <si>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</si>
  <si>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Earnings Opportunity Cycle 2, including EO TD Ex Post Gross and Net to Gross Adjustments (EO TD Adjustments) for the period July 2025 through June 2026</t>
  </si>
  <si>
    <t>Earnings Opportunity Cycle 3, including EO TD Ex Post Gross and Net to Gross Adjustments (EO TD Adjustments) for the period July 2025 through June 2026</t>
  </si>
  <si>
    <t>EO Cycle 4</t>
  </si>
  <si>
    <t>Earnings Opportunity Cycle 4 calculated for the period July 2025 through June 2026</t>
  </si>
  <si>
    <t>Earnings Opportunity Reconciliation for Cycle 2 for the period November 2024 through April 2025 compares the DSIM revenues billed for the Cycle 2 cost components to amortization of EO Cycle 2 above and the carryforward of under or over recovered Cycle 2 Earnings Opportunity.</t>
  </si>
  <si>
    <t>Earnings Opportunity Reconciliation for Cycle 3 for the period November 2024 through April 2025 compares the DSIM revenues billed for the Cycle 3 cost components to amortization of EO Cycle 3 above and the carryforward of under or over recovered Cycle 3 Earnings Opportunity.</t>
  </si>
  <si>
    <t>Ordered Adjustments for Cycle 3 for the period July 2025 through June 2026</t>
  </si>
  <si>
    <t>None - There were no additional Ordered Adjustments for Cycle 3 for the period July 2025 through June 2026</t>
  </si>
  <si>
    <t>Ordered Adjustments Reconciliation for Cycle 3 for the period November 2024 through April 2025 compares the DSIM revenues billed for the Cycle 3 cost components to the carryforward of under or over recovered Cycle 3 Ordered Adjustments.</t>
  </si>
  <si>
    <t>TDR Cycle 4</t>
  </si>
  <si>
    <t>Throughput Disincentive Reconciliation for Cycle 4 for the period November 2024 through April 2025 compares the DSIM revenues billed for the Cycle 4 cost components to calculated Throughput Disincentive for Cycle 4 and the carryforward of under or over recovered Cycle 4 Throughput Disincentive.</t>
  </si>
  <si>
    <t>The Company analyzes monthly DSIM rider revenues billed by customer class and DSIM cost component per the DSIM tariffs (PPC, PCR, PTD, TDR, EO, EOR, OA and OAR). Pursuant to DSIM tariffs the Company calculates monthly Throughput Disincentive for Cycle 4 based on cumulative reported deemed kWh savings by MEEIA program and customer class, monthly loadshapes per program, current margin rates per customer class and Net to Gross (NTG) Factors in the tariff. Interest is calculated on the over or under recovered Throughput Disincentive at the short-term borrowing rates defined in the DSIM tariffs.</t>
  </si>
  <si>
    <t>Cumulative Over/Under Carryover From 12/01/2024 Filing</t>
  </si>
  <si>
    <t>Reverse November 2024 - January 2025 Forecast From 12/01/2024 Filing</t>
  </si>
  <si>
    <t>2. Actual monthly billed revenues by customer classes: Residential, Small General Service, Large General Service and Large Power Service (ordered adjustments revenues only) - Source: Missouri West MEEIA 2025 Revenue Analysis.xlsx
Forecasted monthly billed revenues by customer classes: Residential, Small General Service, Large General Service and Large Power Service (ordered adjustments revenues only) - Source: calculated = Forecasted billed kWh sales X tariff rate</t>
  </si>
  <si>
    <t>3. Actual monthly billed revenues by customer classes: Residential, Small General Service, Large General Service and Large Power Service (program cost revenues only) - Source: Missouri West MEEIA 2025 Revenue Analysis.xlsx
    Forecasted monthly billed revenues by customer classes: Residential, Small General Service, Large General Service and Large Power Service (program cost revenues only) - Source: calculated = Forecasted billed kWh sales X tariff rate</t>
  </si>
  <si>
    <t>2. Actual monthly billed revenues by customer classes: Residential, Small General Service, Large General Service and Large Power Service (TD revenues only) - Source: Missouri West MEEIA 2025 Revenue Analysis.xlsx
Forecasted monthly billed revenues by customer classes: Residential, Small General Service, Large General Service and Large Power Service (TD revenues only) - Source: calculated = Forecasted billed kWh sales X tariff rate</t>
  </si>
  <si>
    <t>2. Actual monthly billed revenues by customer classes: Residential, Small General Service, Large General Service and Large Power Service (TD revenues only) - Source: Missouri West MEEIA 2025 Revenue Analysis.xlsx
   Forecasted monthly billed revenues by customer classes: Residential, Small General Service, Large General Service and Large Power Service (TD revenues only) - Source: calculated = Forecasted billed kWh sales X tariff rate</t>
  </si>
  <si>
    <t>2. Actual monthly billed revenues by customer classes: Residential, Small General Service, Large General Service and Large Power Service (EO revenues only) - Source: Missouri West MEEIA 2025 Revenue Analysis.xlsx
Forecasted monthly billed revenues by customer classes: Residential, Small General Service, Large General Service and Large Power Service (EO revenues only) - Source: calculated = Forecasted billed kWh sales X tariff rate</t>
  </si>
  <si>
    <t>5. Monthly Short-Term Borrowing Rate - Source: Missouri West ST Borrowing Rates Nov24-Apr25.xlsx</t>
  </si>
  <si>
    <t>6. Monthly Short-Term Borrowing Rate - Source: Missouri West ST Borrowing Rates Nov24-Apr25.xlsx</t>
  </si>
  <si>
    <t>6. Amortization Over 24 Month Recovery Period - Source: Column 5  
- EO TD Adjustments December 2022 Column 5 divided by 24 times 1</t>
  </si>
  <si>
    <t>Cycle 3 - Program Year 5 through April 2025 (Amortize August 2025 -July 2026)</t>
  </si>
  <si>
    <t>Cycle 4 Throughput Disincentive TD Reconciliation (TDR) Calculation</t>
  </si>
  <si>
    <t>1. &amp; 4. Actual monthly TD - Source: Missouri West Cycle 3 Monthly TD Calc 032025 04282025.xlsx
    Forecasted monthly TD - Source: Missouri West Cycle 3 Monthly TD Calc 032025 04282025.xlsx</t>
  </si>
  <si>
    <t>3. Actual monthly TD - Source: Missouri West Cycle 3 Monthly TD Calc 032025 04282025.xlsx
    Forecasted monthly TD - Source: Missouri West Cycle 3 Monthly TD Calc 032025 04282025.xlsx</t>
  </si>
  <si>
    <t>3. Cycle 4 - July 2025 - June 2026</t>
  </si>
  <si>
    <t>3. Cycle 3 PY5 Extension Post-6/30/2025 True-Up - July 2025 - June 2026</t>
  </si>
  <si>
    <t>1. Forecasted kWh savings by customer classes: Residential, Small General Service, Large General Service and Large Power Service  - Source: Missouri West Cycle 3 Monthly TD Calc 032025 04282025.xlsx</t>
  </si>
  <si>
    <t>3. Forecasted Throughput Disincentive - Source: Missouri West Cycle 3 Monthly TD Calc 032025 04282025.xlsx</t>
  </si>
  <si>
    <t>1. Actual monthly program costs allocated to customer classes: Residential, Small General Service, Large General Service and Large Power Service - Source: 11 2024 MO West Spend Allocations Worksheet FINAL.xlsx, 12 2024 MO West Spend Allocations Worksheet FINAL.xlsx, 01 2025 MO West C3 Spend Allocations Worksheet FINAL- exclude SI0000_ activity.xlsx, 02 2025 MO West C3 Spend Allocations Worksheet FINAL.xlsx, 03 2025 MO West C3 Spend Allocations Worksheet FINAL.xlsx, 04 2025 MO West C3 Spend Allocations Worksheet FINAL.xlsx
    Forecasted monthly program costs allocated to customer classes: Residential, Small General Service, Large General Service and Large Power Service - Source: 05 2025 ADM forecast MO West C3 Spend Allocations Worksheet.xlsx</t>
  </si>
  <si>
    <t>1. Forecasted kWh by  Residential, Small General Service, Large General Service and Large Power Service (Reduced for Opt-Out) - Source: Billed kWh Budget 2024+- EMW 20250527.xlsx</t>
  </si>
  <si>
    <t>1. Forecasted kWh by Residential, Small General Service, Large General Service and Large Power Service (Reduced for Opt-Out) - Source: Billed kWh Budget 2024+- EMW 20250527.xlsx</t>
  </si>
  <si>
    <t>2. Actual monthly kWh billed sales by customer classes: Residential, Small General Service, Large General Service and Large Power Service (reduced for opt-out) - Source: Missouri West MEEIA 2025 Revenue Analysis.xlsx
    Forecasted monthly kWh billed sales by customer classes: Residential, Small General Service, Large General Service and Large Power Service (reduced for opt-out) - Source: Billed kWh Budget 2024+- EMW 20250527.xlsx</t>
  </si>
  <si>
    <t>3. Forecasted program costs by customer class - Source: EMW MEEIA 4 STIP AND RIDER FORECAST PROGRAM COSTS- 20250527.xlsx</t>
  </si>
  <si>
    <t>1. Actual monthly program costs allocated to customer classes: Residential, Small General Service, Large General Service and Large Power Service - Source: 012025 C4 Spend (incl EO) Alloc Calc FINAL 05192025.xlsx, 022025 C4 Spend (incl EO) Alloc Calc FINAL 05192025.xlsx, 032025 C4 Spend (incl EO) Alloc Calc FINAL 05192025.xlsx, 042025 C4 Spend (incl EO) Alloc Calc FINAL 05192025.xlsx
    Forecasted monthly program costs allocated to customer classes: Residential, Small General Service, Large General Service and Large Power Service - Source: EMW MEEIA 4 STIP AND RIDER FORECAST PROGRAM COSTS- 20250527.xlsx</t>
  </si>
  <si>
    <t>1. Forecasted kWh savings by customer classes: Residential, Small General Service, Large General Service and Large Power Service - Source: Missouri West C4 Monthly TD Calc incl forecast- 042025 05272025.xlsx</t>
  </si>
  <si>
    <t>3. Forecasted Throughput Disincentive - Source: Missouri West C4 Monthly TD Calc incl forecast- 042025 05272025.xlsx</t>
  </si>
  <si>
    <t>1. &amp; 4. Actual monthly TD - Source: Missouri West C4 Monthly TD Calc incl forecast- 042025 05272025.xlsx
    Forecasted monthly TD - Source: Missouri West C4 Monthly TD Calc incl forecast- 042025 05272025.xlsx</t>
  </si>
  <si>
    <t>3. Actual monthly TD - Source: Missouri West C4 Monthly TD Calc incl forecast- 042025 05272025.xlsx
    Forecasted monthly TD - Source: Missouri West C4 Monthly TD Calc incl forecast- 042025 05272025.xlsx</t>
  </si>
  <si>
    <t xml:space="preserve">1. Total Earnings Opportunity - Source: </t>
  </si>
  <si>
    <t>6. Amortization Over 12 Month Recovery Period - Source: Column 5</t>
  </si>
  <si>
    <t>Cycle 4 - Program Year 1 through April 2026 (Amortize August 2026-July 2027)</t>
  </si>
  <si>
    <t>Cycle 4 - Program Year 2 through April 2027 (Amortize August 2027-July 2028)</t>
  </si>
  <si>
    <t>Cycle 4 - Program Year 3 through April 2028 (Amortize August 2028-July 2029)</t>
  </si>
  <si>
    <t>Cycle 3 - Program Year 3 EO TD Adjustments November 2024 through December 2024 (Amortize August 2025 - July 2026)</t>
  </si>
  <si>
    <t>6. Amortization Over 12 Month Recovery Period - Source: Column 5  
- Program Year 3 EO TD Adjustments November 2023 through April 2024 divided by 12 times 1 month in forecast period
- Program Year 3 EO TD Adjustments May 2024 through October 2024 divided by 12 times 7 months in forecast period
- Program Year 3 EO TD Adjustments November 2024 through December 2024 divided by 12 times 11 months in forecast period
- Program Year 4 through April 2024 divided by 12 times 1 month in forecast period
- Program Year 5 through April 2025 divided by 12 times 11 months in forecast period</t>
  </si>
  <si>
    <t>3. EO TD NTG Adjustment -  Source: Missouri West Cycle 3 PY1 EO TD Adj Calc.xlsx, Missouri West Cycle 3 PY2 EO TD Adj Calc.xlsx, Missouri West Cycle 3 PY3 EO TD Adj Calc 2025 20250528.xlsx</t>
  </si>
  <si>
    <t>4. Carrying Costs @ AFUDC Rate -  Source: Missouri West Cycle 3 PY1 EO TD Adj Calc.xlsx, Missouri West Cycle 3 PY2 EO TD Adj Calc.xlsx, Missouri West Cycle 3 PY3 EO TD Adj Calc 2025 20250528.xlsx</t>
  </si>
  <si>
    <t>2. EO TD Ex Post Gross Adjustment -  Source: Missouri West Cycle 3 PY1 EO TD Adj Calc.xlsx, Missouri West Cycle 3 PY2 EO TD Adj Calc.xlsx, Missouri West Cycle 3 PY3 EO TD Adj Calc 2025 20250528.xlsx</t>
  </si>
  <si>
    <t>1. Total Earnings Opportunity - Source: Q0030_MO West EO Calculated Cycle 3 PY1.xlsx, Q0030_MO West EO Calculated Cycle 3 PY2.xlsx, Missouri West EO Calculated Cycle 3 PY3.xlsx, Missouri West EO Calculated Cycle 3 PY4.xlsx, Missouri West EO Calculated Cycle 3 PY5.xlsb</t>
  </si>
  <si>
    <t>Actual Cycle 3 reported results were rebased with the Missouri West rate case ER-2024-0189 June 30, 2024 true-up date.</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</si>
  <si>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Cycle 3 Throughput Disincentive was rebased after June 2024 concurrent with Missouri West rate case ER-2024-0189 June 30, 2024 true-up date. Additionally, the net margin revenue rates were reset with the new rates effective in January 2025. 
Interest is calculated on the over or under recovered Throughput Disincentive at the short-term borrowing rates defined in the DSIM tariffs.</t>
  </si>
  <si>
    <t>Earnings Opportunity awards are calculated for Cycle 3 program years 1-3 following the finalization of the Evaluation, Measurement &amp; Verification (EM&amp;V) by applying the EO Matrix in the DSIM tariffs to the evaluated, net verified kWh and kW savings and other factors.  Earnings Opportunity awards are calculated for Cycle 3 program years 4-5 by applying the EO Matrix in the DSIM tariffs based on each program year's respective spend and demand response events.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December 2024 plus continued amortization of previously reported amounts from prior updates as appropriate.</t>
  </si>
  <si>
    <t>Earnings Opportunity awards are calculated for Cycle 4 program years 1-3 as follows:
- Demand response program earnings opportunity awards are calculated following the finalization of the Evalution, Measurement &amp; Verification (EM&amp;V) by applying the EO Matrix in the DSIM tariffs to the evaulated, net verified MW participation savings.
- All other programs' earnings opportunity awards are calculated by applying the EO Matrix in the DSIM tariffs based on each program's incentive program costs or total program costs, as applicable.
These calculated amounts are amortized into the DSIM rates over 12 months.</t>
  </si>
  <si>
    <t>Evergy Missouri West, Inc. - DSIM Rider Update Filed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</si>
</sst>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0.0%"/>
    <numFmt numFmtId="178" formatCode="_(&quot;$&quot;* #,##0.00000_);_(&quot;$&quot;* \(#,##0.00000\);_(&quot;$&quot;* &quot;-&quot;_);_(@_)"/>
    <numFmt numFmtId="179" formatCode="_(&quot;$&quot;* #,##0.0000000_);_(&quot;$&quot;* \(#,##0.0000000\);_(&quot;$&quot;* &quot;-&quot;???????_);_(@_)"/>
    <numFmt numFmtId="180" formatCode="_(&quot;$&quot;* #,##0.00_);_(&quot;$&quot;* \(#,##0.00\);_(&quot;$&quot;* &quot;-&quot;_);_(@_)"/>
  </numFmts>
  <fonts count="56"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9"/>
      <color indexed="81"/>
      <name val="Tahoma"/>
      <family val="2"/>
    </font>
    <font>
      <b/>
      <sz val="9"/>
      <color indexed="81"/>
      <name val="Tahoma"/>
      <family val="2"/>
    </font>
    <font>
      <sz val="10"/>
      <color rgb="FF008000"/>
      <name val="Courier New"/>
      <family val="3"/>
    </font>
    <font>
      <sz val="11"/>
      <color rgb="FFFF00FF"/>
      <name val="Calibri"/>
      <family val="2"/>
      <scheme val="minor"/>
    </font>
    <font>
      <b/>
      <sz val="10"/>
      <color rgb="FFFF00FF"/>
      <name val="Courier New"/>
      <family val="3"/>
    </font>
    <font>
      <sz val="10"/>
      <color rgb="FF0000FF"/>
      <name val="Courier New"/>
      <family val="3"/>
    </font>
    <font>
      <sz val="11"/>
      <color rgb="FF008000"/>
      <name val="Calibri"/>
      <family val="2"/>
      <scheme val="minor"/>
    </font>
    <font>
      <sz val="11"/>
      <color rgb="FF0000FF"/>
      <name val="Calibri"/>
      <family val="2"/>
      <scheme val="minor"/>
    </font>
    <font>
      <b/>
      <sz val="11"/>
      <color rgb="FF0000FF"/>
      <name val="Calibri"/>
      <family val="2"/>
      <scheme val="minor"/>
    </font>
    <font>
      <i/>
      <sz val="11"/>
      <color rgb="FF0000FF"/>
      <name val="Calibri"/>
      <family val="2"/>
      <scheme val="minor"/>
    </font>
    <font>
      <b/>
      <sz val="11"/>
      <color rgb="FF0000CC"/>
      <name val="Calibri"/>
      <family val="2"/>
      <scheme val="minor"/>
    </font>
    <font>
      <sz val="10"/>
      <color rgb="FFFF00FF"/>
      <name val="Courier New"/>
      <family val="3"/>
    </font>
    <font>
      <sz val="11"/>
      <color rgb="FFC00000"/>
      <name val="Calibri"/>
      <family val="2"/>
      <scheme val="minor"/>
    </font>
    <font>
      <sz val="11"/>
      <color rgb="FF0000CC"/>
      <name val="Calibri"/>
      <family val="2"/>
      <scheme val="minor"/>
    </font>
    <font>
      <sz val="11"/>
      <color rgb="FF00B050"/>
      <name val="Calibri"/>
      <family val="2"/>
      <scheme val="minor"/>
    </font>
    <font>
      <sz val="10"/>
      <color theme="7"/>
      <name val="Courier New"/>
      <family val="3"/>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EB9C"/>
        <bgColor indexed="64"/>
      </patternFill>
    </fill>
    <fill>
      <patternFill patternType="solid">
        <fgColor theme="6" tint="-0.249977111117893"/>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550">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41" fontId="5" fillId="5" borderId="13" xfId="6" applyNumberFormat="1" applyBorder="1"/>
    <xf numFmtId="41" fontId="5" fillId="5" borderId="1" xfId="6" applyNumberFormat="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44" fontId="0" fillId="0" borderId="10" xfId="0"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3" fontId="4" fillId="4" borderId="53" xfId="5" applyNumberFormat="1" applyBorder="1"/>
    <xf numFmtId="165" fontId="4" fillId="4" borderId="54" xfId="5" applyNumberFormat="1" applyBorder="1"/>
    <xf numFmtId="165" fontId="5" fillId="5" borderId="21" xfId="11" applyNumberFormat="1" applyFont="1" applyFill="1" applyBorder="1"/>
    <xf numFmtId="41" fontId="5" fillId="5" borderId="31" xfId="6" applyNumberFormat="1" applyBorder="1"/>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1" fontId="5" fillId="5" borderId="59" xfId="6" applyNumberFormat="1" applyBorder="1"/>
    <xf numFmtId="43" fontId="0" fillId="0" borderId="0" xfId="1" applyFont="1"/>
    <xf numFmtId="171" fontId="0" fillId="0" borderId="0" xfId="0" applyNumberFormat="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8" fillId="0" borderId="0" xfId="0" applyNumberFormat="1" applyFont="1"/>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0" fontId="8" fillId="0" borderId="79" xfId="0" applyFont="1" applyBorder="1" applyAlignment="1">
      <alignment horizontal="center" wrapText="1"/>
    </xf>
    <xf numFmtId="167" fontId="14" fillId="7" borderId="81" xfId="13" applyNumberFormat="1" applyBorder="1"/>
    <xf numFmtId="43" fontId="0" fillId="0" borderId="0" xfId="0" applyNumberFormat="1"/>
    <xf numFmtId="43" fontId="8" fillId="0" borderId="0" xfId="1" applyFont="1" applyAlignment="1">
      <alignment horizontal="center" wrapText="1"/>
    </xf>
    <xf numFmtId="0" fontId="8" fillId="0" borderId="0" xfId="0" applyFont="1" applyAlignment="1">
      <alignment wrapText="1"/>
    </xf>
    <xf numFmtId="165" fontId="0" fillId="0" borderId="0" xfId="0" applyNumberFormat="1" applyFill="1" applyBorder="1"/>
    <xf numFmtId="165" fontId="5" fillId="0" borderId="23" xfId="6"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82" xfId="13" applyNumberFormat="1" applyBorder="1"/>
    <xf numFmtId="167" fontId="6" fillId="0" borderId="56" xfId="1" applyNumberFormat="1" applyFont="1" applyFill="1" applyBorder="1"/>
    <xf numFmtId="44" fontId="6" fillId="0" borderId="56" xfId="7" applyNumberFormat="1" applyFill="1" applyBorder="1"/>
    <xf numFmtId="0" fontId="0" fillId="39" borderId="3" xfId="0" applyFill="1" applyBorder="1" applyAlignment="1">
      <alignment horizontal="center" wrapText="1"/>
    </xf>
    <xf numFmtId="170" fontId="36" fillId="0" borderId="6" xfId="0" applyNumberFormat="1" applyFont="1" applyFill="1" applyBorder="1" applyAlignment="1">
      <alignment vertical="center"/>
    </xf>
    <xf numFmtId="170" fontId="38" fillId="0" borderId="0" xfId="0" applyNumberFormat="1" applyFont="1" applyFill="1" applyAlignment="1"/>
    <xf numFmtId="0" fontId="38" fillId="0" borderId="0" xfId="0" applyFont="1"/>
    <xf numFmtId="165" fontId="7" fillId="0" borderId="9" xfId="8" applyNumberFormat="1" applyBorder="1"/>
    <xf numFmtId="165" fontId="5" fillId="0" borderId="9" xfId="2" applyNumberFormat="1" applyFont="1" applyFill="1" applyBorder="1"/>
    <xf numFmtId="165" fontId="6" fillId="6" borderId="51" xfId="7" applyNumberFormat="1" applyBorder="1"/>
    <xf numFmtId="0" fontId="8" fillId="0" borderId="0" xfId="0" applyFont="1" applyAlignment="1">
      <alignment horizontal="left" vertical="center" wrapText="1"/>
    </xf>
    <xf numFmtId="170" fontId="36" fillId="0" borderId="4" xfId="0" applyNumberFormat="1" applyFont="1" applyFill="1" applyBorder="1" applyAlignment="1">
      <alignment vertical="center"/>
    </xf>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Alignment="1">
      <alignment horizontal="left"/>
    </xf>
    <xf numFmtId="0" fontId="8" fillId="0" borderId="0" xfId="0" applyFont="1" applyFill="1" applyAlignment="1"/>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left"/>
    </xf>
    <xf numFmtId="44" fontId="8" fillId="0" borderId="0" xfId="0" applyNumberFormat="1" applyFont="1" applyFill="1" applyAlignment="1">
      <alignment horizontal="center" wrapText="1"/>
    </xf>
    <xf numFmtId="0" fontId="8" fillId="0" borderId="0" xfId="0" applyFont="1" applyAlignment="1">
      <alignment horizontal="left"/>
    </xf>
    <xf numFmtId="0" fontId="0" fillId="0" borderId="0" xfId="0" applyAlignment="1">
      <alignment wrapText="1"/>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0" fontId="0" fillId="0" borderId="0" xfId="0" applyAlignment="1">
      <alignment vertical="top"/>
    </xf>
    <xf numFmtId="0" fontId="8" fillId="0" borderId="0" xfId="0" applyFont="1" applyAlignment="1">
      <alignment vertical="top"/>
    </xf>
    <xf numFmtId="0" fontId="0" fillId="0" borderId="0" xfId="0" applyAlignment="1">
      <alignment vertical="top" wrapText="1"/>
    </xf>
    <xf numFmtId="42" fontId="42" fillId="0" borderId="6" xfId="0" applyNumberFormat="1" applyFont="1" applyBorder="1" applyAlignment="1">
      <alignment horizontal="right"/>
    </xf>
    <xf numFmtId="176" fontId="43" fillId="0" borderId="0" xfId="1" applyNumberFormat="1" applyFont="1"/>
    <xf numFmtId="0" fontId="44" fillId="0" borderId="0" xfId="0" applyFont="1" applyFill="1" applyBorder="1" applyAlignment="1">
      <alignment horizontal="center" vertical="center" wrapText="1"/>
    </xf>
    <xf numFmtId="172" fontId="45" fillId="0" borderId="6" xfId="0" applyNumberFormat="1" applyFont="1" applyFill="1" applyBorder="1" applyAlignment="1">
      <alignment horizontal="right"/>
    </xf>
    <xf numFmtId="172" fontId="45" fillId="0" borderId="6" xfId="0" quotePrefix="1" applyNumberFormat="1" applyFont="1" applyFill="1" applyBorder="1" applyAlignment="1">
      <alignment horizontal="right"/>
    </xf>
    <xf numFmtId="172" fontId="45" fillId="0" borderId="6" xfId="0" applyNumberFormat="1" applyFont="1" applyBorder="1" applyAlignment="1">
      <alignment horizontal="right"/>
    </xf>
    <xf numFmtId="172" fontId="42" fillId="0" borderId="6" xfId="0" applyNumberFormat="1" applyFont="1" applyBorder="1" applyAlignment="1">
      <alignment horizontal="right"/>
    </xf>
    <xf numFmtId="172" fontId="42" fillId="0" borderId="6" xfId="0" applyNumberFormat="1" applyFont="1" applyFill="1" applyBorder="1" applyAlignment="1">
      <alignment horizontal="right"/>
    </xf>
    <xf numFmtId="172" fontId="42" fillId="0" borderId="6" xfId="0" quotePrefix="1" applyNumberFormat="1" applyFont="1" applyFill="1" applyBorder="1" applyAlignment="1">
      <alignment horizontal="right"/>
    </xf>
    <xf numFmtId="178" fontId="42" fillId="0" borderId="6" xfId="0" applyNumberFormat="1" applyFont="1" applyBorder="1" applyAlignment="1">
      <alignment horizontal="right"/>
    </xf>
    <xf numFmtId="175" fontId="42" fillId="0" borderId="6" xfId="1" applyNumberFormat="1" applyFont="1" applyBorder="1" applyAlignment="1">
      <alignment horizontal="right" vertical="center"/>
    </xf>
    <xf numFmtId="175" fontId="43" fillId="0" borderId="0" xfId="0" applyNumberFormat="1" applyFont="1"/>
    <xf numFmtId="0" fontId="44" fillId="0" borderId="0" xfId="0" applyFont="1" applyFill="1" applyBorder="1" applyAlignment="1">
      <alignment vertical="center" wrapText="1"/>
    </xf>
    <xf numFmtId="0" fontId="47" fillId="0" borderId="9" xfId="0" applyFont="1" applyFill="1" applyBorder="1"/>
    <xf numFmtId="0" fontId="49" fillId="0" borderId="9" xfId="8" applyFont="1" applyFill="1" applyBorder="1"/>
    <xf numFmtId="44" fontId="47" fillId="0" borderId="9" xfId="0" applyNumberFormat="1" applyFont="1" applyFill="1" applyBorder="1"/>
    <xf numFmtId="165" fontId="48" fillId="7" borderId="43" xfId="13" applyNumberFormat="1" applyFont="1" applyBorder="1"/>
    <xf numFmtId="165" fontId="48" fillId="7" borderId="44" xfId="13" applyNumberFormat="1" applyFont="1" applyBorder="1"/>
    <xf numFmtId="43" fontId="43" fillId="0" borderId="0" xfId="1" applyFont="1"/>
    <xf numFmtId="165" fontId="48" fillId="7" borderId="72" xfId="13" applyNumberFormat="1" applyFont="1" applyBorder="1"/>
    <xf numFmtId="165" fontId="47" fillId="0" borderId="9" xfId="6" applyNumberFormat="1" applyFont="1" applyFill="1" applyBorder="1"/>
    <xf numFmtId="171" fontId="46" fillId="0" borderId="0" xfId="2" applyNumberFormat="1" applyFont="1" applyBorder="1"/>
    <xf numFmtId="171" fontId="46" fillId="0" borderId="9" xfId="2" applyNumberFormat="1" applyFont="1" applyBorder="1"/>
    <xf numFmtId="171" fontId="46" fillId="0" borderId="10" xfId="0" applyNumberFormat="1" applyFont="1" applyBorder="1"/>
    <xf numFmtId="165" fontId="48" fillId="0" borderId="13" xfId="13" applyNumberFormat="1" applyFont="1" applyFill="1" applyBorder="1"/>
    <xf numFmtId="0" fontId="8" fillId="0" borderId="0" xfId="0" applyFont="1" applyFill="1" applyAlignment="1">
      <alignment horizontal="left"/>
    </xf>
    <xf numFmtId="0" fontId="7" fillId="0" borderId="9" xfId="8" applyFill="1" applyBorder="1"/>
    <xf numFmtId="0" fontId="0" fillId="0" borderId="10" xfId="0" applyFill="1" applyBorder="1"/>
    <xf numFmtId="0" fontId="7" fillId="0" borderId="10" xfId="8" applyFill="1" applyBorder="1"/>
    <xf numFmtId="171" fontId="47" fillId="0" borderId="0" xfId="2" applyNumberFormat="1" applyFont="1" applyBorder="1"/>
    <xf numFmtId="171" fontId="47" fillId="0" borderId="9" xfId="2" applyNumberFormat="1" applyFont="1" applyBorder="1"/>
    <xf numFmtId="171" fontId="47" fillId="0" borderId="10" xfId="0" applyNumberFormat="1" applyFont="1" applyBorder="1"/>
    <xf numFmtId="167" fontId="0" fillId="0" borderId="0" xfId="0" applyNumberFormat="1"/>
    <xf numFmtId="44" fontId="7" fillId="0" borderId="10" xfId="8" applyNumberFormat="1" applyFill="1" applyBorder="1"/>
    <xf numFmtId="41" fontId="0" fillId="0" borderId="0" xfId="0" applyNumberFormat="1" applyFill="1" applyBorder="1"/>
    <xf numFmtId="43" fontId="8" fillId="0" borderId="0" xfId="1" applyFont="1" applyFill="1" applyAlignment="1">
      <alignment horizontal="center"/>
    </xf>
    <xf numFmtId="165" fontId="13" fillId="40" borderId="75" xfId="12" applyNumberFormat="1" applyFill="1" applyBorder="1"/>
    <xf numFmtId="165" fontId="5" fillId="37" borderId="1" xfId="6" applyNumberFormat="1" applyFill="1"/>
    <xf numFmtId="165" fontId="50" fillId="7" borderId="43" xfId="13" applyNumberFormat="1" applyFont="1" applyBorder="1"/>
    <xf numFmtId="165" fontId="50" fillId="7" borderId="72" xfId="13" applyNumberFormat="1" applyFont="1" applyBorder="1"/>
    <xf numFmtId="165" fontId="50" fillId="7" borderId="44" xfId="13" applyNumberFormat="1" applyFont="1" applyBorder="1"/>
    <xf numFmtId="165" fontId="50" fillId="0" borderId="13" xfId="13" applyNumberFormat="1" applyFont="1" applyFill="1" applyBorder="1"/>
    <xf numFmtId="179" fontId="38" fillId="0" borderId="0" xfId="0" applyNumberFormat="1" applyFont="1"/>
    <xf numFmtId="179" fontId="0" fillId="0" borderId="0" xfId="0" applyNumberFormat="1"/>
    <xf numFmtId="0" fontId="8" fillId="0" borderId="0" xfId="0" applyFont="1" applyAlignment="1">
      <alignment horizontal="left" vertical="center" wrapText="1"/>
    </xf>
    <xf numFmtId="0" fontId="8" fillId="0" borderId="0" xfId="0" applyFont="1" applyAlignment="1">
      <alignment horizontal="left"/>
    </xf>
    <xf numFmtId="167" fontId="0" fillId="0" borderId="0" xfId="1" applyNumberFormat="1" applyFont="1"/>
    <xf numFmtId="0" fontId="8" fillId="0" borderId="0" xfId="0" applyFont="1" applyFill="1" applyAlignment="1">
      <alignment horizontal="left" vertical="center" wrapText="1"/>
    </xf>
    <xf numFmtId="3" fontId="0" fillId="0" borderId="0" xfId="0" applyNumberFormat="1"/>
    <xf numFmtId="171" fontId="47" fillId="0" borderId="0" xfId="2" applyNumberFormat="1" applyFont="1" applyFill="1" applyBorder="1"/>
    <xf numFmtId="44" fontId="0" fillId="0" borderId="0" xfId="0" applyNumberFormat="1" applyFill="1"/>
    <xf numFmtId="172" fontId="51" fillId="0" borderId="6" xfId="0" applyNumberFormat="1" applyFont="1" applyBorder="1" applyAlignment="1">
      <alignment horizontal="right"/>
    </xf>
    <xf numFmtId="170" fontId="51" fillId="0" borderId="5" xfId="0" applyNumberFormat="1" applyFont="1" applyFill="1" applyBorder="1" applyAlignment="1">
      <alignment vertical="center"/>
    </xf>
    <xf numFmtId="0" fontId="8" fillId="0" borderId="0" xfId="0" quotePrefix="1" applyFont="1" applyFill="1"/>
    <xf numFmtId="0" fontId="52" fillId="0" borderId="0" xfId="0" quotePrefix="1" applyFont="1"/>
    <xf numFmtId="165" fontId="7" fillId="0" borderId="0" xfId="8" applyNumberFormat="1" applyBorder="1"/>
    <xf numFmtId="164" fontId="0" fillId="0" borderId="12" xfId="0" applyNumberFormat="1" applyFill="1" applyBorder="1"/>
    <xf numFmtId="165" fontId="14" fillId="0" borderId="23" xfId="13" applyNumberFormat="1" applyFill="1" applyBorder="1"/>
    <xf numFmtId="171" fontId="0" fillId="0" borderId="0" xfId="2" applyNumberFormat="1" applyFont="1" applyFill="1" applyBorder="1"/>
    <xf numFmtId="165" fontId="5" fillId="0" borderId="26" xfId="6" applyNumberFormat="1" applyFill="1" applyBorder="1"/>
    <xf numFmtId="0" fontId="53" fillId="39" borderId="3" xfId="0" applyFont="1" applyFill="1" applyBorder="1" applyAlignment="1">
      <alignment horizontal="center" wrapText="1"/>
    </xf>
    <xf numFmtId="165" fontId="5" fillId="0" borderId="82" xfId="11" applyNumberFormat="1" applyFont="1" applyFill="1" applyBorder="1"/>
    <xf numFmtId="165" fontId="50" fillId="0" borderId="23" xfId="13" applyNumberFormat="1" applyFont="1" applyFill="1" applyBorder="1"/>
    <xf numFmtId="43" fontId="8" fillId="0" borderId="0" xfId="1" applyFont="1" applyAlignment="1">
      <alignment horizontal="center"/>
    </xf>
    <xf numFmtId="180" fontId="0" fillId="0" borderId="0" xfId="0" applyNumberFormat="1"/>
    <xf numFmtId="180" fontId="13" fillId="7" borderId="17" xfId="12" applyNumberFormat="1"/>
    <xf numFmtId="180" fontId="13" fillId="7" borderId="71" xfId="12" applyNumberFormat="1" applyBorder="1"/>
    <xf numFmtId="180" fontId="14" fillId="7" borderId="70" xfId="13" applyNumberFormat="1" applyBorder="1"/>
    <xf numFmtId="165" fontId="47" fillId="0" borderId="58" xfId="6" applyNumberFormat="1" applyFont="1" applyFill="1" applyBorder="1"/>
    <xf numFmtId="41" fontId="47" fillId="0" borderId="58" xfId="6" applyNumberFormat="1" applyFont="1" applyFill="1" applyBorder="1"/>
    <xf numFmtId="165" fontId="47" fillId="0" borderId="60" xfId="11" applyNumberFormat="1" applyFont="1" applyFill="1" applyBorder="1"/>
    <xf numFmtId="165" fontId="48" fillId="0" borderId="58" xfId="13" applyNumberFormat="1" applyFont="1" applyFill="1" applyBorder="1"/>
    <xf numFmtId="0" fontId="53" fillId="39" borderId="64" xfId="0" quotePrefix="1" applyFont="1" applyFill="1" applyBorder="1" applyAlignment="1">
      <alignment horizont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0" fontId="9" fillId="0" borderId="0" xfId="0" applyFont="1" applyFill="1" applyAlignment="1">
      <alignment horizontal="left"/>
    </xf>
    <xf numFmtId="165" fontId="47" fillId="0" borderId="13" xfId="6" applyNumberFormat="1" applyFont="1" applyFill="1" applyBorder="1"/>
    <xf numFmtId="41" fontId="47" fillId="0" borderId="13" xfId="6" applyNumberFormat="1" applyFont="1" applyFill="1" applyBorder="1"/>
    <xf numFmtId="165" fontId="47" fillId="0" borderId="15" xfId="11" applyNumberFormat="1" applyFont="1" applyFill="1" applyBorder="1"/>
    <xf numFmtId="165" fontId="48" fillId="0" borderId="42" xfId="13" applyNumberFormat="1" applyFont="1" applyFill="1" applyBorder="1"/>
    <xf numFmtId="165" fontId="48" fillId="0" borderId="73" xfId="13" applyNumberFormat="1" applyFont="1" applyFill="1" applyBorder="1"/>
    <xf numFmtId="0" fontId="8" fillId="0" borderId="70" xfId="0" quotePrefix="1" applyFont="1" applyFill="1" applyBorder="1" applyAlignment="1">
      <alignment horizontal="center" wrapText="1"/>
    </xf>
    <xf numFmtId="165" fontId="48" fillId="0" borderId="61" xfId="13" applyNumberFormat="1" applyFont="1" applyFill="1" applyBorder="1"/>
    <xf numFmtId="171" fontId="38" fillId="0" borderId="0" xfId="2" applyNumberFormat="1" applyFont="1" applyBorder="1"/>
    <xf numFmtId="171" fontId="38" fillId="0" borderId="9" xfId="2" applyNumberFormat="1" applyFont="1" applyBorder="1"/>
    <xf numFmtId="165" fontId="4" fillId="42" borderId="14" xfId="6" applyNumberFormat="1" applyFont="1" applyFill="1" applyBorder="1"/>
    <xf numFmtId="165" fontId="4" fillId="42" borderId="13" xfId="6" applyNumberFormat="1" applyFont="1" applyFill="1" applyBorder="1"/>
    <xf numFmtId="165" fontId="4" fillId="42" borderId="1" xfId="6" applyNumberFormat="1" applyFont="1" applyFill="1" applyBorder="1"/>
    <xf numFmtId="3" fontId="4" fillId="42" borderId="53" xfId="5" applyNumberFormat="1" applyFill="1" applyBorder="1"/>
    <xf numFmtId="41" fontId="5" fillId="36" borderId="3" xfId="6" applyNumberFormat="1" applyFill="1" applyBorder="1"/>
    <xf numFmtId="3" fontId="4" fillId="4" borderId="53" xfId="5" applyNumberFormat="1" applyFont="1" applyBorder="1"/>
    <xf numFmtId="0" fontId="0" fillId="0" borderId="0" xfId="0"/>
    <xf numFmtId="164" fontId="0" fillId="0" borderId="0" xfId="0" applyNumberFormat="1"/>
    <xf numFmtId="0" fontId="8" fillId="0" borderId="0" xfId="0" applyFont="1"/>
    <xf numFmtId="44" fontId="0" fillId="0" borderId="0" xfId="0" applyNumberFormat="1"/>
    <xf numFmtId="10" fontId="0" fillId="0" borderId="0" xfId="2" applyNumberFormat="1" applyFont="1"/>
    <xf numFmtId="44" fontId="8" fillId="0" borderId="0" xfId="0" applyNumberFormat="1" applyFont="1"/>
    <xf numFmtId="0" fontId="0" fillId="0" borderId="9" xfId="0" applyBorder="1"/>
    <xf numFmtId="0" fontId="0" fillId="0" borderId="10" xfId="0"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65"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165" fontId="0" fillId="0" borderId="0" xfId="0" applyNumberFormat="1"/>
    <xf numFmtId="0" fontId="8" fillId="0" borderId="0" xfId="0" applyFont="1" applyAlignment="1">
      <alignment horizontal="center"/>
    </xf>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70" fontId="5" fillId="5" borderId="23" xfId="6" applyNumberFormat="1" applyBorder="1"/>
    <xf numFmtId="41" fontId="5" fillId="5" borderId="13" xfId="6" applyNumberFormat="1" applyBorder="1"/>
    <xf numFmtId="41" fontId="5" fillId="5" borderId="1" xfId="6"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0" fontId="7" fillId="0" borderId="9" xfId="8" applyBorder="1"/>
    <xf numFmtId="164" fontId="0" fillId="0" borderId="39" xfId="0" applyNumberFormat="1" applyBorder="1"/>
    <xf numFmtId="0" fontId="0" fillId="0" borderId="9" xfId="0"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46" xfId="11" applyNumberFormat="1" applyFont="1" applyFill="1" applyBorder="1"/>
    <xf numFmtId="165" fontId="14" fillId="7" borderId="23" xfId="13" applyNumberFormat="1" applyBorder="1"/>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165" fontId="5" fillId="0" borderId="11" xfId="6" applyNumberFormat="1" applyFill="1" applyBorder="1"/>
    <xf numFmtId="0" fontId="0" fillId="39" borderId="19" xfId="0" applyFill="1" applyBorder="1" applyAlignment="1">
      <alignment horizontal="center" wrapText="1"/>
    </xf>
    <xf numFmtId="43" fontId="8" fillId="0" borderId="0" xfId="1" applyNumberFormat="1" applyFont="1" applyAlignment="1">
      <alignment horizontal="center"/>
    </xf>
    <xf numFmtId="165" fontId="4" fillId="4" borderId="52" xfId="5" applyNumberFormat="1" applyBorder="1"/>
    <xf numFmtId="41"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43" fontId="0" fillId="0" borderId="0" xfId="1" applyFont="1"/>
    <xf numFmtId="165" fontId="5" fillId="0" borderId="58" xfId="6" applyNumberFormat="1" applyFill="1" applyBorder="1"/>
    <xf numFmtId="41" fontId="5" fillId="0" borderId="58" xfId="6" applyNumberForma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164" fontId="0" fillId="0" borderId="69" xfId="0" applyNumberForma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0" fontId="5" fillId="5" borderId="1" xfId="2" applyNumberFormat="1" applyFont="1" applyFill="1" applyBorder="1"/>
    <xf numFmtId="165" fontId="14" fillId="7" borderId="70" xfId="13" applyNumberFormat="1" applyBorder="1"/>
    <xf numFmtId="0" fontId="8" fillId="0" borderId="0" xfId="0" applyFont="1" applyAlignment="1">
      <alignment horizontal="left"/>
    </xf>
    <xf numFmtId="0" fontId="0" fillId="0" borderId="0" xfId="0" applyAlignment="1">
      <alignment wrapText="1"/>
    </xf>
    <xf numFmtId="0" fontId="0" fillId="0" borderId="0" xfId="0" applyAlignment="1">
      <alignment vertical="top"/>
    </xf>
    <xf numFmtId="0" fontId="8" fillId="0" borderId="70" xfId="0" applyFont="1" applyBorder="1" applyAlignment="1">
      <alignment vertical="top"/>
    </xf>
    <xf numFmtId="165" fontId="48" fillId="7" borderId="43" xfId="13" applyNumberFormat="1" applyFont="1" applyBorder="1"/>
    <xf numFmtId="165" fontId="48" fillId="7" borderId="44" xfId="13" applyNumberFormat="1" applyFont="1" applyBorder="1"/>
    <xf numFmtId="165" fontId="48" fillId="7" borderId="72" xfId="13" applyNumberFormat="1" applyFont="1" applyBorder="1"/>
    <xf numFmtId="165" fontId="48" fillId="0" borderId="13" xfId="13" applyNumberFormat="1" applyFont="1" applyFill="1" applyBorder="1"/>
    <xf numFmtId="164" fontId="53" fillId="0" borderId="12" xfId="0" applyNumberFormat="1" applyFont="1" applyBorder="1"/>
    <xf numFmtId="180" fontId="14" fillId="7" borderId="70" xfId="13" applyNumberFormat="1" applyBorder="1"/>
    <xf numFmtId="180" fontId="0" fillId="0" borderId="0" xfId="0" applyNumberFormat="1"/>
    <xf numFmtId="180" fontId="13" fillId="7" borderId="17" xfId="12" applyNumberFormat="1"/>
    <xf numFmtId="180" fontId="13" fillId="7" borderId="71" xfId="12" applyNumberFormat="1" applyBorder="1"/>
    <xf numFmtId="0" fontId="53" fillId="39" borderId="64" xfId="0" quotePrefix="1" applyFont="1" applyFill="1" applyBorder="1" applyAlignment="1">
      <alignment horizontal="center" wrapText="1"/>
    </xf>
    <xf numFmtId="165" fontId="5" fillId="0" borderId="60" xfId="11" applyNumberFormat="1" applyFont="1" applyFill="1" applyBorder="1"/>
    <xf numFmtId="165" fontId="48" fillId="0" borderId="58" xfId="13" applyNumberFormat="1" applyFont="1" applyFill="1" applyBorder="1"/>
    <xf numFmtId="165" fontId="48" fillId="0" borderId="73" xfId="13" applyNumberFormat="1" applyFont="1" applyFill="1" applyBorder="1"/>
    <xf numFmtId="165" fontId="48" fillId="0" borderId="42" xfId="13" applyNumberFormat="1" applyFont="1" applyFill="1" applyBorder="1"/>
    <xf numFmtId="0" fontId="8" fillId="0" borderId="70" xfId="0" applyFont="1" applyFill="1" applyBorder="1" applyAlignment="1">
      <alignment horizontal="center" wrapText="1"/>
    </xf>
    <xf numFmtId="0" fontId="0" fillId="0" borderId="0" xfId="0"/>
    <xf numFmtId="171" fontId="0" fillId="0" borderId="0" xfId="2" applyNumberFormat="1" applyFont="1" applyBorder="1"/>
    <xf numFmtId="165" fontId="5" fillId="37" borderId="1" xfId="6" applyNumberFormat="1" applyFill="1" applyBorder="1"/>
    <xf numFmtId="41" fontId="54" fillId="0" borderId="80" xfId="6" applyNumberFormat="1" applyFont="1" applyFill="1" applyBorder="1"/>
    <xf numFmtId="42" fontId="55" fillId="0" borderId="6" xfId="0" applyNumberFormat="1" applyFont="1" applyBorder="1" applyAlignment="1">
      <alignment horizontal="right"/>
    </xf>
    <xf numFmtId="170" fontId="42" fillId="0" borderId="5" xfId="0" applyNumberFormat="1" applyFont="1" applyFill="1" applyBorder="1" applyAlignment="1">
      <alignment vertical="center"/>
    </xf>
    <xf numFmtId="172" fontId="51" fillId="0" borderId="6" xfId="0" applyNumberFormat="1" applyFont="1" applyFill="1" applyBorder="1" applyAlignment="1">
      <alignment horizontal="right"/>
    </xf>
    <xf numFmtId="0" fontId="8" fillId="0" borderId="0" xfId="0" applyFont="1" applyFill="1" applyAlignment="1">
      <alignment horizontal="left" vertical="center" wrapText="1"/>
    </xf>
    <xf numFmtId="0" fontId="0" fillId="0" borderId="70" xfId="0" applyFill="1" applyBorder="1" applyAlignment="1">
      <alignment vertical="top" wrapText="1"/>
    </xf>
    <xf numFmtId="0" fontId="8" fillId="0" borderId="0" xfId="0" applyFont="1" applyFill="1" applyAlignment="1">
      <alignment horizontal="right"/>
    </xf>
    <xf numFmtId="0" fontId="50" fillId="0" borderId="0" xfId="0" quotePrefix="1" applyFont="1" applyFill="1"/>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Alignment="1">
      <alignment horizontal="left" wrapText="1"/>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43" borderId="0" xfId="0" applyFont="1" applyFill="1" applyAlignment="1">
      <alignment horizontal="left" vertical="center" wrapText="1"/>
    </xf>
    <xf numFmtId="0" fontId="8" fillId="41" borderId="0" xfId="0" applyFont="1" applyFill="1" applyAlignment="1">
      <alignment horizontal="left" vertical="center" wrapText="1"/>
    </xf>
    <xf numFmtId="0" fontId="8" fillId="0" borderId="0" xfId="0" applyFont="1" applyFill="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50" fillId="0" borderId="0" xfId="0" quotePrefix="1" applyFont="1" applyFill="1" applyAlignment="1">
      <alignment vertical="top" wrapText="1"/>
    </xf>
    <xf numFmtId="0" fontId="0" fillId="0" borderId="0" xfId="0" applyFill="1" applyAlignment="1">
      <alignment vertical="top" wrapText="1"/>
    </xf>
    <xf numFmtId="0" fontId="0" fillId="0" borderId="0" xfId="0" applyFill="1" applyAlignment="1">
      <alignment wrapText="1"/>
    </xf>
    <xf numFmtId="0" fontId="8" fillId="38" borderId="19" xfId="0" applyFont="1" applyFill="1" applyBorder="1" applyAlignment="1">
      <alignment horizontal="center"/>
    </xf>
    <xf numFmtId="0" fontId="8" fillId="0" borderId="0" xfId="0" applyFont="1" applyFill="1" applyAlignment="1">
      <alignment horizontal="left" vertical="top" wrapText="1"/>
    </xf>
    <xf numFmtId="0" fontId="8" fillId="41" borderId="0" xfId="0" applyFont="1" applyFill="1" applyAlignment="1">
      <alignment horizontal="left" vertical="top"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008000"/>
      <color rgb="FF9C6500"/>
      <color rgb="FFFFEB9C"/>
      <color rgb="FF0000FF"/>
      <color rgb="FFFFFF99"/>
      <color rgb="FF6600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styles" Target="styles.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Billed%20kWh%20Budget%202024+-%20EMW%2020250527.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Billed%20kWh%20Budget%202024+-%20EMW%2020250527.xlsx?11B8D6E0" TargetMode="External"/><Relationship Id="rId1" Type="http://schemas.openxmlformats.org/officeDocument/2006/relationships/externalLinkPath" Target="file:///\\11B8D6E0\Billed%20kWh%20Budget%202024+-%20EMW%2020250527.xlsx"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Missouri%20West%20MEEIA%202025%20Revenue%20Analysis.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MEEIA%202025%20Revenue%20Analysis.xlsx?11B8D6E0" TargetMode="External"/><Relationship Id="rId1" Type="http://schemas.openxmlformats.org/officeDocument/2006/relationships/externalLinkPath" Target="file:///\\11B8D6E0\Missouri%20West%20MEEIA%202025%20Revenue%20Analysis.xlsx"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Missouri%20West%20ST%20Borrowing%20Rates%20Nov24-Apr25.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ST%20Borrowing%20Rates%20Nov24-Apr25.xlsx?11B8D6E0" TargetMode="External"/><Relationship Id="rId1" Type="http://schemas.openxmlformats.org/officeDocument/2006/relationships/externalLinkPath" Target="file:///\\11B8D6E0\Missouri%20West%20ST%20Borrowing%20Rates%20Nov24-Apr25.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12025%20C4%20Spend%20(incl%20EO)%20Alloc%20Calc%20FINAL%2005192025.xlsx?11B8D6E0" TargetMode="External"/><Relationship Id="rId1" Type="http://schemas.openxmlformats.org/officeDocument/2006/relationships/externalLinkPath" Target="file:///\\11B8D6E0\012025%20C4%20Spend%20(incl%20EO)%20Alloc%20Calc%20FINAL%2005192025.xlsx"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22025%20C4%20Spend%20(incl%20EO)%20Alloc%20Calc%20FINAL%2005192025.xlsx?11B8D6E0" TargetMode="External"/><Relationship Id="rId1" Type="http://schemas.openxmlformats.org/officeDocument/2006/relationships/externalLinkPath" Target="file:///\\11B8D6E0\022025%20C4%20Spend%20(incl%20EO)%20Alloc%20Calc%20FINAL%2005192025.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32025%20C4%20Spend%20(incl%20EO)%20Alloc%20Calc%20FINAL%2005192025.xlsx?11B8D6E0" TargetMode="External"/><Relationship Id="rId1" Type="http://schemas.openxmlformats.org/officeDocument/2006/relationships/externalLinkPath" Target="file:///\\11B8D6E0\032025%20C4%20Spend%20(incl%20EO)%20Alloc%20Calc%20FINAL%2005192025.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42025%20C4%20Spend%20(incl%20EO)%20Alloc%20Calc%20FINAL%2005192025.xlsx?11B8D6E0" TargetMode="External"/><Relationship Id="rId1" Type="http://schemas.openxmlformats.org/officeDocument/2006/relationships/externalLinkPath" Target="file:///\\11B8D6E0\042025%20C4%20Spend%20(incl%20EO)%20Alloc%20Calc%20FINAL%2005192025.xlsx" TargetMode="External"/></Relationships>
</file>

<file path=xl/externalLinks/_rels/externalLink16.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Missouri%20West%20Cycle%203%20Monthly%20TD%20Calc%20032025%2004282025.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Cycle%203%20Monthly%20TD%20Calc%20032025%2004282025.xlsx?11B8D6E0" TargetMode="External"/><Relationship Id="rId1" Type="http://schemas.openxmlformats.org/officeDocument/2006/relationships/externalLinkPath" Target="file:///\\11B8D6E0\Missouri%20West%20Cycle%203%20Monthly%20TD%20Calc%20032025%2004282025.xlsx"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Missouri%20West%20C4%20Monthly%20TD%20Calc%20incl%20forecast-%20042025%2005272025.xlsx?D4DF6C14" TargetMode="External"/><Relationship Id="rId1" Type="http://schemas.openxmlformats.org/officeDocument/2006/relationships/externalLinkPath" Target="file:///\\D4DF6C14\Missouri%20West%20C4%20Monthly%20TD%20Calc%20incl%20forecast-%20042025%2005272025.xlsx"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Cycle%202%20Monthly%20TD%20Calc%20122022%2001092023.xlsx?11B8D6E0" TargetMode="External"/><Relationship Id="rId1" Type="http://schemas.openxmlformats.org/officeDocument/2006/relationships/externalLinkPath" Target="file:///\\11B8D6E0\Missouri%20West%20Cycle%202%20Monthly%20TD%20Calc%20122022%2001092023.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EO%20Calculated%20Cycle%203%20PY1.xlsx?11B8D6E0" TargetMode="External"/><Relationship Id="rId1" Type="http://schemas.openxmlformats.org/officeDocument/2006/relationships/externalLinkPath" Target="file:///\\11B8D6E0\Missouri%20West%20EO%20Calculated%20Cycle%203%20PY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EMW%20MEEIA%204%20STIP%20AND%20RIDER%20FORECAST%20PROGRAM%20COSTS-%2020250527.xlsx?11B8D6E0" TargetMode="External"/><Relationship Id="rId1" Type="http://schemas.openxmlformats.org/officeDocument/2006/relationships/externalLinkPath" Target="file:///\\11B8D6E0\EMW%20MEEIA%204%20STIP%20AND%20RIDER%20FORECAST%20PROGRAM%20COSTS-%2020250527.xlsx"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Cycle%203%20PY1%20EO%20TD%20Adj%20Calc.xlsx?11B8D6E0" TargetMode="External"/><Relationship Id="rId1" Type="http://schemas.openxmlformats.org/officeDocument/2006/relationships/externalLinkPath" Target="file:///\\11B8D6E0\Missouri%20West%20Cycle%203%20PY1%20EO%20TD%20Adj%20Calc.xlsx"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EO%20Calculated%20Cycle%203%20PY2.xlsx?11B8D6E0" TargetMode="External"/><Relationship Id="rId1" Type="http://schemas.openxmlformats.org/officeDocument/2006/relationships/externalLinkPath" Target="file:///\\11B8D6E0\Missouri%20West%20EO%20Calculated%20Cycle%203%20PY2.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Cycle%203%20PY2%20EO%20TD%20Adj%20Calc.xlsx?11B8D6E0" TargetMode="External"/><Relationship Id="rId1" Type="http://schemas.openxmlformats.org/officeDocument/2006/relationships/externalLinkPath" Target="file:///\\11B8D6E0\Missouri%20West%20Cycle%203%20PY2%20EO%20TD%20Adj%20Calc.xlsx"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EO%20Calculated%20Cycle%203%20PY3.xlsx?11B8D6E0" TargetMode="External"/><Relationship Id="rId1" Type="http://schemas.openxmlformats.org/officeDocument/2006/relationships/externalLinkPath" Target="file:///\\11B8D6E0\Missouri%20West%20EO%20Calculated%20Cycle%203%20PY3.xlsx" TargetMode="External"/></Relationships>
</file>

<file path=xl/externalLinks/_rels/externalLink24.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Missouri%20West%20Cycle%203%20PY3%20EO%20TD%20Adj%20Calc%202025%2020250528.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Cycle%203%20PY3%20EO%20TD%20Adj%20Calc%202025%2020250528.xlsx?11B8D6E0" TargetMode="External"/><Relationship Id="rId1" Type="http://schemas.openxmlformats.org/officeDocument/2006/relationships/externalLinkPath" Target="file:///\\11B8D6E0\Missouri%20West%20Cycle%203%20PY3%20EO%20TD%20Adj%20Calc%202025%2020250528.xlsx" TargetMode="External"/></Relationships>
</file>

<file path=xl/externalLinks/_rels/externalLink25.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Missouri%20West%20EO%20Calculated%20Cycle%203%20PY4.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EO%20Calculated%20Cycle%203%20PY4.xlsx?11B8D6E0" TargetMode="External"/><Relationship Id="rId1" Type="http://schemas.openxmlformats.org/officeDocument/2006/relationships/externalLinkPath" Target="file:///\\11B8D6E0\Missouri%20West%20EO%20Calculated%20Cycle%203%20PY4.xlsx"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Missouri%20West%20EO%20Calculated%20Cycle%203%20PY5.xlsb?11B8D6E0" TargetMode="External"/><Relationship Id="rId1" Type="http://schemas.openxmlformats.org/officeDocument/2006/relationships/externalLinkPath" Target="file:///\\11B8D6E0\Missouri%20West%20EO%20Calculated%20Cycle%203%20PY5.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issouri%20West%20MEEIA%20DSIM%20Rider/20250601%20Filing/11%202024%20MO%20West%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issouri%20West%20MEEIA%20DSIM%20Rider/20250601%20Filing/11%202024%20MO%20West%20Spend%20Allocations%20Worksheet%20FINAL.xlsx?11B8D6E0" TargetMode="External"/><Relationship Id="rId1" Type="http://schemas.openxmlformats.org/officeDocument/2006/relationships/externalLinkPath" Target="file:///\\11B8D6E0\11%202024%20MO%20West%20Spend%20Allocations%20Worksheet%20FINAL.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12%202024%20MO%20West%20Spend%20Allocations%20Worksheet%20FINAL.xlsx?11B8D6E0" TargetMode="External"/><Relationship Id="rId1" Type="http://schemas.openxmlformats.org/officeDocument/2006/relationships/externalLinkPath" Target="file:///\\11B8D6E0\12%202024%20MO%20West%20Spend%20Allocations%20Worksheet%20FINAL.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1%202025%20MO%20West%20C3%20Spend%20Allocations%20Worksheet%20FINAL-%20exclude%20SI0000_%20activity.xlsx?11B8D6E0" TargetMode="External"/><Relationship Id="rId1" Type="http://schemas.openxmlformats.org/officeDocument/2006/relationships/externalLinkPath" Target="file:///\\11B8D6E0\01%202025%20MO%20West%20C3%20Spend%20Allocations%20Worksheet%20FINAL-%20exclude%20SI0000_%20activity.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2%202025%20MO%20West%20C3%20Spend%20Allocations%20Worksheet%20FINAL.xlsx?11B8D6E0" TargetMode="External"/><Relationship Id="rId1" Type="http://schemas.openxmlformats.org/officeDocument/2006/relationships/externalLinkPath" Target="file:///\\11B8D6E0\02%202025%20MO%20West%20C3%20Spend%20Allocations%20Worksheet%20FINAL.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3%202025%20MO%20West%20C3%20Spend%20Allocations%20Worksheet%20FINAL.xlsx?11B8D6E0" TargetMode="External"/><Relationship Id="rId1" Type="http://schemas.openxmlformats.org/officeDocument/2006/relationships/externalLinkPath" Target="file:///\\11B8D6E0\03%202025%20MO%20West%20C3%20Spend%20Allocations%20Worksheet%20FINAL.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4%202025%20MO%20West%20C3%20Spend%20Allocations%20Worksheet%20FINAL.xlsx?11B8D6E0" TargetMode="External"/><Relationship Id="rId1" Type="http://schemas.openxmlformats.org/officeDocument/2006/relationships/externalLinkPath" Target="file:///\\11B8D6E0\04%202025%20MO%20West%20C3%20Spend%20Allocations%20Worksheet%20FINAL.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issouri%20West%20MEEIA%20DSIM%20Rider/20250601%20Filing/05%202025%20ADM%20forecast%20MO%20West%20C3%20Spend%20Allocations%20Worksheet.xlsx?11B8D6E0" TargetMode="External"/><Relationship Id="rId1" Type="http://schemas.openxmlformats.org/officeDocument/2006/relationships/externalLinkPath" Target="file:///\\11B8D6E0\05%202025%20ADM%20forecast%20MO%20West%20C3%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MO Billed kWh Sales"/>
    </sheetNames>
    <sheetDataSet>
      <sheetData sheetId="0">
        <row r="28">
          <cell r="R28">
            <v>221940439.98763728</v>
          </cell>
          <cell r="S28">
            <v>280293167.59118003</v>
          </cell>
          <cell r="T28">
            <v>388969094.5514046</v>
          </cell>
        </row>
        <row r="29">
          <cell r="R29">
            <v>95314590</v>
          </cell>
          <cell r="S29">
            <v>106387006</v>
          </cell>
          <cell r="T29">
            <v>118954976</v>
          </cell>
        </row>
        <row r="30">
          <cell r="R30">
            <v>77907809</v>
          </cell>
          <cell r="S30">
            <v>86958130</v>
          </cell>
          <cell r="T30">
            <v>97230880</v>
          </cell>
        </row>
        <row r="31">
          <cell r="R31">
            <v>54122449</v>
          </cell>
          <cell r="S31">
            <v>60409695</v>
          </cell>
          <cell r="T31">
            <v>67546161</v>
          </cell>
        </row>
        <row r="39">
          <cell r="E39">
            <v>1977171628.6319818</v>
          </cell>
          <cell r="F39">
            <v>1815163769.9344089</v>
          </cell>
        </row>
        <row r="40">
          <cell r="E40">
            <v>624110119</v>
          </cell>
          <cell r="F40">
            <v>583289759</v>
          </cell>
        </row>
        <row r="41">
          <cell r="E41">
            <v>510132308</v>
          </cell>
          <cell r="F41">
            <v>476766745</v>
          </cell>
        </row>
        <row r="42">
          <cell r="E42">
            <v>354388224</v>
          </cell>
          <cell r="F42">
            <v>331209213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ovember 2024"/>
      <sheetName val="December 2024"/>
      <sheetName val="January 2025"/>
      <sheetName val="February 2025"/>
      <sheetName val="March 2025"/>
      <sheetName val="April 2025"/>
    </sheetNames>
    <sheetDataSet>
      <sheetData sheetId="0">
        <row r="52">
          <cell r="G52">
            <v>10249.77</v>
          </cell>
        </row>
        <row r="53">
          <cell r="G53">
            <v>2967.05</v>
          </cell>
        </row>
        <row r="54">
          <cell r="G54">
            <v>3368.55</v>
          </cell>
        </row>
        <row r="55">
          <cell r="G55">
            <v>1275.1899999999998</v>
          </cell>
        </row>
        <row r="68">
          <cell r="G68">
            <v>0.13999999999999999</v>
          </cell>
        </row>
        <row r="69">
          <cell r="G69">
            <v>978.15638518524486</v>
          </cell>
        </row>
        <row r="70">
          <cell r="G70">
            <v>833.29171883564959</v>
          </cell>
        </row>
        <row r="71">
          <cell r="G71">
            <v>630.56189597910543</v>
          </cell>
        </row>
        <row r="76">
          <cell r="G76">
            <v>229622.55</v>
          </cell>
        </row>
        <row r="77">
          <cell r="G77">
            <v>68591.55</v>
          </cell>
        </row>
        <row r="78">
          <cell r="G78">
            <v>72808.39</v>
          </cell>
        </row>
        <row r="79">
          <cell r="G79">
            <v>74954.92</v>
          </cell>
        </row>
        <row r="83">
          <cell r="G83">
            <v>-14351.34</v>
          </cell>
        </row>
        <row r="84">
          <cell r="G84">
            <v>9024.51</v>
          </cell>
        </row>
        <row r="85">
          <cell r="G85">
            <v>-43108.31</v>
          </cell>
        </row>
        <row r="86">
          <cell r="G86">
            <v>-94142.89</v>
          </cell>
        </row>
        <row r="90">
          <cell r="G90">
            <v>110710.66</v>
          </cell>
        </row>
        <row r="91">
          <cell r="G91">
            <v>61662.82</v>
          </cell>
        </row>
        <row r="92">
          <cell r="G92">
            <v>50796.55</v>
          </cell>
        </row>
        <row r="93">
          <cell r="G93">
            <v>8968.9699999999993</v>
          </cell>
        </row>
        <row r="97">
          <cell r="G97">
            <v>-10250.99</v>
          </cell>
        </row>
        <row r="98">
          <cell r="G98">
            <v>-5964.83</v>
          </cell>
        </row>
        <row r="99">
          <cell r="G99">
            <v>1693.22</v>
          </cell>
        </row>
        <row r="100">
          <cell r="G100">
            <v>1921.92</v>
          </cell>
        </row>
        <row r="104">
          <cell r="G104">
            <v>-4100.28</v>
          </cell>
        </row>
        <row r="105">
          <cell r="G105">
            <v>0</v>
          </cell>
        </row>
        <row r="106">
          <cell r="G106">
            <v>0</v>
          </cell>
        </row>
        <row r="107">
          <cell r="G107">
            <v>0</v>
          </cell>
        </row>
        <row r="111">
          <cell r="G111">
            <v>155815.01999999999</v>
          </cell>
        </row>
        <row r="112">
          <cell r="G112">
            <v>39783.279999999999</v>
          </cell>
        </row>
        <row r="113">
          <cell r="G113">
            <v>59262.64</v>
          </cell>
        </row>
        <row r="114">
          <cell r="G114">
            <v>49329.3</v>
          </cell>
        </row>
        <row r="118">
          <cell r="G118">
            <v>0</v>
          </cell>
        </row>
        <row r="119">
          <cell r="G119">
            <v>0</v>
          </cell>
        </row>
        <row r="120">
          <cell r="G120">
            <v>0</v>
          </cell>
        </row>
        <row r="121">
          <cell r="G121">
            <v>0</v>
          </cell>
        </row>
        <row r="125">
          <cell r="G125">
            <v>2050.19</v>
          </cell>
        </row>
        <row r="126">
          <cell r="G126">
            <v>994.74</v>
          </cell>
        </row>
        <row r="127">
          <cell r="G127">
            <v>846.61</v>
          </cell>
        </row>
        <row r="128">
          <cell r="G128">
            <v>1281.28</v>
          </cell>
        </row>
        <row r="132">
          <cell r="G132">
            <v>0</v>
          </cell>
        </row>
        <row r="133">
          <cell r="G133">
            <v>0</v>
          </cell>
        </row>
        <row r="134">
          <cell r="G134">
            <v>0</v>
          </cell>
        </row>
        <row r="135">
          <cell r="G135">
            <v>0</v>
          </cell>
        </row>
        <row r="169">
          <cell r="G169">
            <v>205019778.92699975</v>
          </cell>
        </row>
        <row r="170">
          <cell r="G170">
            <v>99494068.543500021</v>
          </cell>
        </row>
        <row r="171">
          <cell r="G171">
            <v>84660915.921300024</v>
          </cell>
        </row>
        <row r="172">
          <cell r="G172">
            <v>64064030.454799987</v>
          </cell>
        </row>
      </sheetData>
      <sheetData sheetId="1">
        <row r="52">
          <cell r="G52">
            <v>14989.26</v>
          </cell>
        </row>
        <row r="53">
          <cell r="G53">
            <v>3497.6600000000003</v>
          </cell>
        </row>
        <row r="54">
          <cell r="G54">
            <v>3571.44</v>
          </cell>
        </row>
        <row r="55">
          <cell r="G55">
            <v>1294.0899999999999</v>
          </cell>
        </row>
        <row r="68">
          <cell r="G68">
            <v>-7.9999999999999988E-2</v>
          </cell>
        </row>
        <row r="69">
          <cell r="G69">
            <v>1156.1652658852108</v>
          </cell>
        </row>
        <row r="70">
          <cell r="G70">
            <v>885.42339068509284</v>
          </cell>
        </row>
        <row r="71">
          <cell r="G71">
            <v>641.39134342969646</v>
          </cell>
        </row>
        <row r="76">
          <cell r="G76">
            <v>335796.82</v>
          </cell>
        </row>
        <row r="77">
          <cell r="G77">
            <v>80768.429999999993</v>
          </cell>
        </row>
        <row r="78">
          <cell r="G78">
            <v>77115.92</v>
          </cell>
        </row>
        <row r="79">
          <cell r="G79">
            <v>75998.67</v>
          </cell>
        </row>
        <row r="83">
          <cell r="G83">
            <v>-20985.879999999997</v>
          </cell>
        </row>
        <row r="84">
          <cell r="G84">
            <v>10595.970000000001</v>
          </cell>
        </row>
        <row r="85">
          <cell r="G85">
            <v>-45675.32</v>
          </cell>
        </row>
        <row r="86">
          <cell r="G86">
            <v>-95461.069999999992</v>
          </cell>
        </row>
        <row r="90">
          <cell r="G90">
            <v>161892.20000000001</v>
          </cell>
        </row>
        <row r="91">
          <cell r="G91">
            <v>72583.34</v>
          </cell>
        </row>
        <row r="92">
          <cell r="G92">
            <v>53801.81</v>
          </cell>
        </row>
        <row r="93">
          <cell r="G93">
            <v>9093.86</v>
          </cell>
        </row>
        <row r="97">
          <cell r="G97">
            <v>-14990.65</v>
          </cell>
        </row>
        <row r="98">
          <cell r="G98">
            <v>-7023.35</v>
          </cell>
        </row>
        <row r="99">
          <cell r="G99">
            <v>1793.39</v>
          </cell>
        </row>
        <row r="100">
          <cell r="G100">
            <v>1948.68</v>
          </cell>
        </row>
        <row r="104">
          <cell r="G104">
            <v>-5996.48</v>
          </cell>
        </row>
        <row r="105">
          <cell r="G105">
            <v>0</v>
          </cell>
        </row>
        <row r="106">
          <cell r="G106">
            <v>0</v>
          </cell>
        </row>
        <row r="107">
          <cell r="G107">
            <v>0</v>
          </cell>
        </row>
        <row r="111">
          <cell r="G111">
            <v>227847.62</v>
          </cell>
        </row>
        <row r="112">
          <cell r="G112">
            <v>46826.63</v>
          </cell>
        </row>
        <row r="113">
          <cell r="G113">
            <v>62768.77</v>
          </cell>
        </row>
        <row r="114">
          <cell r="G114">
            <v>50016.22</v>
          </cell>
        </row>
        <row r="118">
          <cell r="G118">
            <v>0</v>
          </cell>
        </row>
        <row r="119">
          <cell r="G119">
            <v>0</v>
          </cell>
        </row>
        <row r="120">
          <cell r="G120">
            <v>0</v>
          </cell>
        </row>
        <row r="121">
          <cell r="G121">
            <v>0</v>
          </cell>
        </row>
        <row r="125">
          <cell r="G125">
            <v>2997.84</v>
          </cell>
        </row>
        <row r="126">
          <cell r="G126">
            <v>1170.75</v>
          </cell>
        </row>
        <row r="127">
          <cell r="G127">
            <v>896.7</v>
          </cell>
        </row>
        <row r="128">
          <cell r="G128">
            <v>1299.1199999999999</v>
          </cell>
        </row>
        <row r="132">
          <cell r="G132">
            <v>0</v>
          </cell>
        </row>
        <row r="133">
          <cell r="G133">
            <v>0</v>
          </cell>
        </row>
        <row r="134">
          <cell r="G134">
            <v>0</v>
          </cell>
        </row>
        <row r="135">
          <cell r="G135">
            <v>0</v>
          </cell>
        </row>
        <row r="169">
          <cell r="G169">
            <v>299802577.8136999</v>
          </cell>
        </row>
        <row r="170">
          <cell r="G170">
            <v>117104646.73519997</v>
          </cell>
        </row>
        <row r="171">
          <cell r="G171">
            <v>89669675.407700032</v>
          </cell>
        </row>
        <row r="172">
          <cell r="G172">
            <v>64956128.984200008</v>
          </cell>
        </row>
      </sheetData>
      <sheetData sheetId="2">
        <row r="52">
          <cell r="G52">
            <v>19072.939999999999</v>
          </cell>
        </row>
        <row r="53">
          <cell r="G53">
            <v>3868.8999999999996</v>
          </cell>
        </row>
        <row r="54">
          <cell r="G54">
            <v>3558.53</v>
          </cell>
        </row>
        <row r="55">
          <cell r="G55">
            <v>1232.0899999999999</v>
          </cell>
        </row>
        <row r="68">
          <cell r="G68">
            <v>10.56</v>
          </cell>
        </row>
        <row r="69">
          <cell r="G69">
            <v>1287.3158871347784</v>
          </cell>
        </row>
        <row r="70">
          <cell r="G70">
            <v>887.33538524976439</v>
          </cell>
        </row>
        <row r="71">
          <cell r="G71">
            <v>614.39872761545712</v>
          </cell>
        </row>
        <row r="76">
          <cell r="G76">
            <v>426737.64</v>
          </cell>
        </row>
        <row r="77">
          <cell r="G77">
            <v>89023.43</v>
          </cell>
        </row>
        <row r="78">
          <cell r="G78">
            <v>76638.98</v>
          </cell>
        </row>
        <row r="79">
          <cell r="G79">
            <v>72193.84</v>
          </cell>
        </row>
        <row r="83">
          <cell r="G83">
            <v>-26629.050000000003</v>
          </cell>
        </row>
        <row r="84">
          <cell r="G84">
            <v>11744.820000000002</v>
          </cell>
        </row>
        <row r="85">
          <cell r="G85">
            <v>-45436.759999999995</v>
          </cell>
        </row>
        <row r="86">
          <cell r="G86">
            <v>-90700.11</v>
          </cell>
        </row>
        <row r="90">
          <cell r="G90">
            <v>205722.19</v>
          </cell>
        </row>
        <row r="91">
          <cell r="G91">
            <v>80022.59</v>
          </cell>
        </row>
        <row r="92">
          <cell r="G92">
            <v>53469.06</v>
          </cell>
        </row>
        <row r="93">
          <cell r="G93">
            <v>8638.58</v>
          </cell>
        </row>
        <row r="97">
          <cell r="G97">
            <v>-19048.810000000001</v>
          </cell>
        </row>
        <row r="98">
          <cell r="G98">
            <v>-7743.88</v>
          </cell>
        </row>
        <row r="99">
          <cell r="G99">
            <v>1782.3</v>
          </cell>
        </row>
        <row r="100">
          <cell r="G100">
            <v>1851.12</v>
          </cell>
        </row>
        <row r="104">
          <cell r="G104">
            <v>-7624.72</v>
          </cell>
        </row>
        <row r="105">
          <cell r="G105">
            <v>-9.81</v>
          </cell>
        </row>
        <row r="106">
          <cell r="G106">
            <v>0</v>
          </cell>
        </row>
        <row r="107">
          <cell r="G107">
            <v>0</v>
          </cell>
        </row>
        <row r="111">
          <cell r="G111">
            <v>289496.99</v>
          </cell>
        </row>
        <row r="112">
          <cell r="G112">
            <v>51630.97</v>
          </cell>
        </row>
        <row r="113">
          <cell r="G113">
            <v>62380.57</v>
          </cell>
        </row>
        <row r="114">
          <cell r="G114">
            <v>47512.18</v>
          </cell>
        </row>
        <row r="118">
          <cell r="G118">
            <v>71.98</v>
          </cell>
        </row>
        <row r="119">
          <cell r="G119">
            <v>98.06</v>
          </cell>
        </row>
        <row r="120">
          <cell r="G120">
            <v>0</v>
          </cell>
        </row>
        <row r="121">
          <cell r="G121">
            <v>0</v>
          </cell>
        </row>
        <row r="125">
          <cell r="G125">
            <v>3809.09</v>
          </cell>
        </row>
        <row r="126">
          <cell r="G126">
            <v>1290.28</v>
          </cell>
        </row>
        <row r="127">
          <cell r="G127">
            <v>891.15</v>
          </cell>
        </row>
        <row r="128">
          <cell r="G128">
            <v>1234.08</v>
          </cell>
        </row>
        <row r="132">
          <cell r="G132">
            <v>1.91</v>
          </cell>
        </row>
        <row r="133">
          <cell r="G133">
            <v>0.98</v>
          </cell>
        </row>
        <row r="134">
          <cell r="G134">
            <v>0</v>
          </cell>
        </row>
        <row r="135">
          <cell r="G135">
            <v>0</v>
          </cell>
        </row>
        <row r="169">
          <cell r="G169">
            <v>380980161.07039958</v>
          </cell>
        </row>
        <row r="170">
          <cell r="G170">
            <v>129128549.50220008</v>
          </cell>
        </row>
        <row r="171">
          <cell r="G171">
            <v>89115094.340200022</v>
          </cell>
        </row>
        <row r="172">
          <cell r="G172">
            <v>61704135.04519999</v>
          </cell>
        </row>
      </sheetData>
      <sheetData sheetId="3">
        <row r="52">
          <cell r="G52">
            <v>8183.65</v>
          </cell>
        </row>
        <row r="53">
          <cell r="G53">
            <v>2772.94</v>
          </cell>
        </row>
        <row r="54">
          <cell r="G54">
            <v>1894.6200000000001</v>
          </cell>
        </row>
        <row r="55">
          <cell r="G55">
            <v>698.64</v>
          </cell>
        </row>
        <row r="68">
          <cell r="G68">
            <v>-4092.49</v>
          </cell>
        </row>
        <row r="69">
          <cell r="G69">
            <v>1367.6969636331999</v>
          </cell>
        </row>
        <row r="70">
          <cell r="G70">
            <v>0.24556290238385245</v>
          </cell>
        </row>
        <row r="71">
          <cell r="G71">
            <v>664.25747346441619</v>
          </cell>
        </row>
        <row r="76">
          <cell r="G76">
            <v>16408.099999999999</v>
          </cell>
        </row>
        <row r="77">
          <cell r="G77">
            <v>6070.64</v>
          </cell>
        </row>
        <row r="78">
          <cell r="G78">
            <v>4793.6099999999997</v>
          </cell>
        </row>
        <row r="79">
          <cell r="G79">
            <v>6985.6</v>
          </cell>
        </row>
        <row r="83">
          <cell r="G83">
            <v>261935.78</v>
          </cell>
        </row>
        <row r="84">
          <cell r="G84">
            <v>158955.71</v>
          </cell>
        </row>
        <row r="85">
          <cell r="G85">
            <v>49658.07</v>
          </cell>
        </row>
        <row r="86">
          <cell r="G86">
            <v>-5151.1099999999997</v>
          </cell>
        </row>
        <row r="90">
          <cell r="G90">
            <v>24570.38</v>
          </cell>
        </row>
        <row r="91">
          <cell r="G91">
            <v>37738.129999999997</v>
          </cell>
        </row>
        <row r="92">
          <cell r="G92">
            <v>19104.77</v>
          </cell>
        </row>
        <row r="93">
          <cell r="G93">
            <v>3618.72</v>
          </cell>
        </row>
        <row r="97">
          <cell r="G97">
            <v>-1.29</v>
          </cell>
        </row>
        <row r="98">
          <cell r="G98">
            <v>-4189.76</v>
          </cell>
        </row>
        <row r="99">
          <cell r="G99">
            <v>4773</v>
          </cell>
        </row>
        <row r="100">
          <cell r="G100">
            <v>2028.79</v>
          </cell>
        </row>
        <row r="104">
          <cell r="G104">
            <v>-45020.480000000003</v>
          </cell>
        </row>
        <row r="105">
          <cell r="G105">
            <v>-13810.3</v>
          </cell>
        </row>
        <row r="106">
          <cell r="G106">
            <v>-11454.03</v>
          </cell>
        </row>
        <row r="107">
          <cell r="G107">
            <v>-8448.5</v>
          </cell>
        </row>
        <row r="111">
          <cell r="G111">
            <v>155544.72</v>
          </cell>
        </row>
        <row r="112">
          <cell r="G112">
            <v>32049.27</v>
          </cell>
        </row>
        <row r="113">
          <cell r="G113">
            <v>42015.29</v>
          </cell>
        </row>
        <row r="114">
          <cell r="G114">
            <v>31275.96</v>
          </cell>
        </row>
        <row r="118">
          <cell r="G118">
            <v>618005.04</v>
          </cell>
        </row>
        <row r="119">
          <cell r="G119">
            <v>138102.98000000001</v>
          </cell>
        </row>
        <row r="120">
          <cell r="G120">
            <v>227171.6</v>
          </cell>
        </row>
        <row r="121">
          <cell r="G121">
            <v>272951.56</v>
          </cell>
        </row>
        <row r="125">
          <cell r="G125">
            <v>4092.96</v>
          </cell>
        </row>
        <row r="126">
          <cell r="G126">
            <v>7.02</v>
          </cell>
        </row>
        <row r="127">
          <cell r="G127">
            <v>954.75</v>
          </cell>
        </row>
        <row r="128">
          <cell r="G128">
            <v>702.64</v>
          </cell>
        </row>
        <row r="132">
          <cell r="G132">
            <v>16370.99</v>
          </cell>
        </row>
        <row r="133">
          <cell r="G133">
            <v>1381.03</v>
          </cell>
        </row>
        <row r="134">
          <cell r="G134">
            <v>954.5</v>
          </cell>
        </row>
        <row r="135">
          <cell r="G135">
            <v>649.88</v>
          </cell>
        </row>
        <row r="169">
          <cell r="G169">
            <v>409301197.12469983</v>
          </cell>
        </row>
        <row r="170">
          <cell r="G170">
            <v>138865860.31440005</v>
          </cell>
        </row>
        <row r="171">
          <cell r="G171">
            <v>95474788.685300022</v>
          </cell>
        </row>
        <row r="172">
          <cell r="G172">
            <v>67626318.628900006</v>
          </cell>
        </row>
      </sheetData>
      <sheetData sheetId="4">
        <row r="52">
          <cell r="G52">
            <v>6409.91</v>
          </cell>
        </row>
        <row r="53">
          <cell r="G53">
            <v>429.14</v>
          </cell>
        </row>
        <row r="54">
          <cell r="G54">
            <v>841.78</v>
          </cell>
        </row>
        <row r="55">
          <cell r="G55">
            <v>342.81000000000006</v>
          </cell>
        </row>
        <row r="68">
          <cell r="G68">
            <v>-3213.51</v>
          </cell>
        </row>
        <row r="69">
          <cell r="G69">
            <v>-36.649615883656814</v>
          </cell>
        </row>
        <row r="70">
          <cell r="G70">
            <v>11.328559631291567</v>
          </cell>
        </row>
        <row r="71">
          <cell r="G71">
            <v>-158.3689437476348</v>
          </cell>
        </row>
        <row r="76">
          <cell r="G76">
            <v>12921.150000000001</v>
          </cell>
        </row>
        <row r="77">
          <cell r="G77">
            <v>-10319.19</v>
          </cell>
        </row>
        <row r="78">
          <cell r="G78">
            <v>2314.31</v>
          </cell>
        </row>
        <row r="79">
          <cell r="G79">
            <v>3786.52</v>
          </cell>
        </row>
        <row r="83">
          <cell r="G83">
            <v>205365.66</v>
          </cell>
        </row>
        <row r="84">
          <cell r="G84">
            <v>135442.97999999998</v>
          </cell>
        </row>
        <row r="85">
          <cell r="G85">
            <v>43862.219999999994</v>
          </cell>
        </row>
        <row r="86">
          <cell r="G86">
            <v>-1172.71</v>
          </cell>
        </row>
        <row r="90">
          <cell r="G90">
            <v>19292.84</v>
          </cell>
        </row>
        <row r="91">
          <cell r="G91">
            <v>25675.16</v>
          </cell>
        </row>
        <row r="92">
          <cell r="G92">
            <v>16392.02</v>
          </cell>
        </row>
        <row r="93">
          <cell r="G93">
            <v>3186.14</v>
          </cell>
        </row>
        <row r="97">
          <cell r="G97">
            <v>-3.12</v>
          </cell>
        </row>
        <row r="98">
          <cell r="G98">
            <v>-2357.4499999999998</v>
          </cell>
        </row>
        <row r="99">
          <cell r="G99">
            <v>4235.3100000000004</v>
          </cell>
        </row>
        <row r="100">
          <cell r="G100">
            <v>1913.67</v>
          </cell>
        </row>
        <row r="104">
          <cell r="G104">
            <v>-35299.75</v>
          </cell>
        </row>
        <row r="105">
          <cell r="G105">
            <v>-11652.24</v>
          </cell>
        </row>
        <row r="106">
          <cell r="G106">
            <v>-10091.969999999999</v>
          </cell>
        </row>
        <row r="107">
          <cell r="G107">
            <v>-8297.34</v>
          </cell>
        </row>
        <row r="111">
          <cell r="G111">
            <v>122029.33</v>
          </cell>
        </row>
        <row r="112">
          <cell r="G112">
            <v>24037.33</v>
          </cell>
        </row>
        <row r="113">
          <cell r="G113">
            <v>36544.28</v>
          </cell>
        </row>
        <row r="114">
          <cell r="G114">
            <v>28693.24</v>
          </cell>
        </row>
        <row r="118">
          <cell r="G118">
            <v>484546.46</v>
          </cell>
        </row>
        <row r="119">
          <cell r="G119">
            <v>116522.4</v>
          </cell>
        </row>
        <row r="120">
          <cell r="G120">
            <v>200157.41</v>
          </cell>
        </row>
        <row r="121">
          <cell r="G121">
            <v>268067.84999999998</v>
          </cell>
        </row>
        <row r="125">
          <cell r="G125">
            <v>3210.04</v>
          </cell>
        </row>
        <row r="126">
          <cell r="G126">
            <v>-46.47</v>
          </cell>
        </row>
        <row r="127">
          <cell r="G127">
            <v>838.9</v>
          </cell>
        </row>
        <row r="128">
          <cell r="G128">
            <v>637.52</v>
          </cell>
        </row>
        <row r="132">
          <cell r="G132">
            <v>12835.67</v>
          </cell>
        </row>
        <row r="133">
          <cell r="G133">
            <v>1165.22</v>
          </cell>
        </row>
        <row r="134">
          <cell r="G134">
            <v>841</v>
          </cell>
        </row>
        <row r="135">
          <cell r="G135">
            <v>638.26</v>
          </cell>
        </row>
        <row r="169">
          <cell r="G169">
            <v>320989943.20819992</v>
          </cell>
        </row>
        <row r="170">
          <cell r="G170">
            <v>106808584.12380005</v>
          </cell>
        </row>
        <row r="171">
          <cell r="G171">
            <v>83991348.890899986</v>
          </cell>
        </row>
        <row r="172">
          <cell r="G172">
            <v>65165838.21289999</v>
          </cell>
        </row>
      </sheetData>
      <sheetData sheetId="5">
        <row r="52">
          <cell r="G52">
            <v>4222.6499999999996</v>
          </cell>
        </row>
        <row r="53">
          <cell r="G53">
            <v>1991.0500000000002</v>
          </cell>
        </row>
        <row r="54">
          <cell r="G54">
            <v>1554.93</v>
          </cell>
        </row>
        <row r="55">
          <cell r="G55">
            <v>641.79000000000008</v>
          </cell>
        </row>
        <row r="68">
          <cell r="G68">
            <v>-2102.29</v>
          </cell>
        </row>
        <row r="69">
          <cell r="G69">
            <v>1003.1054955200553</v>
          </cell>
        </row>
        <row r="70">
          <cell r="G70">
            <v>0</v>
          </cell>
        </row>
        <row r="71">
          <cell r="G71">
            <v>639.63450447994478</v>
          </cell>
        </row>
        <row r="76">
          <cell r="G76">
            <v>8482.4500000000007</v>
          </cell>
        </row>
        <row r="77">
          <cell r="G77">
            <v>4069.45</v>
          </cell>
        </row>
        <row r="78">
          <cell r="G78">
            <v>3895.85</v>
          </cell>
        </row>
        <row r="79">
          <cell r="G79">
            <v>3856.35</v>
          </cell>
        </row>
        <row r="83">
          <cell r="G83">
            <v>134869.99000000002</v>
          </cell>
        </row>
        <row r="84">
          <cell r="G84">
            <v>112199.71</v>
          </cell>
        </row>
        <row r="85">
          <cell r="G85">
            <v>40525.89</v>
          </cell>
        </row>
        <row r="86">
          <cell r="G86">
            <v>-1277.99</v>
          </cell>
        </row>
        <row r="90">
          <cell r="G90">
            <v>12660.96</v>
          </cell>
        </row>
        <row r="91">
          <cell r="G91">
            <v>26365.360000000001</v>
          </cell>
        </row>
        <row r="92">
          <cell r="G92">
            <v>15583.41</v>
          </cell>
        </row>
        <row r="93">
          <cell r="G93">
            <v>3213.62</v>
          </cell>
        </row>
        <row r="97">
          <cell r="G97">
            <v>-1.76</v>
          </cell>
        </row>
        <row r="98">
          <cell r="G98">
            <v>-2938.52</v>
          </cell>
        </row>
        <row r="99">
          <cell r="G99">
            <v>3895.85</v>
          </cell>
        </row>
        <row r="100">
          <cell r="G100">
            <v>1928.17</v>
          </cell>
        </row>
        <row r="104">
          <cell r="G104">
            <v>-23181.489999999998</v>
          </cell>
        </row>
        <row r="105">
          <cell r="G105">
            <v>-9756.35</v>
          </cell>
        </row>
        <row r="106">
          <cell r="G106">
            <v>-9350.0499999999993</v>
          </cell>
        </row>
        <row r="107">
          <cell r="G107">
            <v>-8355.42</v>
          </cell>
        </row>
        <row r="111">
          <cell r="G111">
            <v>80077.11</v>
          </cell>
        </row>
        <row r="112">
          <cell r="G112">
            <v>22430.94</v>
          </cell>
        </row>
        <row r="113">
          <cell r="G113">
            <v>34283.5</v>
          </cell>
        </row>
        <row r="114">
          <cell r="G114">
            <v>28922.61</v>
          </cell>
        </row>
        <row r="118">
          <cell r="G118">
            <v>318211.44</v>
          </cell>
        </row>
        <row r="119">
          <cell r="G119">
            <v>97563.55</v>
          </cell>
        </row>
        <row r="120">
          <cell r="G120">
            <v>185442.59</v>
          </cell>
        </row>
        <row r="121">
          <cell r="G121">
            <v>269944.40000000002</v>
          </cell>
        </row>
        <row r="125">
          <cell r="G125">
            <v>2107.25</v>
          </cell>
        </row>
        <row r="126">
          <cell r="G126">
            <v>-0.49</v>
          </cell>
        </row>
        <row r="127">
          <cell r="G127">
            <v>779.17</v>
          </cell>
        </row>
        <row r="128">
          <cell r="G128">
            <v>642.72</v>
          </cell>
        </row>
        <row r="132">
          <cell r="G132">
            <v>8429.44</v>
          </cell>
        </row>
        <row r="133">
          <cell r="G133">
            <v>975.64</v>
          </cell>
        </row>
        <row r="134">
          <cell r="G134">
            <v>779.17</v>
          </cell>
        </row>
        <row r="135">
          <cell r="G135">
            <v>642.72</v>
          </cell>
        </row>
        <row r="169">
          <cell r="G169">
            <v>210751155.08590007</v>
          </cell>
        </row>
        <row r="170">
          <cell r="G170">
            <v>97600984.124499962</v>
          </cell>
        </row>
        <row r="171">
          <cell r="G171">
            <v>77917055.704300016</v>
          </cell>
        </row>
        <row r="172">
          <cell r="G172">
            <v>64272477.273399979</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O West ST Rate Apr 2025"/>
      <sheetName val="MO West ST Rate Mar 2025"/>
      <sheetName val="MO West ST Rate Feb 2025"/>
      <sheetName val="MO West ST Rate Jan 2025"/>
      <sheetName val="MO West ST Rate Dec 2024"/>
      <sheetName val="MO West ST Rate Nov 2024"/>
    </sheetNames>
    <sheetDataSet>
      <sheetData sheetId="0">
        <row r="43">
          <cell r="E43">
            <v>4.6276800000000003E-3</v>
          </cell>
        </row>
      </sheetData>
      <sheetData sheetId="1">
        <row r="43">
          <cell r="E43">
            <v>4.62145E-3</v>
          </cell>
        </row>
      </sheetData>
      <sheetData sheetId="2">
        <row r="43">
          <cell r="E43">
            <v>4.6177400000000004E-3</v>
          </cell>
        </row>
      </sheetData>
      <sheetData sheetId="3">
        <row r="43">
          <cell r="E43">
            <v>4.6108499999999997E-3</v>
          </cell>
        </row>
      </sheetData>
      <sheetData sheetId="4">
        <row r="43">
          <cell r="E43">
            <v>4.6890200000000003E-3</v>
          </cell>
        </row>
      </sheetData>
      <sheetData sheetId="5">
        <row r="43">
          <cell r="E43">
            <v>4.8565300000000004E-3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sheetData sheetId="3">
        <row r="40">
          <cell r="N40">
            <v>31514.300000000003</v>
          </cell>
          <cell r="O40">
            <v>19728.689999999999</v>
          </cell>
          <cell r="Q40">
            <v>38972.619999999995</v>
          </cell>
          <cell r="R40">
            <v>44796.079999999994</v>
          </cell>
        </row>
      </sheetData>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sheetData sheetId="3">
        <row r="40">
          <cell r="N40">
            <v>70008.03</v>
          </cell>
          <cell r="O40">
            <v>6955.66</v>
          </cell>
          <cell r="Q40">
            <v>8172.5900000000038</v>
          </cell>
          <cell r="R40">
            <v>7113.7300000000178</v>
          </cell>
        </row>
      </sheetData>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sheetData sheetId="3">
        <row r="40">
          <cell r="N40">
            <v>104307.51</v>
          </cell>
          <cell r="O40">
            <v>36675.1</v>
          </cell>
          <cell r="Q40">
            <v>37285.46</v>
          </cell>
          <cell r="R40">
            <v>28457.089999999982</v>
          </cell>
        </row>
      </sheetData>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Cost by Qtr"/>
      <sheetName val="Historical Cost by Mth"/>
      <sheetName val="Historical Mthly Cost Alloc"/>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sheetData sheetId="3"/>
      <sheetData sheetId="4">
        <row r="13">
          <cell r="O13">
            <v>302.63</v>
          </cell>
        </row>
      </sheetData>
      <sheetData sheetId="5"/>
      <sheetData sheetId="6">
        <row r="40">
          <cell r="N40">
            <v>152712.35</v>
          </cell>
          <cell r="O40">
            <v>131658.03999999998</v>
          </cell>
          <cell r="Q40">
            <v>-3155.8099999999977</v>
          </cell>
          <cell r="R40">
            <v>17082.869999999995</v>
          </cell>
        </row>
      </sheetData>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put"/>
      <sheetName val="Program Descriptions"/>
      <sheetName val="Monthly TD Calc-PY1-3"/>
      <sheetName val="Monthly TD Calc-PY4"/>
      <sheetName val="Monthly TD Calc-PY5"/>
      <sheetName val="Summary Monthly TD Calc"/>
    </sheetNames>
    <sheetDataSet>
      <sheetData sheetId="0" refreshError="1"/>
      <sheetData sheetId="1" refreshError="1"/>
      <sheetData sheetId="2">
        <row r="461">
          <cell r="BK461">
            <v>2012169.6047695121</v>
          </cell>
          <cell r="BL461">
            <v>2410063.4501397954</v>
          </cell>
          <cell r="BM461">
            <v>0</v>
          </cell>
          <cell r="BN461">
            <v>0</v>
          </cell>
          <cell r="BO461">
            <v>0</v>
          </cell>
          <cell r="BP461">
            <v>0</v>
          </cell>
          <cell r="BQ461">
            <v>0</v>
          </cell>
          <cell r="BR461">
            <v>0</v>
          </cell>
        </row>
        <row r="462">
          <cell r="BK462">
            <v>613142.87158443511</v>
          </cell>
          <cell r="BL462">
            <v>615319.00307336962</v>
          </cell>
          <cell r="BM462">
            <v>0</v>
          </cell>
          <cell r="BN462">
            <v>0</v>
          </cell>
          <cell r="BO462">
            <v>0</v>
          </cell>
          <cell r="BP462">
            <v>0</v>
          </cell>
          <cell r="BQ462">
            <v>0</v>
          </cell>
          <cell r="BR462">
            <v>0</v>
          </cell>
        </row>
        <row r="464">
          <cell r="BK464">
            <v>1447354.2837782537</v>
          </cell>
          <cell r="BL464">
            <v>1452362.6826975925</v>
          </cell>
          <cell r="BM464">
            <v>0</v>
          </cell>
          <cell r="BN464">
            <v>0</v>
          </cell>
          <cell r="BO464">
            <v>0</v>
          </cell>
          <cell r="BP464">
            <v>0</v>
          </cell>
          <cell r="BQ464">
            <v>0</v>
          </cell>
          <cell r="BR464">
            <v>0</v>
          </cell>
        </row>
        <row r="465">
          <cell r="BK465">
            <v>355629.13631455408</v>
          </cell>
          <cell r="BL465">
            <v>356855.23712817801</v>
          </cell>
          <cell r="BM465">
            <v>0</v>
          </cell>
          <cell r="BN465">
            <v>0</v>
          </cell>
          <cell r="BO465">
            <v>0</v>
          </cell>
          <cell r="BP465">
            <v>0</v>
          </cell>
          <cell r="BQ465">
            <v>0</v>
          </cell>
          <cell r="BR465">
            <v>0</v>
          </cell>
        </row>
        <row r="563">
          <cell r="BK563">
            <v>68189.56</v>
          </cell>
          <cell r="BL563">
            <v>73392.89</v>
          </cell>
          <cell r="BM563">
            <v>0</v>
          </cell>
          <cell r="BN563">
            <v>0</v>
          </cell>
          <cell r="BO563">
            <v>0</v>
          </cell>
          <cell r="BP563">
            <v>0</v>
          </cell>
          <cell r="BQ563">
            <v>0</v>
          </cell>
          <cell r="BR563">
            <v>0</v>
          </cell>
        </row>
        <row r="564">
          <cell r="BK564">
            <v>23841.22</v>
          </cell>
          <cell r="BL564">
            <v>23275.9</v>
          </cell>
          <cell r="BM564">
            <v>0</v>
          </cell>
          <cell r="BN564">
            <v>0</v>
          </cell>
          <cell r="BO564">
            <v>0</v>
          </cell>
          <cell r="BP564">
            <v>0</v>
          </cell>
          <cell r="BQ564">
            <v>0</v>
          </cell>
          <cell r="BR564">
            <v>0</v>
          </cell>
        </row>
        <row r="566">
          <cell r="BK566">
            <v>29505.56</v>
          </cell>
          <cell r="BL566">
            <v>27463.05</v>
          </cell>
          <cell r="BM566">
            <v>0</v>
          </cell>
          <cell r="BN566">
            <v>0</v>
          </cell>
          <cell r="BO566">
            <v>0</v>
          </cell>
          <cell r="BP566">
            <v>0</v>
          </cell>
          <cell r="BQ566">
            <v>0</v>
          </cell>
          <cell r="BR566">
            <v>0</v>
          </cell>
        </row>
        <row r="567">
          <cell r="BK567">
            <v>1470.8200000000002</v>
          </cell>
          <cell r="BL567">
            <v>1499.42</v>
          </cell>
          <cell r="BM567">
            <v>0</v>
          </cell>
          <cell r="BN567">
            <v>0</v>
          </cell>
          <cell r="BO567">
            <v>0</v>
          </cell>
          <cell r="BP567">
            <v>0</v>
          </cell>
          <cell r="BQ567">
            <v>0</v>
          </cell>
          <cell r="BR567">
            <v>0</v>
          </cell>
        </row>
      </sheetData>
      <sheetData sheetId="3">
        <row r="469">
          <cell r="BK469">
            <v>742851.41676598019</v>
          </cell>
          <cell r="BL469">
            <v>714060.66453919455</v>
          </cell>
          <cell r="BM469">
            <v>0</v>
          </cell>
          <cell r="BN469">
            <v>0</v>
          </cell>
          <cell r="BO469">
            <v>0</v>
          </cell>
          <cell r="BP469">
            <v>0</v>
          </cell>
          <cell r="BQ469">
            <v>0</v>
          </cell>
          <cell r="BR469">
            <v>0</v>
          </cell>
        </row>
        <row r="470">
          <cell r="BK470">
            <v>512900.11207125895</v>
          </cell>
          <cell r="BL470">
            <v>505168.4123551175</v>
          </cell>
          <cell r="BM470">
            <v>0</v>
          </cell>
          <cell r="BN470">
            <v>0</v>
          </cell>
          <cell r="BO470">
            <v>0</v>
          </cell>
          <cell r="BP470">
            <v>0</v>
          </cell>
          <cell r="BQ470">
            <v>0</v>
          </cell>
          <cell r="BR470">
            <v>0</v>
          </cell>
        </row>
        <row r="472">
          <cell r="BK472">
            <v>629726.50192204921</v>
          </cell>
          <cell r="BL472">
            <v>622899.26208293927</v>
          </cell>
          <cell r="BM472">
            <v>0</v>
          </cell>
          <cell r="BN472">
            <v>0</v>
          </cell>
          <cell r="BO472">
            <v>0</v>
          </cell>
          <cell r="BP472">
            <v>0</v>
          </cell>
          <cell r="BQ472">
            <v>0</v>
          </cell>
          <cell r="BR472">
            <v>0</v>
          </cell>
        </row>
        <row r="473">
          <cell r="BK473">
            <v>223546.92707903613</v>
          </cell>
          <cell r="BL473">
            <v>217559.54251815798</v>
          </cell>
          <cell r="BM473">
            <v>0</v>
          </cell>
          <cell r="BN473">
            <v>0</v>
          </cell>
          <cell r="BO473">
            <v>0</v>
          </cell>
          <cell r="BP473">
            <v>0</v>
          </cell>
          <cell r="BQ473">
            <v>0</v>
          </cell>
          <cell r="BR473">
            <v>0</v>
          </cell>
        </row>
        <row r="575">
          <cell r="BK575">
            <v>32663.990000000005</v>
          </cell>
          <cell r="BL575">
            <v>28506.29</v>
          </cell>
          <cell r="BM575">
            <v>0</v>
          </cell>
          <cell r="BN575">
            <v>0</v>
          </cell>
          <cell r="BO575">
            <v>0</v>
          </cell>
          <cell r="BP575">
            <v>0</v>
          </cell>
          <cell r="BQ575">
            <v>0</v>
          </cell>
          <cell r="BR575">
            <v>0</v>
          </cell>
        </row>
        <row r="576">
          <cell r="BK576">
            <v>19010.78</v>
          </cell>
          <cell r="BL576">
            <v>17859.52</v>
          </cell>
          <cell r="BM576">
            <v>0</v>
          </cell>
          <cell r="BN576">
            <v>0</v>
          </cell>
          <cell r="BO576">
            <v>0</v>
          </cell>
          <cell r="BP576">
            <v>0</v>
          </cell>
          <cell r="BQ576">
            <v>0</v>
          </cell>
          <cell r="BR576">
            <v>0</v>
          </cell>
        </row>
        <row r="578">
          <cell r="BK578">
            <v>15190.96</v>
          </cell>
          <cell r="BL578">
            <v>13682.650000000001</v>
          </cell>
          <cell r="BM578">
            <v>0</v>
          </cell>
          <cell r="BN578">
            <v>0</v>
          </cell>
          <cell r="BO578">
            <v>0</v>
          </cell>
          <cell r="BP578">
            <v>0</v>
          </cell>
          <cell r="BQ578">
            <v>0</v>
          </cell>
          <cell r="BR578">
            <v>0</v>
          </cell>
        </row>
        <row r="579">
          <cell r="BK579">
            <v>4053.11</v>
          </cell>
          <cell r="BL579">
            <v>3481.58</v>
          </cell>
          <cell r="BM579">
            <v>0</v>
          </cell>
          <cell r="BN579">
            <v>0</v>
          </cell>
          <cell r="BO579">
            <v>0</v>
          </cell>
          <cell r="BP579">
            <v>0</v>
          </cell>
          <cell r="BQ579">
            <v>0</v>
          </cell>
          <cell r="BR579">
            <v>0</v>
          </cell>
        </row>
      </sheetData>
      <sheetData sheetId="4">
        <row r="577">
          <cell r="BK577">
            <v>468090.78080633434</v>
          </cell>
          <cell r="BL577">
            <v>637603.54987111595</v>
          </cell>
          <cell r="BM577">
            <v>561911.46364113956</v>
          </cell>
          <cell r="BN577">
            <v>504580.87245460798</v>
          </cell>
          <cell r="BO577">
            <v>544606.19895476592</v>
          </cell>
          <cell r="BP577">
            <v>519975.37585522007</v>
          </cell>
          <cell r="BQ577">
            <v>569448.59727654757</v>
          </cell>
          <cell r="BR577">
            <v>671243.4594059753</v>
          </cell>
        </row>
        <row r="578">
          <cell r="BK578">
            <v>443759.07862620626</v>
          </cell>
          <cell r="BL578">
            <v>748824.80577242584</v>
          </cell>
          <cell r="BM578">
            <v>830454.50546697376</v>
          </cell>
          <cell r="BN578">
            <v>750771.15273600724</v>
          </cell>
          <cell r="BO578">
            <v>831923.5366674019</v>
          </cell>
          <cell r="BP578">
            <v>794156.35140484432</v>
          </cell>
          <cell r="BQ578">
            <v>832798.32883624791</v>
          </cell>
          <cell r="BR578">
            <v>799483.49167752918</v>
          </cell>
        </row>
        <row r="580">
          <cell r="BK580">
            <v>614872.41118185769</v>
          </cell>
          <cell r="BL580">
            <v>768414.10465091618</v>
          </cell>
          <cell r="BM580">
            <v>712770.00450926623</v>
          </cell>
          <cell r="BN580">
            <v>644320.21219431201</v>
          </cell>
          <cell r="BO580">
            <v>713996.55501918739</v>
          </cell>
          <cell r="BP580">
            <v>681946.96936054493</v>
          </cell>
          <cell r="BQ580">
            <v>714787.91942515655</v>
          </cell>
          <cell r="BR580">
            <v>686609.14609806472</v>
          </cell>
        </row>
        <row r="581">
          <cell r="BK581">
            <v>366484.19321896991</v>
          </cell>
          <cell r="BL581">
            <v>437106.45472831087</v>
          </cell>
          <cell r="BM581">
            <v>451336.11787093006</v>
          </cell>
          <cell r="BN581">
            <v>408047.18300182046</v>
          </cell>
          <cell r="BO581">
            <v>452304.31808731862</v>
          </cell>
          <cell r="BP581">
            <v>431511.09568299807</v>
          </cell>
          <cell r="BQ581">
            <v>452764.4758587571</v>
          </cell>
          <cell r="BR581">
            <v>434763.5627336739</v>
          </cell>
        </row>
        <row r="711">
          <cell r="BK711">
            <v>13209.89</v>
          </cell>
          <cell r="BL711">
            <v>16376.820000000002</v>
          </cell>
          <cell r="BM711">
            <v>12816.14</v>
          </cell>
          <cell r="BN711">
            <v>11764.97</v>
          </cell>
          <cell r="BO711">
            <v>13858.83</v>
          </cell>
          <cell r="BP711">
            <v>13806.930000000002</v>
          </cell>
          <cell r="BQ711">
            <v>15418.099999999999</v>
          </cell>
          <cell r="BR711">
            <v>31957.970000000005</v>
          </cell>
        </row>
        <row r="712">
          <cell r="BK712">
            <v>14652.36</v>
          </cell>
          <cell r="BL712">
            <v>24236.83</v>
          </cell>
          <cell r="BM712">
            <v>29239.369999999995</v>
          </cell>
          <cell r="BN712">
            <v>26590.2</v>
          </cell>
          <cell r="BO712">
            <v>29563.15</v>
          </cell>
          <cell r="BP712">
            <v>28425.32</v>
          </cell>
          <cell r="BQ712">
            <v>29883.5</v>
          </cell>
          <cell r="BR712">
            <v>46411.420000000006</v>
          </cell>
        </row>
        <row r="714">
          <cell r="BK714">
            <v>11691.18</v>
          </cell>
          <cell r="BL714">
            <v>13561.320000000002</v>
          </cell>
          <cell r="BM714">
            <v>19315.809999999998</v>
          </cell>
          <cell r="BN714">
            <v>16975.469999999998</v>
          </cell>
          <cell r="BO714">
            <v>19095.16</v>
          </cell>
          <cell r="BP714">
            <v>18781.13</v>
          </cell>
          <cell r="BQ714">
            <v>19828.979999999996</v>
          </cell>
          <cell r="BR714">
            <v>25632.629999999997</v>
          </cell>
        </row>
        <row r="715">
          <cell r="BK715">
            <v>1224.04</v>
          </cell>
          <cell r="BL715">
            <v>1524.6900000000003</v>
          </cell>
          <cell r="BM715">
            <v>4080.4500000000003</v>
          </cell>
          <cell r="BN715">
            <v>3915.6600000000003</v>
          </cell>
          <cell r="BO715">
            <v>4397.9599999999991</v>
          </cell>
          <cell r="BP715">
            <v>4315.28</v>
          </cell>
          <cell r="BQ715">
            <v>4481.8</v>
          </cell>
          <cell r="BR715">
            <v>6602.84</v>
          </cell>
        </row>
      </sheetData>
      <sheetData sheetId="5">
        <row r="3">
          <cell r="AH3">
            <v>41228.879999999997</v>
          </cell>
          <cell r="AI3">
            <v>38549.210000000006</v>
          </cell>
          <cell r="AJ3">
            <v>27440.659999999996</v>
          </cell>
          <cell r="AK3">
            <v>14378.250000000002</v>
          </cell>
          <cell r="AL3">
            <v>14403.89</v>
          </cell>
          <cell r="AM3">
            <v>14176.76</v>
          </cell>
          <cell r="AN3">
            <v>12816.14</v>
          </cell>
          <cell r="AO3">
            <v>11764.97</v>
          </cell>
          <cell r="AP3">
            <v>13858.83</v>
          </cell>
          <cell r="AQ3">
            <v>13806.930000000002</v>
          </cell>
          <cell r="AR3">
            <v>15418.099999999999</v>
          </cell>
          <cell r="AS3">
            <v>31957.970000000005</v>
          </cell>
        </row>
        <row r="4">
          <cell r="AH4">
            <v>47696.689999999995</v>
          </cell>
          <cell r="AI4">
            <v>48815.94000000001</v>
          </cell>
          <cell r="AJ4">
            <v>45396.47</v>
          </cell>
          <cell r="AK4">
            <v>29738.389999999996</v>
          </cell>
          <cell r="AL4">
            <v>28183.410000000003</v>
          </cell>
          <cell r="AM4">
            <v>28035.98</v>
          </cell>
          <cell r="AN4">
            <v>29239.369999999995</v>
          </cell>
          <cell r="AO4">
            <v>26590.2</v>
          </cell>
          <cell r="AP4">
            <v>29563.15</v>
          </cell>
          <cell r="AQ4">
            <v>28425.32</v>
          </cell>
          <cell r="AR4">
            <v>29883.5</v>
          </cell>
          <cell r="AS4">
            <v>46411.420000000006</v>
          </cell>
        </row>
        <row r="6">
          <cell r="AH6">
            <v>26243.29</v>
          </cell>
          <cell r="AI6">
            <v>26853.790000000005</v>
          </cell>
          <cell r="AJ6">
            <v>25230.44</v>
          </cell>
          <cell r="AK6">
            <v>19403.54</v>
          </cell>
          <cell r="AL6">
            <v>18182.070000000003</v>
          </cell>
          <cell r="AM6">
            <v>17464.96</v>
          </cell>
          <cell r="AN6">
            <v>19315.809999999998</v>
          </cell>
          <cell r="AO6">
            <v>16975.469999999998</v>
          </cell>
          <cell r="AP6">
            <v>19095.16</v>
          </cell>
          <cell r="AQ6">
            <v>18781.13</v>
          </cell>
          <cell r="AR6">
            <v>19828.979999999996</v>
          </cell>
          <cell r="AS6">
            <v>25632.629999999997</v>
          </cell>
        </row>
        <row r="7">
          <cell r="AH7">
            <v>6841.5700000000006</v>
          </cell>
          <cell r="AI7">
            <v>7041.2599999999993</v>
          </cell>
          <cell r="AJ7">
            <v>6523.670000000001</v>
          </cell>
          <cell r="AK7">
            <v>4469.7000000000007</v>
          </cell>
          <cell r="AL7">
            <v>4209.0200000000004</v>
          </cell>
          <cell r="AM7">
            <v>4038.1299999999992</v>
          </cell>
          <cell r="AN7">
            <v>4080.4500000000003</v>
          </cell>
          <cell r="AO7">
            <v>3915.6600000000003</v>
          </cell>
          <cell r="AP7">
            <v>4397.9599999999991</v>
          </cell>
          <cell r="AQ7">
            <v>4315.28</v>
          </cell>
          <cell r="AR7">
            <v>4481.8</v>
          </cell>
          <cell r="AS7">
            <v>6602.84</v>
          </cell>
        </row>
        <row r="18">
          <cell r="AH18">
            <v>830295.10057608143</v>
          </cell>
          <cell r="AI18">
            <v>774557.94441162422</v>
          </cell>
          <cell r="AJ18">
            <v>561940.32239909854</v>
          </cell>
          <cell r="AK18">
            <v>538772.01752119826</v>
          </cell>
          <cell r="AL18">
            <v>514469.69248379796</v>
          </cell>
          <cell r="AM18">
            <v>557966.03421994462</v>
          </cell>
          <cell r="AN18">
            <v>561911.46364113956</v>
          </cell>
          <cell r="AO18">
            <v>504580.87245460798</v>
          </cell>
          <cell r="AP18">
            <v>544606.19895476592</v>
          </cell>
          <cell r="AQ18">
            <v>519975.37585522007</v>
          </cell>
          <cell r="AR18">
            <v>569448.59727654757</v>
          </cell>
          <cell r="AS18">
            <v>671243.4594059753</v>
          </cell>
        </row>
        <row r="19">
          <cell r="AH19">
            <v>821354.44914000644</v>
          </cell>
          <cell r="AI19">
            <v>836559.29240124091</v>
          </cell>
          <cell r="AJ19">
            <v>780568.02519116621</v>
          </cell>
          <cell r="AK19">
            <v>834069.87606990465</v>
          </cell>
          <cell r="AL19">
            <v>789441.93028546812</v>
          </cell>
          <cell r="AM19">
            <v>791832.81474329787</v>
          </cell>
          <cell r="AN19">
            <v>830454.50546697376</v>
          </cell>
          <cell r="AO19">
            <v>750771.15273600724</v>
          </cell>
          <cell r="AP19">
            <v>831923.5366674019</v>
          </cell>
          <cell r="AQ19">
            <v>794156.35140484432</v>
          </cell>
          <cell r="AR19">
            <v>832798.32883624791</v>
          </cell>
          <cell r="AS19">
            <v>799483.49167752918</v>
          </cell>
        </row>
        <row r="21">
          <cell r="AH21">
            <v>705447.37211405986</v>
          </cell>
          <cell r="AI21">
            <v>718421.69828542764</v>
          </cell>
          <cell r="AJ21">
            <v>670606.13192617882</v>
          </cell>
          <cell r="AK21">
            <v>716298.2542908492</v>
          </cell>
          <cell r="AL21">
            <v>678127.97035735392</v>
          </cell>
          <cell r="AM21">
            <v>680065.87843559938</v>
          </cell>
          <cell r="AN21">
            <v>712770.00450926623</v>
          </cell>
          <cell r="AO21">
            <v>644320.21219431201</v>
          </cell>
          <cell r="AP21">
            <v>713996.55501918739</v>
          </cell>
          <cell r="AQ21">
            <v>681946.96936054493</v>
          </cell>
          <cell r="AR21">
            <v>714787.91942515655</v>
          </cell>
          <cell r="AS21">
            <v>686609.14609806472</v>
          </cell>
        </row>
        <row r="22">
          <cell r="AH22">
            <v>446627.5839995158</v>
          </cell>
          <cell r="AI22">
            <v>454907.47581466864</v>
          </cell>
          <cell r="AJ22">
            <v>424266.69095159735</v>
          </cell>
          <cell r="AK22">
            <v>453162.19655985344</v>
          </cell>
          <cell r="AL22">
            <v>428819.4220627693</v>
          </cell>
          <cell r="AM22">
            <v>430049.54404003924</v>
          </cell>
          <cell r="AN22">
            <v>451336.11787093006</v>
          </cell>
          <cell r="AO22">
            <v>408047.18300182046</v>
          </cell>
          <cell r="AP22">
            <v>452304.31808731862</v>
          </cell>
          <cell r="AQ22">
            <v>431511.09568299807</v>
          </cell>
          <cell r="AR22">
            <v>452764.4758587571</v>
          </cell>
          <cell r="AS22">
            <v>434763.5627336739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Monthly TD Calc"/>
      <sheetName val="Summary Monthly TD Calc"/>
    </sheetNames>
    <sheetDataSet>
      <sheetData sheetId="0"/>
      <sheetData sheetId="1"/>
      <sheetData sheetId="2"/>
      <sheetData sheetId="3">
        <row r="3">
          <cell r="B3">
            <v>0</v>
          </cell>
          <cell r="C3">
            <v>0</v>
          </cell>
          <cell r="D3">
            <v>0</v>
          </cell>
          <cell r="E3">
            <v>0</v>
          </cell>
          <cell r="F3">
            <v>180.3</v>
          </cell>
          <cell r="G3">
            <v>4349.4200000000019</v>
          </cell>
          <cell r="H3">
            <v>10850.820000000002</v>
          </cell>
          <cell r="I3">
            <v>12524.520000000002</v>
          </cell>
          <cell r="J3">
            <v>11889.609999999999</v>
          </cell>
          <cell r="K3">
            <v>3228.84</v>
          </cell>
          <cell r="L3">
            <v>3788.1499999999996</v>
          </cell>
          <cell r="M3">
            <v>6225.9600000000028</v>
          </cell>
          <cell r="N3">
            <v>9247.3200000000015</v>
          </cell>
          <cell r="O3">
            <v>8451.2000000000007</v>
          </cell>
          <cell r="P3">
            <v>9082.27</v>
          </cell>
          <cell r="Q3">
            <v>8255.85</v>
          </cell>
          <cell r="R3">
            <v>9556.3900000000031</v>
          </cell>
          <cell r="S3">
            <v>49583.299999999988</v>
          </cell>
        </row>
        <row r="4">
          <cell r="B4">
            <v>0</v>
          </cell>
          <cell r="C4">
            <v>0</v>
          </cell>
          <cell r="D4">
            <v>0</v>
          </cell>
          <cell r="E4">
            <v>21.42</v>
          </cell>
          <cell r="F4">
            <v>141.60999999999999</v>
          </cell>
          <cell r="G4">
            <v>1438.87</v>
          </cell>
          <cell r="H4">
            <v>3336.29</v>
          </cell>
          <cell r="I4">
            <v>5227.4400000000005</v>
          </cell>
          <cell r="J4">
            <v>5016.3100000000004</v>
          </cell>
          <cell r="K4">
            <v>1822.12</v>
          </cell>
          <cell r="L4">
            <v>2360.66</v>
          </cell>
          <cell r="M4">
            <v>2442.08</v>
          </cell>
          <cell r="N4">
            <v>2988.5299999999997</v>
          </cell>
          <cell r="O4">
            <v>2799.2000000000003</v>
          </cell>
          <cell r="P4">
            <v>4972.1600000000008</v>
          </cell>
          <cell r="Q4">
            <v>4430.72</v>
          </cell>
          <cell r="R4">
            <v>5980.15</v>
          </cell>
          <cell r="S4">
            <v>24598.86</v>
          </cell>
        </row>
        <row r="5">
          <cell r="B5">
            <v>0</v>
          </cell>
          <cell r="C5">
            <v>0</v>
          </cell>
          <cell r="D5">
            <v>0</v>
          </cell>
          <cell r="E5">
            <v>0</v>
          </cell>
          <cell r="F5">
            <v>52.28</v>
          </cell>
          <cell r="G5">
            <v>640.48000000000013</v>
          </cell>
          <cell r="H5">
            <v>1637.4199999999996</v>
          </cell>
          <cell r="I5">
            <v>2668.2299999999996</v>
          </cell>
          <cell r="J5">
            <v>2642.71</v>
          </cell>
          <cell r="K5">
            <v>1146.97</v>
          </cell>
          <cell r="L5">
            <v>1475.0900000000001</v>
          </cell>
          <cell r="M5">
            <v>1482.28</v>
          </cell>
          <cell r="N5">
            <v>1931.69</v>
          </cell>
          <cell r="O5">
            <v>1748.21</v>
          </cell>
          <cell r="P5">
            <v>3135.06</v>
          </cell>
          <cell r="Q5">
            <v>2858.8299999999995</v>
          </cell>
          <cell r="R5">
            <v>3874.5299999999997</v>
          </cell>
          <cell r="S5">
            <v>13185.229999999998</v>
          </cell>
        </row>
        <row r="6">
          <cell r="B6">
            <v>0</v>
          </cell>
          <cell r="C6">
            <v>0</v>
          </cell>
          <cell r="D6">
            <v>0</v>
          </cell>
          <cell r="E6">
            <v>0</v>
          </cell>
          <cell r="F6">
            <v>10.909999999999998</v>
          </cell>
          <cell r="G6">
            <v>150.56000000000003</v>
          </cell>
          <cell r="H6">
            <v>389.47000000000008</v>
          </cell>
          <cell r="I6">
            <v>639.23</v>
          </cell>
          <cell r="J6">
            <v>624.23</v>
          </cell>
          <cell r="K6">
            <v>244.10999999999999</v>
          </cell>
          <cell r="L6">
            <v>314.95</v>
          </cell>
          <cell r="M6">
            <v>317.55</v>
          </cell>
          <cell r="N6">
            <v>378.30000000000007</v>
          </cell>
          <cell r="O6">
            <v>374.75</v>
          </cell>
          <cell r="P6">
            <v>667.57</v>
          </cell>
          <cell r="Q6">
            <v>607.44000000000005</v>
          </cell>
          <cell r="R6">
            <v>808.03000000000009</v>
          </cell>
          <cell r="S6">
            <v>3099.42</v>
          </cell>
        </row>
        <row r="17">
          <cell r="B17">
            <v>0</v>
          </cell>
          <cell r="C17">
            <v>0</v>
          </cell>
          <cell r="D17">
            <v>0</v>
          </cell>
          <cell r="E17">
            <v>0</v>
          </cell>
          <cell r="F17">
            <v>2752.3418698172368</v>
          </cell>
          <cell r="G17">
            <v>43242.155291693132</v>
          </cell>
          <cell r="H17">
            <v>108272.43616479928</v>
          </cell>
          <cell r="I17">
            <v>125121.55543889284</v>
          </cell>
          <cell r="J17">
            <v>120422.25876530152</v>
          </cell>
          <cell r="K17">
            <v>49602.949648003865</v>
          </cell>
          <cell r="L17">
            <v>58642.851282409596</v>
          </cell>
          <cell r="M17">
            <v>96285.355681365225</v>
          </cell>
          <cell r="N17">
            <v>143190.64006316598</v>
          </cell>
          <cell r="O17">
            <v>131015.60784995362</v>
          </cell>
          <cell r="P17">
            <v>141066.82899832149</v>
          </cell>
          <cell r="Q17">
            <v>128763.13303304145</v>
          </cell>
          <cell r="R17">
            <v>145874.11891115532</v>
          </cell>
          <cell r="S17">
            <v>492960.5702782005</v>
          </cell>
        </row>
        <row r="18">
          <cell r="B18">
            <v>0</v>
          </cell>
          <cell r="C18">
            <v>0</v>
          </cell>
          <cell r="D18">
            <v>0</v>
          </cell>
          <cell r="E18">
            <v>678.51354596913018</v>
          </cell>
          <cell r="F18">
            <v>4263.0691778177816</v>
          </cell>
          <cell r="G18">
            <v>26345.436780992139</v>
          </cell>
          <cell r="H18">
            <v>61192.85322494396</v>
          </cell>
          <cell r="I18">
            <v>97061.664659520917</v>
          </cell>
          <cell r="J18">
            <v>92572.889605473058</v>
          </cell>
          <cell r="K18">
            <v>53398.304596954709</v>
          </cell>
          <cell r="L18">
            <v>69598.779485333798</v>
          </cell>
          <cell r="M18">
            <v>69737.591306010552</v>
          </cell>
          <cell r="N18">
            <v>84007.963145630449</v>
          </cell>
          <cell r="O18">
            <v>78562.805483532022</v>
          </cell>
          <cell r="P18">
            <v>146436.40984347792</v>
          </cell>
          <cell r="Q18">
            <v>128927.91420977385</v>
          </cell>
          <cell r="R18">
            <v>177754.65797620954</v>
          </cell>
          <cell r="S18">
            <v>460639.90057111665</v>
          </cell>
        </row>
        <row r="19">
          <cell r="B19">
            <v>0</v>
          </cell>
          <cell r="C19">
            <v>0</v>
          </cell>
          <cell r="D19">
            <v>0</v>
          </cell>
          <cell r="E19">
            <v>0</v>
          </cell>
          <cell r="F19">
            <v>1961.429504400312</v>
          </cell>
          <cell r="G19">
            <v>18092.390661540132</v>
          </cell>
          <cell r="H19">
            <v>46915.856452221</v>
          </cell>
          <cell r="I19">
            <v>77679.685894573151</v>
          </cell>
          <cell r="J19">
            <v>75766.016795654519</v>
          </cell>
          <cell r="K19">
            <v>44247.894072161173</v>
          </cell>
          <cell r="L19">
            <v>57974.506882005691</v>
          </cell>
          <cell r="M19">
            <v>58405.86624157145</v>
          </cell>
          <cell r="N19">
            <v>70514.905640819547</v>
          </cell>
          <cell r="O19">
            <v>65957.329370086998</v>
          </cell>
          <cell r="P19">
            <v>122792.13809919881</v>
          </cell>
          <cell r="Q19">
            <v>108206.17357149775</v>
          </cell>
          <cell r="R19">
            <v>149117.73918041808</v>
          </cell>
          <cell r="S19">
            <v>386462.8174179967</v>
          </cell>
        </row>
        <row r="20">
          <cell r="B20">
            <v>0</v>
          </cell>
          <cell r="C20">
            <v>0</v>
          </cell>
          <cell r="D20">
            <v>0</v>
          </cell>
          <cell r="E20">
            <v>0</v>
          </cell>
          <cell r="F20">
            <v>1187.072975399012</v>
          </cell>
          <cell r="G20">
            <v>10949.660941974751</v>
          </cell>
          <cell r="H20">
            <v>28393.855232046943</v>
          </cell>
          <cell r="I20">
            <v>47012.373295463949</v>
          </cell>
          <cell r="J20">
            <v>45854.20530508081</v>
          </cell>
          <cell r="K20">
            <v>26779.182872047924</v>
          </cell>
          <cell r="L20">
            <v>35086.639810722962</v>
          </cell>
          <cell r="M20">
            <v>35347.701992992173</v>
          </cell>
          <cell r="N20">
            <v>42676.190461300634</v>
          </cell>
          <cell r="O20">
            <v>39917.908484348554</v>
          </cell>
          <cell r="P20">
            <v>74314.793797571445</v>
          </cell>
          <cell r="Q20">
            <v>65487.250249149562</v>
          </cell>
          <cell r="R20">
            <v>90247.260208031032</v>
          </cell>
          <cell r="S20">
            <v>233890.41864296934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Monthly TD Calc"/>
    </sheetNames>
    <sheetDataSet>
      <sheetData sheetId="0"/>
      <sheetData sheetId="1">
        <row r="44">
          <cell r="CZ44">
            <v>0.39209287804949344</v>
          </cell>
          <cell r="DB44">
            <v>0.45435908608374953</v>
          </cell>
          <cell r="DC44">
            <v>0.15354803586675725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1 Final EM&amp;V"/>
      <sheetName val="Tariff Table"/>
      <sheetName val="EMV Results"/>
    </sheetNames>
    <sheetDataSet>
      <sheetData sheetId="0">
        <row r="20">
          <cell r="R20">
            <v>1600473.2590000001</v>
          </cell>
          <cell r="V20">
            <v>310910.24</v>
          </cell>
          <cell r="X20">
            <v>318131.55000000005</v>
          </cell>
          <cell r="Y20">
            <v>264768.76</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MO STIP IMPORT"/>
      <sheetName val="EMW MEEIA 4 STIP AND RIDER FORE"/>
    </sheetNames>
    <sheetDataSet>
      <sheetData sheetId="0">
        <row r="104">
          <cell r="K104">
            <v>364462.51</v>
          </cell>
          <cell r="L104">
            <v>550772.43000000005</v>
          </cell>
          <cell r="AU104">
            <v>3845012.67</v>
          </cell>
          <cell r="AV104">
            <v>2643322.9</v>
          </cell>
        </row>
        <row r="105">
          <cell r="K105">
            <v>40884.869999999995</v>
          </cell>
          <cell r="L105">
            <v>240128.06</v>
          </cell>
          <cell r="AU105">
            <v>1066292.27</v>
          </cell>
          <cell r="AV105">
            <v>593921.61</v>
          </cell>
        </row>
        <row r="107">
          <cell r="K107">
            <v>56059.06</v>
          </cell>
          <cell r="L107">
            <v>516551.94</v>
          </cell>
          <cell r="AU107">
            <v>1942115.6600000001</v>
          </cell>
          <cell r="AV107">
            <v>983094.01</v>
          </cell>
        </row>
        <row r="108">
          <cell r="K108">
            <v>54318.35</v>
          </cell>
          <cell r="L108">
            <v>611017.31000000006</v>
          </cell>
          <cell r="AU108">
            <v>2165046.9500000002</v>
          </cell>
          <cell r="AV108">
            <v>1052122.54</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E571">
            <v>20417.009999999995</v>
          </cell>
          <cell r="F571">
            <v>26427.869999999995</v>
          </cell>
          <cell r="G571">
            <v>25762.399999999994</v>
          </cell>
          <cell r="H571">
            <v>25475.879999999976</v>
          </cell>
          <cell r="I571">
            <v>25719.17</v>
          </cell>
          <cell r="J571">
            <v>41841.229999999981</v>
          </cell>
          <cell r="K571">
            <v>43382.389999999985</v>
          </cell>
          <cell r="L571">
            <v>59447.949999999953</v>
          </cell>
          <cell r="M571">
            <v>63195.650000000081</v>
          </cell>
          <cell r="N571">
            <v>31780.369999999995</v>
          </cell>
          <cell r="O571">
            <v>32268.829999999958</v>
          </cell>
          <cell r="P571">
            <v>35300.74000000002</v>
          </cell>
          <cell r="Q571">
            <v>13388.950000000012</v>
          </cell>
          <cell r="R571">
            <v>12882.320000000007</v>
          </cell>
          <cell r="S571">
            <v>12528.659999999989</v>
          </cell>
          <cell r="T571">
            <v>12194.229999999996</v>
          </cell>
          <cell r="U571">
            <v>13551.040000000008</v>
          </cell>
          <cell r="V571">
            <v>15902.689999999973</v>
          </cell>
          <cell r="W571">
            <v>16082.380000000005</v>
          </cell>
          <cell r="X571">
            <v>16628.290000000008</v>
          </cell>
          <cell r="Y571">
            <v>18457.01999999999</v>
          </cell>
          <cell r="Z571">
            <v>12601.330000000002</v>
          </cell>
          <cell r="AA571">
            <v>12496.970000000001</v>
          </cell>
          <cell r="AB571">
            <v>14872.529999999984</v>
          </cell>
          <cell r="AC571">
            <v>9244.6600000000035</v>
          </cell>
          <cell r="AD571">
            <v>8897.4599999999919</v>
          </cell>
          <cell r="AE571">
            <v>8602.3499999999913</v>
          </cell>
          <cell r="AF571">
            <v>8378.8800000000047</v>
          </cell>
          <cell r="AG571">
            <v>9281.8500000000058</v>
          </cell>
          <cell r="AH571">
            <v>10569.740000000005</v>
          </cell>
          <cell r="AI571">
            <v>10545.420000000013</v>
          </cell>
          <cell r="AJ571">
            <v>11000.430000000022</v>
          </cell>
          <cell r="AK571">
            <v>12534.810000000012</v>
          </cell>
          <cell r="AL571">
            <v>8641.7700000000186</v>
          </cell>
          <cell r="AM571">
            <v>8576.5</v>
          </cell>
          <cell r="AN571">
            <v>10271.900000000009</v>
          </cell>
        </row>
        <row r="572">
          <cell r="E572">
            <v>0</v>
          </cell>
          <cell r="F572">
            <v>0</v>
          </cell>
          <cell r="G572">
            <v>39.70999999999998</v>
          </cell>
          <cell r="H572">
            <v>130.26000000000022</v>
          </cell>
          <cell r="I572">
            <v>216.1899999999996</v>
          </cell>
          <cell r="J572">
            <v>411.05999999999949</v>
          </cell>
          <cell r="K572">
            <v>1101.5800000000017</v>
          </cell>
          <cell r="L572">
            <v>1355.6599999999999</v>
          </cell>
          <cell r="M572">
            <v>1039.7599999999984</v>
          </cell>
          <cell r="N572">
            <v>902.48000000000138</v>
          </cell>
          <cell r="O572">
            <v>1030.7699999999968</v>
          </cell>
          <cell r="P572">
            <v>1303.760000000002</v>
          </cell>
          <cell r="Q572">
            <v>1672.4700000000012</v>
          </cell>
          <cell r="R572">
            <v>1521.3499999999985</v>
          </cell>
          <cell r="S572">
            <v>1697</v>
          </cell>
          <cell r="T572">
            <v>1761.9300000000003</v>
          </cell>
          <cell r="U572">
            <v>1875.8300000000017</v>
          </cell>
          <cell r="V572">
            <v>2826.2700000000041</v>
          </cell>
          <cell r="W572">
            <v>4160.1399999999994</v>
          </cell>
          <cell r="X572">
            <v>4064.8399999999965</v>
          </cell>
          <cell r="Y572">
            <v>2726.6600000000108</v>
          </cell>
          <cell r="Z572">
            <v>1853.9300000000039</v>
          </cell>
          <cell r="AA572">
            <v>1763.4200000000019</v>
          </cell>
          <cell r="AB572">
            <v>1604.5900000000001</v>
          </cell>
          <cell r="AC572">
            <v>1684.510000000002</v>
          </cell>
          <cell r="AD572">
            <v>1532.2800000000025</v>
          </cell>
          <cell r="AE572">
            <v>1709.1900000000023</v>
          </cell>
          <cell r="AF572">
            <v>1774.6799999999967</v>
          </cell>
          <cell r="AG572">
            <v>1889.3100000000013</v>
          </cell>
          <cell r="AH572">
            <v>2846.6500000000015</v>
          </cell>
          <cell r="AI572">
            <v>4180.7299999999959</v>
          </cell>
          <cell r="AJ572">
            <v>4085.8700000000099</v>
          </cell>
          <cell r="AK572">
            <v>2746.4300000000076</v>
          </cell>
          <cell r="AL572">
            <v>1867.3500000000058</v>
          </cell>
          <cell r="AM572">
            <v>1776.2199999999975</v>
          </cell>
          <cell r="AN572">
            <v>1616.2300000000032</v>
          </cell>
        </row>
        <row r="574">
          <cell r="E574">
            <v>0</v>
          </cell>
          <cell r="F574">
            <v>0</v>
          </cell>
          <cell r="G574">
            <v>21.79000000000002</v>
          </cell>
          <cell r="H574">
            <v>131.46000000000026</v>
          </cell>
          <cell r="I574">
            <v>265.22000000000025</v>
          </cell>
          <cell r="J574">
            <v>318.80000000000018</v>
          </cell>
          <cell r="K574">
            <v>379.60000000000036</v>
          </cell>
          <cell r="L574">
            <v>563.39999999999964</v>
          </cell>
          <cell r="M574">
            <v>690.21999999999935</v>
          </cell>
          <cell r="N574">
            <v>710.29000000000087</v>
          </cell>
          <cell r="O574">
            <v>747.90999999999985</v>
          </cell>
          <cell r="P574">
            <v>815.53999999999905</v>
          </cell>
          <cell r="Q574">
            <v>905.54000000000087</v>
          </cell>
          <cell r="R574">
            <v>866.09000000000196</v>
          </cell>
          <cell r="S574">
            <v>967.59999999999854</v>
          </cell>
          <cell r="T574">
            <v>911.14000000000124</v>
          </cell>
          <cell r="U574">
            <v>1009.9300000000003</v>
          </cell>
          <cell r="V574">
            <v>1135.0700000000033</v>
          </cell>
          <cell r="W574">
            <v>1122.9399999999987</v>
          </cell>
          <cell r="X574">
            <v>1158.5</v>
          </cell>
          <cell r="Y574">
            <v>1091.7099999999991</v>
          </cell>
          <cell r="Z574">
            <v>966.81999999999971</v>
          </cell>
          <cell r="AA574">
            <v>939.02000000000044</v>
          </cell>
          <cell r="AB574">
            <v>900.35999999999876</v>
          </cell>
          <cell r="AC574">
            <v>917.57000000000153</v>
          </cell>
          <cell r="AD574">
            <v>877.59000000000196</v>
          </cell>
          <cell r="AE574">
            <v>980.43000000000029</v>
          </cell>
          <cell r="AF574">
            <v>923.29000000000087</v>
          </cell>
          <cell r="AG574">
            <v>1023.3200000000033</v>
          </cell>
          <cell r="AH574">
            <v>1150.1200000000026</v>
          </cell>
          <cell r="AI574">
            <v>1137.8299999999981</v>
          </cell>
          <cell r="AJ574">
            <v>1173.8600000000006</v>
          </cell>
          <cell r="AK574">
            <v>1106.2599999999948</v>
          </cell>
          <cell r="AL574">
            <v>979.7300000000032</v>
          </cell>
          <cell r="AM574">
            <v>951.59999999999854</v>
          </cell>
          <cell r="AN574">
            <v>912.42000000000007</v>
          </cell>
        </row>
        <row r="575">
          <cell r="E575">
            <v>0</v>
          </cell>
          <cell r="F575">
            <v>0</v>
          </cell>
          <cell r="G575">
            <v>0</v>
          </cell>
          <cell r="H575">
            <v>-3.6100000000000136</v>
          </cell>
          <cell r="I575">
            <v>14.779999999999973</v>
          </cell>
          <cell r="J575">
            <v>52.480000000000018</v>
          </cell>
          <cell r="K575">
            <v>63.8900000000001</v>
          </cell>
          <cell r="L575">
            <v>78.479999999999791</v>
          </cell>
          <cell r="M575">
            <v>86.590000000000146</v>
          </cell>
          <cell r="N575">
            <v>95.920000000000982</v>
          </cell>
          <cell r="O575">
            <v>119.86999999999989</v>
          </cell>
          <cell r="P575">
            <v>143.69000000000051</v>
          </cell>
          <cell r="Q575">
            <v>160.54999999999927</v>
          </cell>
          <cell r="R575">
            <v>143.18000000000029</v>
          </cell>
          <cell r="S575">
            <v>160.16000000000076</v>
          </cell>
          <cell r="T575">
            <v>143.22000000000025</v>
          </cell>
          <cell r="U575">
            <v>158.33999999999924</v>
          </cell>
          <cell r="V575">
            <v>182.97000000000116</v>
          </cell>
          <cell r="W575">
            <v>186.25000000000182</v>
          </cell>
          <cell r="X575">
            <v>189.64000000000124</v>
          </cell>
          <cell r="Y575">
            <v>180.03000000000065</v>
          </cell>
          <cell r="Z575">
            <v>150.05999999999949</v>
          </cell>
          <cell r="AA575">
            <v>142.78000000000065</v>
          </cell>
          <cell r="AB575">
            <v>152.88000000000102</v>
          </cell>
          <cell r="AC575">
            <v>173.07999999999993</v>
          </cell>
          <cell r="AD575">
            <v>154.32999999999993</v>
          </cell>
          <cell r="AE575">
            <v>172.57000000000062</v>
          </cell>
          <cell r="AF575">
            <v>154.40000000000055</v>
          </cell>
          <cell r="AG575">
            <v>170.58999999999924</v>
          </cell>
          <cell r="AH575">
            <v>196.94000000000142</v>
          </cell>
          <cell r="AI575">
            <v>200.46000000000095</v>
          </cell>
          <cell r="AJ575">
            <v>204.11999999999898</v>
          </cell>
          <cell r="AK575">
            <v>193.90000000000055</v>
          </cell>
          <cell r="AL575">
            <v>161.76999999999953</v>
          </cell>
          <cell r="AM575">
            <v>153.97999999999956</v>
          </cell>
          <cell r="AN575">
            <v>164.91000000000167</v>
          </cell>
        </row>
      </sheetData>
      <sheetData sheetId="5">
        <row r="436">
          <cell r="E436">
            <v>0</v>
          </cell>
          <cell r="F436">
            <v>-548.9600000000064</v>
          </cell>
          <cell r="G436">
            <v>-1984.6900000000023</v>
          </cell>
          <cell r="H436">
            <v>-3620.7999999999884</v>
          </cell>
          <cell r="I436">
            <v>-6432.4400000000023</v>
          </cell>
          <cell r="J436">
            <v>-13309.329999999987</v>
          </cell>
          <cell r="K436">
            <v>-19322.069999999978</v>
          </cell>
          <cell r="L436">
            <v>-23382.190000000002</v>
          </cell>
          <cell r="M436">
            <v>-27168.590000000026</v>
          </cell>
          <cell r="N436">
            <v>-20964.75</v>
          </cell>
          <cell r="O436">
            <v>-24073.289999999979</v>
          </cell>
          <cell r="P436">
            <v>-31950.319999999978</v>
          </cell>
          <cell r="Q436">
            <v>-31073.87000000001</v>
          </cell>
          <cell r="R436">
            <v>-29844.37000000001</v>
          </cell>
          <cell r="S436">
            <v>-30065.810000000012</v>
          </cell>
          <cell r="T436">
            <v>-29138.509999999995</v>
          </cell>
          <cell r="U436">
            <v>-32975.600000000006</v>
          </cell>
          <cell r="V436">
            <v>-45276.329999999987</v>
          </cell>
          <cell r="W436">
            <v>-48702.25</v>
          </cell>
          <cell r="X436">
            <v>-48386.34</v>
          </cell>
          <cell r="Y436">
            <v>-47116.179999999993</v>
          </cell>
          <cell r="Z436">
            <v>-30455.539999999994</v>
          </cell>
          <cell r="AA436">
            <v>-30075.509999999995</v>
          </cell>
          <cell r="AB436">
            <v>-34457.949999999983</v>
          </cell>
          <cell r="AC436">
            <v>0</v>
          </cell>
          <cell r="AD436">
            <v>0</v>
          </cell>
          <cell r="AE436">
            <v>0</v>
          </cell>
          <cell r="AF436">
            <v>0</v>
          </cell>
          <cell r="AG436">
            <v>-1.0000000009313226E-2</v>
          </cell>
          <cell r="AH436">
            <v>0</v>
          </cell>
          <cell r="AI436">
            <v>0</v>
          </cell>
          <cell r="AJ436">
            <v>0</v>
          </cell>
          <cell r="AK436">
            <v>0</v>
          </cell>
          <cell r="AL436">
            <v>0</v>
          </cell>
          <cell r="AM436">
            <v>0</v>
          </cell>
          <cell r="AN436">
            <v>0</v>
          </cell>
        </row>
        <row r="437">
          <cell r="E437">
            <v>0</v>
          </cell>
          <cell r="F437">
            <v>0</v>
          </cell>
          <cell r="G437">
            <v>-9.9999999999909051E-3</v>
          </cell>
          <cell r="H437">
            <v>-138.95000000000027</v>
          </cell>
          <cell r="I437">
            <v>-301.80999999999949</v>
          </cell>
          <cell r="J437">
            <v>-468.01999999999862</v>
          </cell>
          <cell r="K437">
            <v>-483.04999999999927</v>
          </cell>
          <cell r="L437">
            <v>-504.46999999999753</v>
          </cell>
          <cell r="M437">
            <v>-504.92000000000189</v>
          </cell>
          <cell r="N437">
            <v>-365.14999999999964</v>
          </cell>
          <cell r="O437">
            <v>-350.93000000000029</v>
          </cell>
          <cell r="P437">
            <v>-339.45000000000073</v>
          </cell>
          <cell r="Q437">
            <v>-371.04000000000087</v>
          </cell>
          <cell r="R437">
            <v>-337.18999999999505</v>
          </cell>
          <cell r="S437">
            <v>-375.75</v>
          </cell>
          <cell r="T437">
            <v>-392.68999999999869</v>
          </cell>
          <cell r="U437">
            <v>-415.60000000000218</v>
          </cell>
          <cell r="V437">
            <v>-628.45999999999913</v>
          </cell>
          <cell r="W437">
            <v>-634.21999999999389</v>
          </cell>
          <cell r="X437">
            <v>-647.95999999999185</v>
          </cell>
          <cell r="Y437">
            <v>-609.12000000000262</v>
          </cell>
          <cell r="Z437">
            <v>-413.63999999999942</v>
          </cell>
          <cell r="AA437">
            <v>-394.46000000000276</v>
          </cell>
          <cell r="AB437">
            <v>-358.65999999999985</v>
          </cell>
          <cell r="AC437">
            <v>0</v>
          </cell>
          <cell r="AD437">
            <v>2.0000000004074536E-2</v>
          </cell>
          <cell r="AE437">
            <v>9.9999999983992893E-3</v>
          </cell>
          <cell r="AF437">
            <v>0</v>
          </cell>
          <cell r="AG437">
            <v>0</v>
          </cell>
          <cell r="AH437">
            <v>0</v>
          </cell>
          <cell r="AI437">
            <v>-9.9999999947613105E-3</v>
          </cell>
          <cell r="AJ437">
            <v>0</v>
          </cell>
          <cell r="AK437">
            <v>0</v>
          </cell>
          <cell r="AL437">
            <v>0</v>
          </cell>
          <cell r="AM437">
            <v>9.9999999983992893E-3</v>
          </cell>
          <cell r="AN437">
            <v>0</v>
          </cell>
        </row>
        <row r="439">
          <cell r="E439">
            <v>0</v>
          </cell>
          <cell r="F439">
            <v>0</v>
          </cell>
          <cell r="G439">
            <v>0</v>
          </cell>
          <cell r="H439">
            <v>-28.470000000000027</v>
          </cell>
          <cell r="I439">
            <v>-97.300000000000182</v>
          </cell>
          <cell r="J439">
            <v>-148.3100000000004</v>
          </cell>
          <cell r="K439">
            <v>-146.75999999999931</v>
          </cell>
          <cell r="L439">
            <v>-151.30999999999949</v>
          </cell>
          <cell r="M439">
            <v>-143.32999999999993</v>
          </cell>
          <cell r="N439">
            <v>-141.61999999999898</v>
          </cell>
          <cell r="O439">
            <v>-160.02000000000044</v>
          </cell>
          <cell r="P439">
            <v>-266.28999999999905</v>
          </cell>
          <cell r="Q439">
            <v>-370.76000000000022</v>
          </cell>
          <cell r="R439">
            <v>-354.30000000000109</v>
          </cell>
          <cell r="S439">
            <v>-395.27000000000044</v>
          </cell>
          <cell r="T439">
            <v>-374.63999999999942</v>
          </cell>
          <cell r="U439">
            <v>-412.68999999999869</v>
          </cell>
          <cell r="V439">
            <v>-464.04000000000087</v>
          </cell>
          <cell r="W439">
            <v>-459.25</v>
          </cell>
          <cell r="X439">
            <v>-473.41999999999825</v>
          </cell>
          <cell r="Y439">
            <v>-448.45000000000073</v>
          </cell>
          <cell r="Z439">
            <v>-397.92999999999665</v>
          </cell>
          <cell r="AA439">
            <v>-387.53999999999724</v>
          </cell>
          <cell r="AB439">
            <v>-371.46999999999753</v>
          </cell>
          <cell r="AC439">
            <v>0</v>
          </cell>
          <cell r="AD439">
            <v>-1.0000000000218279E-2</v>
          </cell>
          <cell r="AE439">
            <v>-1.0000000002037268E-2</v>
          </cell>
          <cell r="AF439">
            <v>0</v>
          </cell>
          <cell r="AG439">
            <v>0</v>
          </cell>
          <cell r="AH439">
            <v>-1.0000000002037268E-2</v>
          </cell>
          <cell r="AI439">
            <v>0</v>
          </cell>
          <cell r="AJ439">
            <v>1.0000000002037268E-2</v>
          </cell>
          <cell r="AK439">
            <v>-9.9999999983992893E-3</v>
          </cell>
          <cell r="AL439">
            <v>0</v>
          </cell>
          <cell r="AM439">
            <v>-9.9999999983992893E-3</v>
          </cell>
          <cell r="AN439">
            <v>-9.9999999983992893E-3</v>
          </cell>
        </row>
        <row r="440">
          <cell r="E440">
            <v>0</v>
          </cell>
          <cell r="F440">
            <v>0</v>
          </cell>
          <cell r="G440">
            <v>0</v>
          </cell>
          <cell r="H440">
            <v>-23.949999999999989</v>
          </cell>
          <cell r="I440">
            <v>-52.449999999999932</v>
          </cell>
          <cell r="J440">
            <v>-60.920000000000073</v>
          </cell>
          <cell r="K440">
            <v>-63.069999999999936</v>
          </cell>
          <cell r="L440">
            <v>-64.170000000000073</v>
          </cell>
          <cell r="M440">
            <v>-64.789999999999964</v>
          </cell>
          <cell r="N440">
            <v>-202.78999999999996</v>
          </cell>
          <cell r="O440">
            <v>-332.19000000000051</v>
          </cell>
          <cell r="P440">
            <v>-364.09000000000015</v>
          </cell>
          <cell r="Q440">
            <v>-386.06999999999971</v>
          </cell>
          <cell r="R440">
            <v>-343.43000000000029</v>
          </cell>
          <cell r="S440">
            <v>-382.55000000000109</v>
          </cell>
          <cell r="T440">
            <v>-344.73000000000047</v>
          </cell>
          <cell r="U440">
            <v>-377.5</v>
          </cell>
          <cell r="V440">
            <v>-430.94000000000051</v>
          </cell>
          <cell r="W440">
            <v>-438.64000000000124</v>
          </cell>
          <cell r="X440">
            <v>-446.36000000000058</v>
          </cell>
          <cell r="Y440">
            <v>-427.32999999999993</v>
          </cell>
          <cell r="Z440">
            <v>-361.26000000000022</v>
          </cell>
          <cell r="AA440">
            <v>-344.86000000000058</v>
          </cell>
          <cell r="AB440">
            <v>-370.92000000000007</v>
          </cell>
          <cell r="AC440">
            <v>0</v>
          </cell>
          <cell r="AD440">
            <v>-1.0000000000218279E-2</v>
          </cell>
          <cell r="AE440">
            <v>0</v>
          </cell>
          <cell r="AF440">
            <v>-1.0000000000218279E-2</v>
          </cell>
          <cell r="AG440">
            <v>0</v>
          </cell>
          <cell r="AH440">
            <v>0</v>
          </cell>
          <cell r="AI440">
            <v>0</v>
          </cell>
          <cell r="AJ440">
            <v>0</v>
          </cell>
          <cell r="AK440">
            <v>0</v>
          </cell>
          <cell r="AL440">
            <v>0</v>
          </cell>
          <cell r="AM440">
            <v>0</v>
          </cell>
          <cell r="AN440">
            <v>0</v>
          </cell>
        </row>
      </sheetData>
      <sheetData sheetId="6">
        <row r="55">
          <cell r="C55">
            <v>31.6</v>
          </cell>
          <cell r="D55">
            <v>88.55</v>
          </cell>
          <cell r="E55">
            <v>154.47</v>
          </cell>
          <cell r="F55">
            <v>215.77</v>
          </cell>
          <cell r="G55">
            <v>270.38</v>
          </cell>
          <cell r="H55">
            <v>333.85</v>
          </cell>
          <cell r="I55">
            <v>330.37</v>
          </cell>
          <cell r="J55">
            <v>395.69</v>
          </cell>
          <cell r="K55">
            <v>474.01</v>
          </cell>
          <cell r="L55">
            <v>529.29</v>
          </cell>
          <cell r="M55">
            <v>549.95000000000005</v>
          </cell>
          <cell r="N55">
            <v>745.19</v>
          </cell>
          <cell r="O55">
            <v>724.56</v>
          </cell>
          <cell r="P55">
            <v>546.58000000000004</v>
          </cell>
          <cell r="Q55">
            <v>209.29</v>
          </cell>
          <cell r="R55">
            <v>229.64</v>
          </cell>
          <cell r="S55">
            <v>220.93</v>
          </cell>
          <cell r="T55">
            <v>190.66</v>
          </cell>
          <cell r="U55">
            <v>161.38</v>
          </cell>
          <cell r="V55">
            <v>132.44999999999999</v>
          </cell>
          <cell r="W55">
            <v>97.48</v>
          </cell>
          <cell r="X55">
            <v>72.510000000000005</v>
          </cell>
          <cell r="Y55">
            <v>49.02</v>
          </cell>
          <cell r="Z55">
            <v>16.97</v>
          </cell>
          <cell r="AA55">
            <v>9.5399999999999991</v>
          </cell>
          <cell r="AB55">
            <v>34.32</v>
          </cell>
          <cell r="AC55">
            <v>60.47</v>
          </cell>
          <cell r="AD55">
            <v>13.42</v>
          </cell>
          <cell r="AE55">
            <v>20.51</v>
          </cell>
          <cell r="AF55">
            <v>30.64</v>
          </cell>
          <cell r="AG55">
            <v>49.59</v>
          </cell>
          <cell r="AH55">
            <v>70.73</v>
          </cell>
          <cell r="AI55">
            <v>96.69</v>
          </cell>
          <cell r="AJ55">
            <v>125.08</v>
          </cell>
          <cell r="AK55">
            <v>155.63999999999999</v>
          </cell>
          <cell r="AL55">
            <v>195.78</v>
          </cell>
        </row>
        <row r="56">
          <cell r="C56">
            <v>0</v>
          </cell>
          <cell r="D56">
            <v>0</v>
          </cell>
          <cell r="E56">
            <v>0.05</v>
          </cell>
          <cell r="F56">
            <v>0.09</v>
          </cell>
          <cell r="G56">
            <v>-0.03</v>
          </cell>
          <cell r="H56">
            <v>-0.22</v>
          </cell>
          <cell r="I56">
            <v>0.43</v>
          </cell>
          <cell r="J56">
            <v>2.0299999999999998</v>
          </cell>
          <cell r="K56">
            <v>3.53</v>
          </cell>
          <cell r="L56">
            <v>4.71</v>
          </cell>
          <cell r="M56">
            <v>6.03</v>
          </cell>
          <cell r="N56">
            <v>10.36</v>
          </cell>
          <cell r="O56">
            <v>13.62</v>
          </cell>
          <cell r="P56">
            <v>13.93</v>
          </cell>
          <cell r="Q56">
            <v>6.97</v>
          </cell>
          <cell r="R56">
            <v>9.75</v>
          </cell>
          <cell r="S56">
            <v>11.99</v>
          </cell>
          <cell r="T56">
            <v>14.09</v>
          </cell>
          <cell r="U56">
            <v>18.34</v>
          </cell>
          <cell r="V56">
            <v>24.75</v>
          </cell>
          <cell r="W56">
            <v>30.41</v>
          </cell>
          <cell r="X56">
            <v>36.83</v>
          </cell>
          <cell r="Y56">
            <v>43.59</v>
          </cell>
          <cell r="Z56">
            <v>49.85</v>
          </cell>
          <cell r="AA56">
            <v>72.97</v>
          </cell>
          <cell r="AB56">
            <v>78</v>
          </cell>
          <cell r="AC56">
            <v>85.7</v>
          </cell>
          <cell r="AD56">
            <v>14.44</v>
          </cell>
          <cell r="AE56">
            <v>18.03</v>
          </cell>
          <cell r="AF56">
            <v>22.94</v>
          </cell>
          <cell r="AG56">
            <v>33.47</v>
          </cell>
          <cell r="AH56">
            <v>44.57</v>
          </cell>
          <cell r="AI56">
            <v>56.21</v>
          </cell>
          <cell r="AJ56">
            <v>67.56</v>
          </cell>
          <cell r="AK56">
            <v>79.73</v>
          </cell>
          <cell r="AL56">
            <v>94.76</v>
          </cell>
        </row>
        <row r="58">
          <cell r="C58">
            <v>0</v>
          </cell>
          <cell r="D58">
            <v>0</v>
          </cell>
          <cell r="E58">
            <v>0.03</v>
          </cell>
          <cell r="F58">
            <v>0.19</v>
          </cell>
          <cell r="G58">
            <v>0.55000000000000004</v>
          </cell>
          <cell r="H58">
            <v>1</v>
          </cell>
          <cell r="I58">
            <v>1.26</v>
          </cell>
          <cell r="J58">
            <v>1.96</v>
          </cell>
          <cell r="K58">
            <v>3</v>
          </cell>
          <cell r="L58">
            <v>4.2300000000000004</v>
          </cell>
          <cell r="M58">
            <v>5.49</v>
          </cell>
          <cell r="N58">
            <v>8.91</v>
          </cell>
          <cell r="O58">
            <v>10.47</v>
          </cell>
          <cell r="P58">
            <v>9.6999999999999993</v>
          </cell>
          <cell r="Q58">
            <v>4.53</v>
          </cell>
          <cell r="R58">
            <v>5.99</v>
          </cell>
          <cell r="S58">
            <v>7</v>
          </cell>
          <cell r="T58">
            <v>7.72</v>
          </cell>
          <cell r="U58">
            <v>8.92</v>
          </cell>
          <cell r="V58">
            <v>10.66</v>
          </cell>
          <cell r="W58">
            <v>12.33</v>
          </cell>
          <cell r="X58">
            <v>14.77</v>
          </cell>
          <cell r="Y58">
            <v>17.47</v>
          </cell>
          <cell r="Z58">
            <v>20.010000000000002</v>
          </cell>
          <cell r="AA58">
            <v>29.66</v>
          </cell>
          <cell r="AB58">
            <v>32.36</v>
          </cell>
          <cell r="AC58">
            <v>36.29</v>
          </cell>
          <cell r="AD58">
            <v>6.21</v>
          </cell>
          <cell r="AE58">
            <v>7.85</v>
          </cell>
          <cell r="AF58">
            <v>10.02</v>
          </cell>
          <cell r="AG58">
            <v>14.29</v>
          </cell>
          <cell r="AH58">
            <v>18.420000000000002</v>
          </cell>
          <cell r="AI58">
            <v>22.91</v>
          </cell>
          <cell r="AJ58">
            <v>27.68</v>
          </cell>
          <cell r="AK58">
            <v>33</v>
          </cell>
          <cell r="AL58">
            <v>39.630000000000003</v>
          </cell>
        </row>
        <row r="59">
          <cell r="C59">
            <v>0</v>
          </cell>
          <cell r="D59">
            <v>0</v>
          </cell>
          <cell r="E59">
            <v>0</v>
          </cell>
          <cell r="F59">
            <v>-0.04</v>
          </cell>
          <cell r="G59">
            <v>-0.12</v>
          </cell>
          <cell r="H59">
            <v>-0.18</v>
          </cell>
          <cell r="I59">
            <v>-0.16</v>
          </cell>
          <cell r="J59">
            <v>-0.14000000000000001</v>
          </cell>
          <cell r="K59">
            <v>-0.1</v>
          </cell>
          <cell r="L59">
            <v>-0.2</v>
          </cell>
          <cell r="M59">
            <v>-0.54</v>
          </cell>
          <cell r="N59">
            <v>-1.34</v>
          </cell>
          <cell r="O59">
            <v>-1.99</v>
          </cell>
          <cell r="P59">
            <v>-2.11</v>
          </cell>
          <cell r="Q59">
            <v>-1.07</v>
          </cell>
          <cell r="R59">
            <v>-1.51</v>
          </cell>
          <cell r="S59">
            <v>-1.84</v>
          </cell>
          <cell r="T59">
            <v>-2.11</v>
          </cell>
          <cell r="U59">
            <v>-2.52</v>
          </cell>
          <cell r="V59">
            <v>-3.1</v>
          </cell>
          <cell r="W59">
            <v>-3.67</v>
          </cell>
          <cell r="X59">
            <v>-4.4800000000000004</v>
          </cell>
          <cell r="Y59">
            <v>-5.36</v>
          </cell>
          <cell r="Z59">
            <v>-6.23</v>
          </cell>
          <cell r="AA59">
            <v>-8.68</v>
          </cell>
          <cell r="AB59">
            <v>-8.31</v>
          </cell>
          <cell r="AC59">
            <v>-8.18</v>
          </cell>
          <cell r="AD59">
            <v>-1.23</v>
          </cell>
          <cell r="AE59">
            <v>-1.37</v>
          </cell>
          <cell r="AF59">
            <v>-1.52</v>
          </cell>
          <cell r="AG59">
            <v>-1.86</v>
          </cell>
          <cell r="AH59">
            <v>-2.04</v>
          </cell>
          <cell r="AI59">
            <v>-2.15</v>
          </cell>
          <cell r="AJ59">
            <v>-2.23</v>
          </cell>
          <cell r="AK59">
            <v>-2.2999999999999998</v>
          </cell>
          <cell r="AL59">
            <v>-2.36</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2 Final EM&amp;V"/>
      <sheetName val="Tariff Table"/>
      <sheetName val="EMV Results"/>
    </sheetNames>
    <sheetDataSet>
      <sheetData sheetId="0">
        <row r="20">
          <cell r="AL20">
            <v>2070956.0390000003</v>
          </cell>
          <cell r="AP20">
            <v>283722.18000000005</v>
          </cell>
          <cell r="AR20">
            <v>576681.62</v>
          </cell>
          <cell r="AS20">
            <v>212408.31999999998</v>
          </cell>
        </row>
      </sheetData>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-2408.8799999999901</v>
          </cell>
          <cell r="R571">
            <v>-3144.3899999999994</v>
          </cell>
          <cell r="S571">
            <v>-3624.8499999999913</v>
          </cell>
          <cell r="T571">
            <v>-4133.4499999999825</v>
          </cell>
          <cell r="U571">
            <v>-4927.1300000000047</v>
          </cell>
          <cell r="V571">
            <v>-9414.859999999986</v>
          </cell>
          <cell r="W571">
            <v>-13776.20000000007</v>
          </cell>
          <cell r="X571">
            <v>-15688.630000000063</v>
          </cell>
          <cell r="Y571">
            <v>-13694.340000000026</v>
          </cell>
          <cell r="Z571">
            <v>-8529.5599999999686</v>
          </cell>
          <cell r="AA571">
            <v>-8619.4300000000803</v>
          </cell>
          <cell r="AB571">
            <v>-9770.2200000000303</v>
          </cell>
          <cell r="AC571">
            <v>-5600.5100000000093</v>
          </cell>
          <cell r="AD571">
            <v>-5358.5399999999936</v>
          </cell>
          <cell r="AE571">
            <v>-5788.1200000000099</v>
          </cell>
          <cell r="AF571">
            <v>-5570.9100000000035</v>
          </cell>
          <cell r="AG571">
            <v>-6492.6600000000035</v>
          </cell>
          <cell r="AH571">
            <v>-11105.249999999942</v>
          </cell>
          <cell r="AI571">
            <v>-15519.619999999995</v>
          </cell>
          <cell r="AJ571">
            <v>-14596.25999999998</v>
          </cell>
          <cell r="AK571">
            <v>-10082.270000000019</v>
          </cell>
          <cell r="AL571">
            <v>-5946.570000000007</v>
          </cell>
          <cell r="AM571">
            <v>-5830.9099999999889</v>
          </cell>
          <cell r="AN571">
            <v>-6187.6000000000058</v>
          </cell>
        </row>
        <row r="572">
          <cell r="Q572">
            <v>1.6299999999999955</v>
          </cell>
          <cell r="R572">
            <v>16.759999999999991</v>
          </cell>
          <cell r="S572">
            <v>46.529999999999973</v>
          </cell>
          <cell r="T572">
            <v>71.809999999999491</v>
          </cell>
          <cell r="U572">
            <v>107.01999999999862</v>
          </cell>
          <cell r="V572">
            <v>198.73999999999978</v>
          </cell>
          <cell r="W572">
            <v>461.02999999999702</v>
          </cell>
          <cell r="X572">
            <v>599.27000000000044</v>
          </cell>
          <cell r="Y572">
            <v>312.79999999999927</v>
          </cell>
          <cell r="Z572">
            <v>231.96999999999753</v>
          </cell>
          <cell r="AA572">
            <v>205.54999999999927</v>
          </cell>
          <cell r="AB572">
            <v>161.16999999999825</v>
          </cell>
          <cell r="AC572">
            <v>191.80999999999767</v>
          </cell>
          <cell r="AD572">
            <v>172.09000000000015</v>
          </cell>
          <cell r="AE572">
            <v>180.79999999999927</v>
          </cell>
          <cell r="AF572">
            <v>192.27999999999884</v>
          </cell>
          <cell r="AG572">
            <v>200.09000000000015</v>
          </cell>
          <cell r="AH572">
            <v>257.07999999999447</v>
          </cell>
          <cell r="AI572">
            <v>1125.7099999999991</v>
          </cell>
          <cell r="AJ572">
            <v>1030.3699999999953</v>
          </cell>
          <cell r="AK572">
            <v>245.56999999999971</v>
          </cell>
          <cell r="AL572">
            <v>197.08999999999651</v>
          </cell>
          <cell r="AM572">
            <v>184.08999999999651</v>
          </cell>
          <cell r="AN572">
            <v>173.14999999999782</v>
          </cell>
        </row>
        <row r="574">
          <cell r="Q574">
            <v>4.9999999999997158E-2</v>
          </cell>
          <cell r="R574">
            <v>-7.1299999999998818</v>
          </cell>
          <cell r="S574">
            <v>-13.030000000000655</v>
          </cell>
          <cell r="T574">
            <v>0.93000000000029104</v>
          </cell>
          <cell r="U574">
            <v>17.470000000000255</v>
          </cell>
          <cell r="V574">
            <v>-2.4700000000011642</v>
          </cell>
          <cell r="W574">
            <v>83.980000000001382</v>
          </cell>
          <cell r="X574">
            <v>195.82999999999447</v>
          </cell>
          <cell r="Y574">
            <v>93.070000000003347</v>
          </cell>
          <cell r="Z574">
            <v>41.729999999999563</v>
          </cell>
          <cell r="AA574">
            <v>-31.609999999996944</v>
          </cell>
          <cell r="AB574">
            <v>-244.1299999999901</v>
          </cell>
          <cell r="AC574">
            <v>-268.50999999999476</v>
          </cell>
          <cell r="AD574">
            <v>-255.41000000000349</v>
          </cell>
          <cell r="AE574">
            <v>-295.27000000001135</v>
          </cell>
          <cell r="AF574">
            <v>-285.25</v>
          </cell>
          <cell r="AG574">
            <v>-313.41999999999825</v>
          </cell>
          <cell r="AH574">
            <v>-431.2300000000032</v>
          </cell>
          <cell r="AI574">
            <v>-437.60999999999331</v>
          </cell>
          <cell r="AJ574">
            <v>-443.7899999999936</v>
          </cell>
          <cell r="AK574">
            <v>-420.31999999999971</v>
          </cell>
          <cell r="AL574">
            <v>-307.58000000000902</v>
          </cell>
          <cell r="AM574">
            <v>-301.67000000001281</v>
          </cell>
          <cell r="AN574">
            <v>-279.20999999999185</v>
          </cell>
        </row>
        <row r="575">
          <cell r="Q575">
            <v>0</v>
          </cell>
          <cell r="R575">
            <v>0.13999999999999968</v>
          </cell>
          <cell r="S575">
            <v>-1.0299999999999976</v>
          </cell>
          <cell r="T575">
            <v>-3.8400000000000034</v>
          </cell>
          <cell r="U575">
            <v>-17.829999999999927</v>
          </cell>
          <cell r="V575">
            <v>-45.049999999999955</v>
          </cell>
          <cell r="W575">
            <v>-51.879999999999882</v>
          </cell>
          <cell r="X575">
            <v>-72.019999999999982</v>
          </cell>
          <cell r="Y575">
            <v>-93.360000000000127</v>
          </cell>
          <cell r="Z575">
            <v>-69.070000000000164</v>
          </cell>
          <cell r="AA575">
            <v>-70.5600000000004</v>
          </cell>
          <cell r="AB575">
            <v>-66.819999999999709</v>
          </cell>
          <cell r="AC575">
            <v>-52.699999999999818</v>
          </cell>
          <cell r="AD575">
            <v>-49.630000000001019</v>
          </cell>
          <cell r="AE575">
            <v>-63.199999999999818</v>
          </cell>
          <cell r="AF575">
            <v>-61.780000000000655</v>
          </cell>
          <cell r="AG575">
            <v>-69.429999999999382</v>
          </cell>
          <cell r="AH575">
            <v>-134.48000000000047</v>
          </cell>
          <cell r="AI575">
            <v>-140.8100000000004</v>
          </cell>
          <cell r="AJ575">
            <v>-140.13000000000102</v>
          </cell>
          <cell r="AK575">
            <v>-130.97000000000025</v>
          </cell>
          <cell r="AL575">
            <v>-68.569999999999709</v>
          </cell>
          <cell r="AM575">
            <v>-67.409999999999854</v>
          </cell>
          <cell r="AN575">
            <v>-57.869999999998981</v>
          </cell>
        </row>
      </sheetData>
      <sheetData sheetId="5">
        <row r="436">
          <cell r="Q436">
            <v>-641.34000000001106</v>
          </cell>
          <cell r="R436">
            <v>-2901.9800000000105</v>
          </cell>
          <cell r="S436">
            <v>-5866.820000000007</v>
          </cell>
          <cell r="T436">
            <v>-7720.0300000000134</v>
          </cell>
          <cell r="U436">
            <v>-11625.00999999998</v>
          </cell>
          <cell r="V436">
            <v>-20929.540000000008</v>
          </cell>
          <cell r="W436">
            <v>-27117.840000000026</v>
          </cell>
          <cell r="X436">
            <v>-31034.819999999949</v>
          </cell>
          <cell r="Y436">
            <v>-33735.23000000004</v>
          </cell>
          <cell r="Z436">
            <v>-24111.200000000012</v>
          </cell>
          <cell r="AA436">
            <v>-26395.179999999993</v>
          </cell>
          <cell r="AB436">
            <v>-33283.26999999996</v>
          </cell>
          <cell r="AC436">
            <v>4184.2200000000012</v>
          </cell>
          <cell r="AD436">
            <v>4029.7399999999907</v>
          </cell>
          <cell r="AE436">
            <v>3844.75</v>
          </cell>
          <cell r="AF436">
            <v>3750.8899999999994</v>
          </cell>
          <cell r="AG436">
            <v>4126.3699999999953</v>
          </cell>
          <cell r="AH436">
            <v>4376.1999999999825</v>
          </cell>
          <cell r="AI436">
            <v>4220.7799999999988</v>
          </cell>
          <cell r="AJ436">
            <v>4502.6599999999744</v>
          </cell>
          <cell r="AK436">
            <v>5462.4899999999907</v>
          </cell>
          <cell r="AL436">
            <v>3851.5299999999988</v>
          </cell>
          <cell r="AM436">
            <v>3828.6600000000035</v>
          </cell>
          <cell r="AN436">
            <v>4652.0900000000111</v>
          </cell>
        </row>
        <row r="437">
          <cell r="Q437">
            <v>-15.120000000000005</v>
          </cell>
          <cell r="R437">
            <v>-98.520000000000095</v>
          </cell>
          <cell r="S437">
            <v>-309.26</v>
          </cell>
          <cell r="T437">
            <v>-515.55999999999995</v>
          </cell>
          <cell r="U437">
            <v>-720.84999999999945</v>
          </cell>
          <cell r="V437">
            <v>-1334.5500000000002</v>
          </cell>
          <cell r="W437">
            <v>-1769.0399999999991</v>
          </cell>
          <cell r="X437">
            <v>-2306.9800000000014</v>
          </cell>
          <cell r="Y437">
            <v>-2446.1499999999996</v>
          </cell>
          <cell r="Z437">
            <v>-1833.9199999999983</v>
          </cell>
          <cell r="AA437">
            <v>-1944.33</v>
          </cell>
          <cell r="AB437">
            <v>-2420.2099999999991</v>
          </cell>
          <cell r="AC437">
            <v>-2126.239999999998</v>
          </cell>
          <cell r="AD437">
            <v>-1934.0200000000004</v>
          </cell>
          <cell r="AE437">
            <v>-2156.7700000000004</v>
          </cell>
          <cell r="AF437">
            <v>-2239.5400000000009</v>
          </cell>
          <cell r="AG437">
            <v>-2384.0600000000013</v>
          </cell>
          <cell r="AH437">
            <v>-3589.9500000000007</v>
          </cell>
          <cell r="AI437">
            <v>-3619.6899999999951</v>
          </cell>
          <cell r="AJ437">
            <v>-3702.1699999999983</v>
          </cell>
          <cell r="AK437">
            <v>-3463.3000000000029</v>
          </cell>
          <cell r="AL437">
            <v>-2356.2199999999975</v>
          </cell>
          <cell r="AM437">
            <v>-2241.0199999999968</v>
          </cell>
          <cell r="AN437">
            <v>-2039.4599999999991</v>
          </cell>
        </row>
        <row r="439">
          <cell r="Q439">
            <v>-3.6199999999999974</v>
          </cell>
          <cell r="R439">
            <v>-139.03999999999996</v>
          </cell>
          <cell r="S439">
            <v>-329.15999999999985</v>
          </cell>
          <cell r="T439">
            <v>-509.73000000000047</v>
          </cell>
          <cell r="U439">
            <v>-780.57000000000062</v>
          </cell>
          <cell r="V439">
            <v>-1342.9899999999998</v>
          </cell>
          <cell r="W439">
            <v>-2306.1900000000023</v>
          </cell>
          <cell r="X439">
            <v>-3080.489999999998</v>
          </cell>
          <cell r="Y439">
            <v>-3427.7099999999991</v>
          </cell>
          <cell r="Z439">
            <v>-3507.8899999999994</v>
          </cell>
          <cell r="AA439">
            <v>-3799.9599999999991</v>
          </cell>
          <cell r="AB439">
            <v>-4648.1300000000047</v>
          </cell>
          <cell r="AC439">
            <v>-2158.9800000000032</v>
          </cell>
          <cell r="AD439">
            <v>-2065.2000000000044</v>
          </cell>
          <cell r="AE439">
            <v>-2305.9499999999971</v>
          </cell>
          <cell r="AF439">
            <v>-2169.6299999999974</v>
          </cell>
          <cell r="AG439">
            <v>-2406.0200000000041</v>
          </cell>
          <cell r="AH439">
            <v>-2692.2900000000009</v>
          </cell>
          <cell r="AI439">
            <v>-2661.8899999999994</v>
          </cell>
          <cell r="AJ439">
            <v>-2747.4799999999959</v>
          </cell>
          <cell r="AK439">
            <v>-2588.080000000009</v>
          </cell>
          <cell r="AL439">
            <v>-2301.4199999999983</v>
          </cell>
          <cell r="AM439">
            <v>-2234.5</v>
          </cell>
          <cell r="AN439">
            <v>-2144.0300000000061</v>
          </cell>
        </row>
        <row r="440">
          <cell r="Q440">
            <v>0</v>
          </cell>
          <cell r="R440">
            <v>-0.6599999999999997</v>
          </cell>
          <cell r="S440">
            <v>-1.4800000000000004</v>
          </cell>
          <cell r="T440">
            <v>-8.9399999999999977</v>
          </cell>
          <cell r="U440">
            <v>-64.460000000000036</v>
          </cell>
          <cell r="V440">
            <v>-139.69000000000005</v>
          </cell>
          <cell r="W440">
            <v>-156.40000000000009</v>
          </cell>
          <cell r="X440">
            <v>-191.63999999999987</v>
          </cell>
          <cell r="Y440">
            <v>-213.69000000000005</v>
          </cell>
          <cell r="Z440">
            <v>-190.38999999999987</v>
          </cell>
          <cell r="AA440">
            <v>-198.24999999999977</v>
          </cell>
          <cell r="AB440">
            <v>-459.0600000000004</v>
          </cell>
          <cell r="AC440">
            <v>-362.24999999999909</v>
          </cell>
          <cell r="AD440">
            <v>-322.57999999999902</v>
          </cell>
          <cell r="AE440">
            <v>-359.64999999999964</v>
          </cell>
          <cell r="AF440">
            <v>-321.63000000000011</v>
          </cell>
          <cell r="AG440">
            <v>-354.65000000000055</v>
          </cell>
          <cell r="AH440">
            <v>-402.84999999999945</v>
          </cell>
          <cell r="AI440">
            <v>-409.61000000000058</v>
          </cell>
          <cell r="AJ440">
            <v>-417.38000000000011</v>
          </cell>
          <cell r="AK440">
            <v>-397.27999999999884</v>
          </cell>
          <cell r="AL440">
            <v>-336.59000000000015</v>
          </cell>
          <cell r="AM440">
            <v>-320.32999999999993</v>
          </cell>
          <cell r="AN440">
            <v>-344.88000000000011</v>
          </cell>
        </row>
      </sheetData>
      <sheetData sheetId="6">
        <row r="55">
          <cell r="O55">
            <v>-4.3899999999999997</v>
          </cell>
          <cell r="P55">
            <v>-14.16</v>
          </cell>
          <cell r="Q55">
            <v>-13.34</v>
          </cell>
          <cell r="R55">
            <v>-27.74</v>
          </cell>
          <cell r="S55">
            <v>-46.27</v>
          </cell>
          <cell r="T55">
            <v>-73.83</v>
          </cell>
          <cell r="U55">
            <v>-121.78</v>
          </cell>
          <cell r="V55">
            <v>-192.53</v>
          </cell>
          <cell r="W55">
            <v>-273.61</v>
          </cell>
          <cell r="X55">
            <v>-369.74</v>
          </cell>
          <cell r="Y55">
            <v>-473.02</v>
          </cell>
          <cell r="Z55">
            <v>-589.34</v>
          </cell>
          <cell r="AA55">
            <v>-876.02</v>
          </cell>
          <cell r="AB55">
            <v>-887.48</v>
          </cell>
          <cell r="AC55">
            <v>-927.54</v>
          </cell>
          <cell r="AD55">
            <v>-148.76</v>
          </cell>
          <cell r="AE55">
            <v>-176.92</v>
          </cell>
          <cell r="AF55">
            <v>-213.4</v>
          </cell>
          <cell r="AG55">
            <v>-291.57</v>
          </cell>
          <cell r="AH55">
            <v>-362.76</v>
          </cell>
          <cell r="AI55">
            <v>-433.39</v>
          </cell>
          <cell r="AJ55">
            <v>-501.69</v>
          </cell>
          <cell r="AK55">
            <v>-574.44000000000005</v>
          </cell>
          <cell r="AL55">
            <v>-664.26</v>
          </cell>
        </row>
        <row r="56">
          <cell r="O56">
            <v>-0.02</v>
          </cell>
          <cell r="P56">
            <v>-0.13</v>
          </cell>
          <cell r="Q56">
            <v>-0.22</v>
          </cell>
          <cell r="R56">
            <v>-0.66</v>
          </cell>
          <cell r="S56">
            <v>-1.32</v>
          </cell>
          <cell r="T56">
            <v>-2.35</v>
          </cell>
          <cell r="U56">
            <v>-3.99</v>
          </cell>
          <cell r="V56">
            <v>-6.41</v>
          </cell>
          <cell r="W56">
            <v>-9.6199999999999992</v>
          </cell>
          <cell r="X56">
            <v>-13.74</v>
          </cell>
          <cell r="Y56">
            <v>-18.32</v>
          </cell>
          <cell r="Z56">
            <v>-23.77</v>
          </cell>
          <cell r="AA56">
            <v>-38.57</v>
          </cell>
          <cell r="AB56">
            <v>-43.95</v>
          </cell>
          <cell r="AC56">
            <v>-50.99</v>
          </cell>
          <cell r="AD56">
            <v>-9.01</v>
          </cell>
          <cell r="AE56">
            <v>-11.77</v>
          </cell>
          <cell r="AF56">
            <v>-15.73</v>
          </cell>
          <cell r="AG56">
            <v>-23.37</v>
          </cell>
          <cell r="AH56">
            <v>-30.82</v>
          </cell>
          <cell r="AI56">
            <v>-39.56</v>
          </cell>
          <cell r="AJ56">
            <v>-48.98</v>
          </cell>
          <cell r="AK56">
            <v>-59.01</v>
          </cell>
          <cell r="AL56">
            <v>-71.38</v>
          </cell>
        </row>
        <row r="58">
          <cell r="O58">
            <v>-0.01</v>
          </cell>
          <cell r="P58">
            <v>-0.18</v>
          </cell>
          <cell r="Q58">
            <v>-0.31</v>
          </cell>
          <cell r="R58">
            <v>-0.84</v>
          </cell>
          <cell r="S58">
            <v>-1.65</v>
          </cell>
          <cell r="T58">
            <v>-2.89</v>
          </cell>
          <cell r="U58">
            <v>-5.26</v>
          </cell>
          <cell r="V58">
            <v>-9.2100000000000009</v>
          </cell>
          <cell r="W58">
            <v>-14.33</v>
          </cell>
          <cell r="X58">
            <v>-21.46</v>
          </cell>
          <cell r="Y58">
            <v>-30.48</v>
          </cell>
          <cell r="Z58">
            <v>-41.58</v>
          </cell>
          <cell r="AA58">
            <v>-67.45</v>
          </cell>
          <cell r="AB58">
            <v>-74.510000000000005</v>
          </cell>
          <cell r="AC58">
            <v>-84.45</v>
          </cell>
          <cell r="AD58">
            <v>-14.57</v>
          </cell>
          <cell r="AE58">
            <v>-18.579999999999998</v>
          </cell>
          <cell r="AF58">
            <v>-23.95</v>
          </cell>
          <cell r="AG58">
            <v>-34.47</v>
          </cell>
          <cell r="AH58">
            <v>-44.79</v>
          </cell>
          <cell r="AI58">
            <v>-56.09</v>
          </cell>
          <cell r="AJ58">
            <v>-68.11</v>
          </cell>
          <cell r="AK58">
            <v>-81.510000000000005</v>
          </cell>
          <cell r="AL58">
            <v>-98.19</v>
          </cell>
        </row>
        <row r="59">
          <cell r="O59">
            <v>0</v>
          </cell>
          <cell r="P59">
            <v>0</v>
          </cell>
          <cell r="Q59">
            <v>0</v>
          </cell>
          <cell r="R59">
            <v>-0.01</v>
          </cell>
          <cell r="S59">
            <v>-7.0000000000000007E-2</v>
          </cell>
          <cell r="T59">
            <v>-0.23</v>
          </cell>
          <cell r="U59">
            <v>-0.48</v>
          </cell>
          <cell r="V59">
            <v>-0.85</v>
          </cell>
          <cell r="W59">
            <v>-1.32</v>
          </cell>
          <cell r="X59">
            <v>-1.92</v>
          </cell>
          <cell r="Y59">
            <v>-2.62</v>
          </cell>
          <cell r="Z59">
            <v>-3.62</v>
          </cell>
          <cell r="AA59">
            <v>-6.28</v>
          </cell>
          <cell r="AB59">
            <v>-7.41</v>
          </cell>
          <cell r="AC59">
            <v>-8.83</v>
          </cell>
          <cell r="AD59">
            <v>-1.58</v>
          </cell>
          <cell r="AE59">
            <v>-2.08</v>
          </cell>
          <cell r="AF59">
            <v>-2.78</v>
          </cell>
          <cell r="AG59">
            <v>-4.16</v>
          </cell>
          <cell r="AH59">
            <v>-5.58</v>
          </cell>
          <cell r="AI59">
            <v>-7.17</v>
          </cell>
          <cell r="AJ59">
            <v>-8.85</v>
          </cell>
          <cell r="AK59">
            <v>-10.69</v>
          </cell>
          <cell r="AL59">
            <v>-13</v>
          </cell>
        </row>
      </sheetData>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3 Final EM&amp;V"/>
      <sheetName val="Tariff Table"/>
      <sheetName val="EMV Results"/>
    </sheetNames>
    <sheetDataSet>
      <sheetData sheetId="0">
        <row r="22">
          <cell r="AL22">
            <v>1831459.6889999998</v>
          </cell>
          <cell r="AP22">
            <v>286244.42</v>
          </cell>
          <cell r="AR22">
            <v>619125.67000000016</v>
          </cell>
          <cell r="AS22">
            <v>500775.76</v>
          </cell>
        </row>
      </sheetData>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put"/>
      <sheetName val="Program Descriptions"/>
      <sheetName val="Deemed TD Calc"/>
      <sheetName val="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2">
          <cell r="AC572">
            <v>6551.8400000000256</v>
          </cell>
          <cell r="AD572">
            <v>6912.9499999999971</v>
          </cell>
          <cell r="AE572">
            <v>6056.6900000000169</v>
          </cell>
          <cell r="AF572">
            <v>5185.1299999999901</v>
          </cell>
          <cell r="AG572">
            <v>3728.2700000000041</v>
          </cell>
          <cell r="AH572">
            <v>5965.6700000000128</v>
          </cell>
          <cell r="AI572">
            <v>1176.4599999999919</v>
          </cell>
          <cell r="AJ572">
            <v>-9860.6799999999785</v>
          </cell>
          <cell r="AK572">
            <v>-7991.4799999999814</v>
          </cell>
          <cell r="AL572">
            <v>-5297.2599999999948</v>
          </cell>
          <cell r="AM572">
            <v>-5652.8099999999977</v>
          </cell>
          <cell r="AN572">
            <v>-7768.2599999999948</v>
          </cell>
          <cell r="AO572">
            <v>-5769.6100000000079</v>
          </cell>
          <cell r="AP572">
            <v>-5332.1300000000047</v>
          </cell>
          <cell r="AQ572">
            <v>-5912.8999999999942</v>
          </cell>
          <cell r="AR572">
            <v>-5970.0600000000049</v>
          </cell>
          <cell r="AS572">
            <v>-6454.1199999999953</v>
          </cell>
          <cell r="AT572">
            <v>-11797.079999999987</v>
          </cell>
          <cell r="AU572">
            <v>-14635.339999999938</v>
          </cell>
          <cell r="AV572">
            <v>-13961.589999999997</v>
          </cell>
          <cell r="AW572">
            <v>-10997.330000000002</v>
          </cell>
          <cell r="AX572">
            <v>-6093.0699999999924</v>
          </cell>
          <cell r="AY572">
            <v>-6189.9500000000116</v>
          </cell>
          <cell r="AZ572">
            <v>-6282.9700000000157</v>
          </cell>
          <cell r="BA572">
            <v>-5564.4800000000178</v>
          </cell>
          <cell r="BB572">
            <v>-5246.93</v>
          </cell>
          <cell r="BC572">
            <v>-5826.8700000000099</v>
          </cell>
          <cell r="BD572">
            <v>-5883.0399999999936</v>
          </cell>
          <cell r="BE572">
            <v>-6363.2200000000084</v>
          </cell>
          <cell r="BF572">
            <v>-11682.89</v>
          </cell>
          <cell r="BG572">
            <v>-14519.619999999995</v>
          </cell>
          <cell r="BH572">
            <v>-13841.640000000014</v>
          </cell>
          <cell r="BI572">
            <v>-10862.560000000012</v>
          </cell>
          <cell r="BJ572">
            <v>-6006.5300000000061</v>
          </cell>
          <cell r="BK572">
            <v>-6101.9200000000055</v>
          </cell>
          <cell r="BL572">
            <v>-6180.1100000000006</v>
          </cell>
          <cell r="BM572">
            <v>0</v>
          </cell>
          <cell r="BN572">
            <v>0</v>
          </cell>
          <cell r="BO572">
            <v>0</v>
          </cell>
          <cell r="BP572">
            <v>0</v>
          </cell>
        </row>
        <row r="573">
          <cell r="AC573">
            <v>4.3700000000000045</v>
          </cell>
          <cell r="AD573">
            <v>-3.410000000000025</v>
          </cell>
          <cell r="AE573">
            <v>-55.590000000000032</v>
          </cell>
          <cell r="AF573">
            <v>-164.78999999999974</v>
          </cell>
          <cell r="AG573">
            <v>-313.63999999999987</v>
          </cell>
          <cell r="AH573">
            <v>-614.38000000000011</v>
          </cell>
          <cell r="AI573">
            <v>-1072.6800000000003</v>
          </cell>
          <cell r="AJ573">
            <v>-1272.58</v>
          </cell>
          <cell r="AK573">
            <v>-1062.159999999998</v>
          </cell>
          <cell r="AL573">
            <v>-914.53999999999905</v>
          </cell>
          <cell r="AM573">
            <v>-1057.58</v>
          </cell>
          <cell r="AN573">
            <v>-2070.0699999999997</v>
          </cell>
          <cell r="AO573">
            <v>-2215.4900000000052</v>
          </cell>
          <cell r="AP573">
            <v>-1903.8700000000026</v>
          </cell>
          <cell r="AQ573">
            <v>-2173.5999999999949</v>
          </cell>
          <cell r="AR573">
            <v>-2209.3600000000006</v>
          </cell>
          <cell r="AS573">
            <v>-2377.9399999999987</v>
          </cell>
          <cell r="AT573">
            <v>-3455.8600000000006</v>
          </cell>
          <cell r="AU573">
            <v>-5528.2500000000036</v>
          </cell>
          <cell r="AV573">
            <v>-5303.6399999999921</v>
          </cell>
          <cell r="AW573">
            <v>-3249.16</v>
          </cell>
          <cell r="AX573">
            <v>-2354.5200000000004</v>
          </cell>
          <cell r="AY573">
            <v>-2200.4599999999991</v>
          </cell>
          <cell r="AZ573">
            <v>-2162.7599999999984</v>
          </cell>
          <cell r="BA573">
            <v>-2550.5599999999977</v>
          </cell>
          <cell r="BB573">
            <v>-2253.3700000000026</v>
          </cell>
          <cell r="BC573">
            <v>-2574.3599999999969</v>
          </cell>
          <cell r="BD573">
            <v>-2616.6100000000006</v>
          </cell>
          <cell r="BE573">
            <v>-2816.1499999999978</v>
          </cell>
          <cell r="BF573">
            <v>-4101.1500000000015</v>
          </cell>
          <cell r="BG573">
            <v>-6172.9000000000015</v>
          </cell>
          <cell r="BH573">
            <v>-5956.6699999999983</v>
          </cell>
          <cell r="BI573">
            <v>-3857.1099999999933</v>
          </cell>
          <cell r="BJ573">
            <v>-2788.5800000000017</v>
          </cell>
          <cell r="BK573">
            <v>-2607.0600000000013</v>
          </cell>
          <cell r="BL573">
            <v>-2560.4400000000023</v>
          </cell>
          <cell r="BM573">
            <v>0</v>
          </cell>
          <cell r="BN573">
            <v>0</v>
          </cell>
          <cell r="BO573">
            <v>0</v>
          </cell>
          <cell r="BP573">
            <v>0</v>
          </cell>
        </row>
        <row r="575">
          <cell r="AC575">
            <v>13.469999999999999</v>
          </cell>
          <cell r="AD575">
            <v>15.439999999999998</v>
          </cell>
          <cell r="AE575">
            <v>-39.599999999999909</v>
          </cell>
          <cell r="AF575">
            <v>-106.27999999999997</v>
          </cell>
          <cell r="AG575">
            <v>-150.38000000000011</v>
          </cell>
          <cell r="AH575">
            <v>-198.96000000000049</v>
          </cell>
          <cell r="AI575">
            <v>-254.47999999999911</v>
          </cell>
          <cell r="AJ575">
            <v>-355.24000000000069</v>
          </cell>
          <cell r="AK575">
            <v>-478.18999999999869</v>
          </cell>
          <cell r="AL575">
            <v>-604.14999999999782</v>
          </cell>
          <cell r="AM575">
            <v>-629.29000000000087</v>
          </cell>
          <cell r="AN575">
            <v>-1070.2099999999991</v>
          </cell>
          <cell r="AO575">
            <v>-906.93999999999869</v>
          </cell>
          <cell r="AP575">
            <v>-748.87000000000262</v>
          </cell>
          <cell r="AQ575">
            <v>-878.47999999999956</v>
          </cell>
          <cell r="AR575">
            <v>-886.39999999999782</v>
          </cell>
          <cell r="AS575">
            <v>-999.65999999999622</v>
          </cell>
          <cell r="AT575">
            <v>-1038.6200000000026</v>
          </cell>
          <cell r="AU575">
            <v>-972.76000000000568</v>
          </cell>
          <cell r="AV575">
            <v>-980.34999999999854</v>
          </cell>
          <cell r="AW575">
            <v>-905.97000000000116</v>
          </cell>
          <cell r="AX575">
            <v>-868.13999999999578</v>
          </cell>
          <cell r="AY575">
            <v>-870.45999999999913</v>
          </cell>
          <cell r="AZ575">
            <v>-818.42999999999665</v>
          </cell>
          <cell r="BA575">
            <v>-981.28999999999724</v>
          </cell>
          <cell r="BB575">
            <v>-903</v>
          </cell>
          <cell r="BC575">
            <v>-1060.7900000000045</v>
          </cell>
          <cell r="BD575">
            <v>-1070.4400000000023</v>
          </cell>
          <cell r="BE575">
            <v>-1206.3500000000022</v>
          </cell>
          <cell r="BF575">
            <v>-1267.8599999999933</v>
          </cell>
          <cell r="BG575">
            <v>-1190.7000000000116</v>
          </cell>
          <cell r="BH575">
            <v>-1199.6699999999983</v>
          </cell>
          <cell r="BI575">
            <v>-1109.2200000000048</v>
          </cell>
          <cell r="BJ575">
            <v>-1049.5499999999956</v>
          </cell>
          <cell r="BK575">
            <v>-1052.4499999999971</v>
          </cell>
          <cell r="BL575">
            <v>-988.07999999999811</v>
          </cell>
          <cell r="BM575">
            <v>0</v>
          </cell>
          <cell r="BN575">
            <v>0</v>
          </cell>
          <cell r="BO575">
            <v>0</v>
          </cell>
          <cell r="BP575">
            <v>0</v>
          </cell>
        </row>
        <row r="576">
          <cell r="AC576">
            <v>-1.1100000000000136</v>
          </cell>
          <cell r="AD576">
            <v>-0.23000000000001819</v>
          </cell>
          <cell r="AE576">
            <v>-1.9500000000000455</v>
          </cell>
          <cell r="AF576">
            <v>-0.91999999999995907</v>
          </cell>
          <cell r="AG576">
            <v>5.010000000000673</v>
          </cell>
          <cell r="AH576">
            <v>27.850000000000364</v>
          </cell>
          <cell r="AI576">
            <v>23.739999999999782</v>
          </cell>
          <cell r="AJ576">
            <v>41.479999999999563</v>
          </cell>
          <cell r="AK576">
            <v>49.009999999999309</v>
          </cell>
          <cell r="AL576">
            <v>-4.9700000000002547</v>
          </cell>
          <cell r="AM576">
            <v>6.9899999999997817</v>
          </cell>
          <cell r="AN576">
            <v>-237.47000000000116</v>
          </cell>
          <cell r="AO576">
            <v>-187.56999999999994</v>
          </cell>
          <cell r="AP576">
            <v>-88.1099999999999</v>
          </cell>
          <cell r="AQ576">
            <v>-83.019999999999982</v>
          </cell>
          <cell r="AR576">
            <v>-77.180000000000064</v>
          </cell>
          <cell r="AS576">
            <v>-95.2199999999998</v>
          </cell>
          <cell r="AT576">
            <v>-152.86999999999989</v>
          </cell>
          <cell r="AU576">
            <v>-145.6899999999996</v>
          </cell>
          <cell r="AV576">
            <v>-152.74999999999955</v>
          </cell>
          <cell r="AW576">
            <v>-146.66000000000031</v>
          </cell>
          <cell r="AX576">
            <v>-77.529999999999745</v>
          </cell>
          <cell r="AY576">
            <v>-78.879999999999882</v>
          </cell>
          <cell r="AZ576">
            <v>-93.8900000000001</v>
          </cell>
          <cell r="BA576">
            <v>-121.15999999999985</v>
          </cell>
          <cell r="BB576">
            <v>-110.2800000000002</v>
          </cell>
          <cell r="BC576">
            <v>-106.41999999999985</v>
          </cell>
          <cell r="BD576">
            <v>-99.630000000000109</v>
          </cell>
          <cell r="BE576">
            <v>-121.46000000000004</v>
          </cell>
          <cell r="BF576">
            <v>-199.54000000000042</v>
          </cell>
          <cell r="BG576">
            <v>-192.03999999999951</v>
          </cell>
          <cell r="BH576">
            <v>-200.30999999999995</v>
          </cell>
          <cell r="BI576">
            <v>-191.93000000000029</v>
          </cell>
          <cell r="BJ576">
            <v>-100.6400000000001</v>
          </cell>
          <cell r="BK576">
            <v>-102.29000000000019</v>
          </cell>
          <cell r="BL576">
            <v>-118.44000000000005</v>
          </cell>
          <cell r="BM576">
            <v>0</v>
          </cell>
          <cell r="BN576">
            <v>0</v>
          </cell>
          <cell r="BO576">
            <v>0</v>
          </cell>
          <cell r="BP576">
            <v>0</v>
          </cell>
        </row>
      </sheetData>
      <sheetData sheetId="5">
        <row r="437">
          <cell r="AC437">
            <v>40.349999999976717</v>
          </cell>
          <cell r="AD437">
            <v>191.60000000000582</v>
          </cell>
          <cell r="AE437">
            <v>275.30999999999767</v>
          </cell>
          <cell r="AF437">
            <v>309.49000000000524</v>
          </cell>
          <cell r="AG437">
            <v>414.01999999998952</v>
          </cell>
          <cell r="AH437">
            <v>254.6699999999837</v>
          </cell>
          <cell r="AI437">
            <v>12.889999999984866</v>
          </cell>
          <cell r="AJ437">
            <v>0.41999999999825377</v>
          </cell>
          <cell r="AK437">
            <v>582.20999999999185</v>
          </cell>
          <cell r="AL437">
            <v>658.2899999999936</v>
          </cell>
          <cell r="AM437">
            <v>761.27000000000407</v>
          </cell>
          <cell r="AN437">
            <v>1238.6100000000006</v>
          </cell>
          <cell r="AO437">
            <v>-1847.2400000000052</v>
          </cell>
          <cell r="AP437">
            <v>-1669.4199999999983</v>
          </cell>
          <cell r="AQ437">
            <v>-1752.6300000000047</v>
          </cell>
          <cell r="AR437">
            <v>-1764.6800000000003</v>
          </cell>
          <cell r="AS437">
            <v>-1880.3200000000143</v>
          </cell>
          <cell r="AT437">
            <v>-2805.7800000000134</v>
          </cell>
          <cell r="AU437">
            <v>-3039.7400000000198</v>
          </cell>
          <cell r="AV437">
            <v>-3017.9100000000035</v>
          </cell>
          <cell r="AW437">
            <v>-2939.6300000000047</v>
          </cell>
          <cell r="AX437">
            <v>-1777.1100000000079</v>
          </cell>
          <cell r="AY437">
            <v>-1799.3099999999977</v>
          </cell>
          <cell r="AZ437">
            <v>-2015.7399999999907</v>
          </cell>
          <cell r="BA437">
            <v>0</v>
          </cell>
          <cell r="BB437">
            <v>0</v>
          </cell>
          <cell r="BC437">
            <v>0</v>
          </cell>
          <cell r="BD437">
            <v>9.9999999947613105E-3</v>
          </cell>
          <cell r="BE437">
            <v>0</v>
          </cell>
          <cell r="BF437">
            <v>-1.0000000009313226E-2</v>
          </cell>
          <cell r="BG437">
            <v>0</v>
          </cell>
          <cell r="BH437">
            <v>1.0000000009313226E-2</v>
          </cell>
          <cell r="BI437">
            <v>0</v>
          </cell>
          <cell r="BJ437">
            <v>0</v>
          </cell>
        </row>
        <row r="438">
          <cell r="AC438">
            <v>-2.0300000000000011</v>
          </cell>
          <cell r="AD438">
            <v>-6.2599999999999909</v>
          </cell>
          <cell r="AE438">
            <v>-18.169999999999959</v>
          </cell>
          <cell r="AF438">
            <v>-41.3599999999999</v>
          </cell>
          <cell r="AG438">
            <v>-74.629999999999654</v>
          </cell>
          <cell r="AH438">
            <v>-138.0600000000004</v>
          </cell>
          <cell r="AI438">
            <v>-154.75</v>
          </cell>
          <cell r="AJ438">
            <v>-200.4900000000016</v>
          </cell>
          <cell r="AK438">
            <v>-228.19000000000233</v>
          </cell>
          <cell r="AL438">
            <v>-187.76000000000022</v>
          </cell>
          <cell r="AM438">
            <v>-222.46000000000095</v>
          </cell>
          <cell r="AN438">
            <v>-431.15999999999985</v>
          </cell>
          <cell r="AO438">
            <v>2920.8100000000013</v>
          </cell>
          <cell r="AP438">
            <v>2512.1999999999971</v>
          </cell>
          <cell r="AQ438">
            <v>2880.619999999999</v>
          </cell>
          <cell r="AR438">
            <v>2927.4000000000015</v>
          </cell>
          <cell r="AS438">
            <v>3149.8500000000022</v>
          </cell>
          <cell r="AT438">
            <v>4638.4500000000044</v>
          </cell>
          <cell r="AU438">
            <v>4633.7700000000077</v>
          </cell>
          <cell r="AV438">
            <v>4694.0199999999968</v>
          </cell>
          <cell r="AW438">
            <v>4370.0300000000025</v>
          </cell>
          <cell r="AX438">
            <v>3120.09</v>
          </cell>
          <cell r="AY438">
            <v>2922.75</v>
          </cell>
          <cell r="AZ438">
            <v>2858.5499999999993</v>
          </cell>
          <cell r="BA438">
            <v>0</v>
          </cell>
          <cell r="BB438">
            <v>-1.0000000002037268E-2</v>
          </cell>
          <cell r="BC438">
            <v>0</v>
          </cell>
          <cell r="BD438">
            <v>0</v>
          </cell>
          <cell r="BE438">
            <v>-9.9999999983992893E-3</v>
          </cell>
          <cell r="BF438">
            <v>0</v>
          </cell>
          <cell r="BG438">
            <v>1.0000000002037268E-2</v>
          </cell>
          <cell r="BH438">
            <v>0</v>
          </cell>
          <cell r="BI438">
            <v>0</v>
          </cell>
          <cell r="BJ438">
            <v>-2.0000000000436557E-2</v>
          </cell>
        </row>
        <row r="440">
          <cell r="AC440">
            <v>0</v>
          </cell>
          <cell r="AD440">
            <v>-2.3599999999999852</v>
          </cell>
          <cell r="AE440">
            <v>-15.409999999999968</v>
          </cell>
          <cell r="AF440">
            <v>-30.590000000000146</v>
          </cell>
          <cell r="AG440">
            <v>-42.990000000000236</v>
          </cell>
          <cell r="AH440">
            <v>-63.339999999999236</v>
          </cell>
          <cell r="AI440">
            <v>-76.780000000000655</v>
          </cell>
          <cell r="AJ440">
            <v>-47.739999999999782</v>
          </cell>
          <cell r="AK440">
            <v>24.350000000000364</v>
          </cell>
          <cell r="AL440">
            <v>81.910000000003492</v>
          </cell>
          <cell r="AM440">
            <v>203.97000000000116</v>
          </cell>
          <cell r="AN440">
            <v>200.97999999999593</v>
          </cell>
          <cell r="AO440">
            <v>1335.9799999999959</v>
          </cell>
          <cell r="AP440">
            <v>1107.9500000000007</v>
          </cell>
          <cell r="AQ440">
            <v>1310.4499999999971</v>
          </cell>
          <cell r="AR440">
            <v>1322.9399999999987</v>
          </cell>
          <cell r="AS440">
            <v>1485.6399999999994</v>
          </cell>
          <cell r="AT440">
            <v>1647.6600000000035</v>
          </cell>
          <cell r="AU440">
            <v>1566.5299999999952</v>
          </cell>
          <cell r="AV440">
            <v>1576.4700000000012</v>
          </cell>
          <cell r="AW440">
            <v>1460.9900000000016</v>
          </cell>
          <cell r="AX440">
            <v>1304.0599999999977</v>
          </cell>
          <cell r="AY440">
            <v>1308.1799999999967</v>
          </cell>
          <cell r="AZ440">
            <v>1219.4799999999996</v>
          </cell>
          <cell r="BA440">
            <v>-1.0000000002037268E-2</v>
          </cell>
          <cell r="BB440">
            <v>9.9999999983992893E-3</v>
          </cell>
          <cell r="BC440">
            <v>0</v>
          </cell>
          <cell r="BD440">
            <v>-9.9999999983992893E-3</v>
          </cell>
          <cell r="BE440">
            <v>0</v>
          </cell>
          <cell r="BF440">
            <v>0</v>
          </cell>
          <cell r="BG440">
            <v>0</v>
          </cell>
          <cell r="BH440">
            <v>0</v>
          </cell>
          <cell r="BI440">
            <v>-9.9999999983992893E-3</v>
          </cell>
          <cell r="BJ440">
            <v>0</v>
          </cell>
        </row>
        <row r="441">
          <cell r="AC441">
            <v>-2.3100000000000023</v>
          </cell>
          <cell r="AD441">
            <v>-25.129999999999995</v>
          </cell>
          <cell r="AE441">
            <v>-52.590000000000032</v>
          </cell>
          <cell r="AF441">
            <v>-48.909999999999854</v>
          </cell>
          <cell r="AG441">
            <v>-9.5199999999999818</v>
          </cell>
          <cell r="AH441">
            <v>37.260000000000218</v>
          </cell>
          <cell r="AI441">
            <v>34.900000000000546</v>
          </cell>
          <cell r="AJ441">
            <v>35.260000000000218</v>
          </cell>
          <cell r="AK441">
            <v>33.880000000000109</v>
          </cell>
          <cell r="AL441">
            <v>27.329999999999927</v>
          </cell>
          <cell r="AM441">
            <v>24.530000000000655</v>
          </cell>
          <cell r="AN441">
            <v>-24.399999999998727</v>
          </cell>
          <cell r="AO441">
            <v>292.63999999999965</v>
          </cell>
          <cell r="AP441">
            <v>159.39999999999986</v>
          </cell>
          <cell r="AQ441">
            <v>168.27000000000021</v>
          </cell>
          <cell r="AR441">
            <v>161.3599999999999</v>
          </cell>
          <cell r="AS441">
            <v>188.62999999999988</v>
          </cell>
          <cell r="AT441">
            <v>335.44999999999982</v>
          </cell>
          <cell r="AU441">
            <v>333.17000000000007</v>
          </cell>
          <cell r="AV441">
            <v>341.91999999999962</v>
          </cell>
          <cell r="AW441">
            <v>325.44000000000005</v>
          </cell>
          <cell r="AX441">
            <v>166.11999999999966</v>
          </cell>
          <cell r="AY441">
            <v>168.27999999999997</v>
          </cell>
          <cell r="AZ441">
            <v>176.41000000000008</v>
          </cell>
          <cell r="BA441">
            <v>-1.999999999998181E-2</v>
          </cell>
          <cell r="BB441">
            <v>0</v>
          </cell>
          <cell r="BC441">
            <v>0</v>
          </cell>
          <cell r="BD441">
            <v>0</v>
          </cell>
          <cell r="BE441">
            <v>9.9999999999909051E-3</v>
          </cell>
          <cell r="BF441">
            <v>0</v>
          </cell>
          <cell r="BG441">
            <v>1.0000000000218279E-2</v>
          </cell>
          <cell r="BH441">
            <v>0</v>
          </cell>
          <cell r="BI441">
            <v>0</v>
          </cell>
          <cell r="BJ441">
            <v>-1.0000000000218279E-2</v>
          </cell>
        </row>
      </sheetData>
      <sheetData sheetId="6">
        <row r="55">
          <cell r="AA55">
            <v>8.9</v>
          </cell>
          <cell r="AB55">
            <v>27.62</v>
          </cell>
          <cell r="AC55">
            <v>47.75</v>
          </cell>
          <cell r="AD55">
            <v>10.19</v>
          </cell>
          <cell r="AE55">
            <v>14.59</v>
          </cell>
          <cell r="AF55">
            <v>20.61</v>
          </cell>
          <cell r="AG55">
            <v>30.53</v>
          </cell>
          <cell r="AH55">
            <v>32.479999999999997</v>
          </cell>
          <cell r="AI55">
            <v>27.84</v>
          </cell>
          <cell r="AJ55">
            <v>23.86</v>
          </cell>
          <cell r="AK55">
            <v>19.86</v>
          </cell>
          <cell r="AL55">
            <v>12.77</v>
          </cell>
          <cell r="AM55">
            <v>0.65</v>
          </cell>
          <cell r="AN55">
            <v>-29.69</v>
          </cell>
          <cell r="AO55">
            <v>-60.87</v>
          </cell>
          <cell r="AP55">
            <v>-95.66</v>
          </cell>
          <cell r="AQ55">
            <v>-132.27000000000001</v>
          </cell>
          <cell r="AR55">
            <v>-184.8</v>
          </cell>
          <cell r="AS55">
            <v>-258.89</v>
          </cell>
          <cell r="AT55">
            <v>-340.17</v>
          </cell>
          <cell r="AU55">
            <v>-413.66</v>
          </cell>
          <cell r="AV55">
            <v>-473.21</v>
          </cell>
          <cell r="AW55">
            <v>-512.52</v>
          </cell>
          <cell r="AX55">
            <v>-553.02</v>
          </cell>
          <cell r="AY55">
            <v>-609.05999999999995</v>
          </cell>
          <cell r="AZ55">
            <v>-631.42999999999995</v>
          </cell>
          <cell r="BA55">
            <v>-641.91</v>
          </cell>
          <cell r="BB55">
            <v>-682.98</v>
          </cell>
          <cell r="BC55">
            <v>-710.59</v>
          </cell>
          <cell r="BD55">
            <v>-729.12</v>
          </cell>
          <cell r="BE55">
            <v>-756.48</v>
          </cell>
          <cell r="BF55">
            <v>-816.07</v>
          </cell>
          <cell r="BG55">
            <v>-867.66</v>
          </cell>
          <cell r="BH55">
            <v>-923.18</v>
          </cell>
          <cell r="BI55">
            <v>-948.11</v>
          </cell>
          <cell r="BJ55">
            <v>-972.51</v>
          </cell>
          <cell r="BK55">
            <v>0</v>
          </cell>
          <cell r="BL55">
            <v>0</v>
          </cell>
          <cell r="BM55">
            <v>0</v>
          </cell>
          <cell r="BN55">
            <v>0</v>
          </cell>
        </row>
        <row r="56">
          <cell r="AA56">
            <v>0</v>
          </cell>
          <cell r="AB56">
            <v>-0.01</v>
          </cell>
          <cell r="AC56">
            <v>-0.13</v>
          </cell>
          <cell r="AD56">
            <v>-0.08</v>
          </cell>
          <cell r="AE56">
            <v>-0.25</v>
          </cell>
          <cell r="AF56">
            <v>-0.66</v>
          </cell>
          <cell r="AG56">
            <v>-1.7</v>
          </cell>
          <cell r="AH56">
            <v>-3.42</v>
          </cell>
          <cell r="AI56">
            <v>-5.63</v>
          </cell>
          <cell r="AJ56">
            <v>-8.06</v>
          </cell>
          <cell r="AK56">
            <v>-11.01</v>
          </cell>
          <cell r="AL56">
            <v>-16.010000000000002</v>
          </cell>
          <cell r="AM56">
            <v>-41.12</v>
          </cell>
          <cell r="AN56">
            <v>-38.630000000000003</v>
          </cell>
          <cell r="AO56">
            <v>-36.340000000000003</v>
          </cell>
          <cell r="AP56">
            <v>-34.81</v>
          </cell>
          <cell r="AQ56">
            <v>-32.090000000000003</v>
          </cell>
          <cell r="AR56">
            <v>-28.19</v>
          </cell>
          <cell r="AS56">
            <v>-27.83</v>
          </cell>
          <cell r="AT56">
            <v>-31.54</v>
          </cell>
          <cell r="AU56">
            <v>-30.65</v>
          </cell>
          <cell r="AV56">
            <v>-27.38</v>
          </cell>
          <cell r="AW56">
            <v>-24.09</v>
          </cell>
          <cell r="AX56">
            <v>-20.93</v>
          </cell>
          <cell r="AY56">
            <v>-26.26</v>
          </cell>
          <cell r="AZ56">
            <v>-37.65</v>
          </cell>
          <cell r="BA56">
            <v>-48.04</v>
          </cell>
          <cell r="BB56">
            <v>-60.86</v>
          </cell>
          <cell r="BC56">
            <v>-73.45</v>
          </cell>
          <cell r="BD56">
            <v>-86.78</v>
          </cell>
          <cell r="BE56">
            <v>-105.55</v>
          </cell>
          <cell r="BF56">
            <v>-131.54</v>
          </cell>
          <cell r="BG56">
            <v>-152.44999999999999</v>
          </cell>
          <cell r="BH56">
            <v>-169.32</v>
          </cell>
          <cell r="BI56">
            <v>-180.73</v>
          </cell>
          <cell r="BJ56">
            <v>-191.46</v>
          </cell>
          <cell r="BK56">
            <v>0</v>
          </cell>
          <cell r="BL56">
            <v>0</v>
          </cell>
          <cell r="BM56">
            <v>0</v>
          </cell>
          <cell r="BN56">
            <v>0</v>
          </cell>
        </row>
        <row r="58">
          <cell r="AA58">
            <v>0.02</v>
          </cell>
          <cell r="AB58">
            <v>0.05</v>
          </cell>
          <cell r="AC58">
            <v>0</v>
          </cell>
          <cell r="AD58">
            <v>-0.04</v>
          </cell>
          <cell r="AE58">
            <v>-0.14000000000000001</v>
          </cell>
          <cell r="AF58">
            <v>-0.31</v>
          </cell>
          <cell r="AG58">
            <v>-0.66</v>
          </cell>
          <cell r="AH58">
            <v>-1.1599999999999999</v>
          </cell>
          <cell r="AI58">
            <v>-1.87</v>
          </cell>
          <cell r="AJ58">
            <v>-2.8</v>
          </cell>
          <cell r="AK58">
            <v>-3.91</v>
          </cell>
          <cell r="AL58">
            <v>-5.64</v>
          </cell>
          <cell r="AM58">
            <v>-14.1</v>
          </cell>
          <cell r="AN58">
            <v>-12.54</v>
          </cell>
          <cell r="AO58">
            <v>-11.03</v>
          </cell>
          <cell r="AP58">
            <v>-9.65</v>
          </cell>
          <cell r="AQ58">
            <v>-7.78</v>
          </cell>
          <cell r="AR58">
            <v>-5.46</v>
          </cell>
          <cell r="AS58">
            <v>-2.83</v>
          </cell>
          <cell r="AT58">
            <v>-0.17</v>
          </cell>
          <cell r="AU58">
            <v>2.46</v>
          </cell>
          <cell r="AV58">
            <v>4.6500000000000004</v>
          </cell>
          <cell r="AW58">
            <v>6.69</v>
          </cell>
          <cell r="AX58">
            <v>8.67</v>
          </cell>
          <cell r="AY58">
            <v>7.62</v>
          </cell>
          <cell r="AZ58">
            <v>3.05</v>
          </cell>
          <cell r="BA58">
            <v>-1.63</v>
          </cell>
          <cell r="BB58">
            <v>-6.46</v>
          </cell>
          <cell r="BC58">
            <v>-11.76</v>
          </cell>
          <cell r="BD58">
            <v>-16.989999999999998</v>
          </cell>
          <cell r="BE58">
            <v>-21.63</v>
          </cell>
          <cell r="BF58">
            <v>-26.75</v>
          </cell>
          <cell r="BG58">
            <v>-31.68</v>
          </cell>
          <cell r="BH58">
            <v>-36.81</v>
          </cell>
          <cell r="BI58">
            <v>-41.29</v>
          </cell>
          <cell r="BJ58">
            <v>-45.59</v>
          </cell>
          <cell r="BK58">
            <v>0</v>
          </cell>
          <cell r="BL58">
            <v>0</v>
          </cell>
          <cell r="BM58">
            <v>0</v>
          </cell>
          <cell r="BN58">
            <v>0</v>
          </cell>
        </row>
        <row r="59">
          <cell r="AA59">
            <v>0</v>
          </cell>
          <cell r="AB59">
            <v>-0.04</v>
          </cell>
          <cell r="AC59">
            <v>-0.16</v>
          </cell>
          <cell r="AD59">
            <v>-0.05</v>
          </cell>
          <cell r="AE59">
            <v>-7.0000000000000007E-2</v>
          </cell>
          <cell r="AF59">
            <v>-7.0000000000000007E-2</v>
          </cell>
          <cell r="AG59">
            <v>-0.04</v>
          </cell>
          <cell r="AH59">
            <v>0.02</v>
          </cell>
          <cell r="AI59">
            <v>0.12</v>
          </cell>
          <cell r="AJ59">
            <v>0.21</v>
          </cell>
          <cell r="AK59">
            <v>0.28000000000000003</v>
          </cell>
          <cell r="AL59">
            <v>0.12</v>
          </cell>
          <cell r="AM59">
            <v>-0.04</v>
          </cell>
          <cell r="AN59">
            <v>0.32</v>
          </cell>
          <cell r="AO59">
            <v>0.66</v>
          </cell>
          <cell r="AP59">
            <v>1.04</v>
          </cell>
          <cell r="AQ59">
            <v>1.45</v>
          </cell>
          <cell r="AR59">
            <v>2.08</v>
          </cell>
          <cell r="AS59">
            <v>2.93</v>
          </cell>
          <cell r="AT59">
            <v>3.81</v>
          </cell>
          <cell r="AU59">
            <v>4.6900000000000004</v>
          </cell>
          <cell r="AV59">
            <v>5.41</v>
          </cell>
          <cell r="AW59">
            <v>5.85</v>
          </cell>
          <cell r="AX59">
            <v>6.28</v>
          </cell>
          <cell r="AY59">
            <v>6.44</v>
          </cell>
          <cell r="AZ59">
            <v>5.85</v>
          </cell>
          <cell r="BA59">
            <v>5.19</v>
          </cell>
          <cell r="BB59">
            <v>4.8600000000000003</v>
          </cell>
          <cell r="BC59">
            <v>4.34</v>
          </cell>
          <cell r="BD59">
            <v>3.48</v>
          </cell>
          <cell r="BE59">
            <v>2.4900000000000002</v>
          </cell>
          <cell r="BF59">
            <v>1.63</v>
          </cell>
          <cell r="BG59">
            <v>0.78</v>
          </cell>
          <cell r="BH59">
            <v>0.23</v>
          </cell>
          <cell r="BI59">
            <v>-0.21</v>
          </cell>
          <cell r="BJ59">
            <v>-0.69</v>
          </cell>
          <cell r="BK59">
            <v>0</v>
          </cell>
          <cell r="BL59">
            <v>0</v>
          </cell>
          <cell r="BM59">
            <v>0</v>
          </cell>
          <cell r="BN59">
            <v>0</v>
          </cell>
        </row>
      </sheetData>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E EO Summary"/>
      <sheetName val="PY4 2023 EO"/>
      <sheetName val="Small Business"/>
      <sheetName val="Summary- Custom"/>
      <sheetName val="Summary- Std"/>
      <sheetName val="MEEIA 3 PY4 Bus Cust Std"/>
      <sheetName val="MEEIA 3 PY4 by month"/>
      <sheetName val="MEEIA 3 PY4"/>
      <sheetName val="Intake Form Summary"/>
      <sheetName val="Energy Audit Summary"/>
      <sheetName val="RDR Events"/>
      <sheetName val="MEEIA 3"/>
      <sheetName val="MEEIA 3 PY3"/>
      <sheetName val="SI Projects YTD data"/>
      <sheetName val="Instructions"/>
    </sheetNames>
    <sheetDataSet>
      <sheetData sheetId="0"/>
      <sheetData sheetId="1">
        <row r="116">
          <cell r="E116">
            <v>1409245.8</v>
          </cell>
        </row>
        <row r="117">
          <cell r="E117">
            <v>366668.97000000003</v>
          </cell>
        </row>
        <row r="119">
          <cell r="E119">
            <v>351922.98000000004</v>
          </cell>
        </row>
        <row r="120">
          <cell r="E120">
            <v>258967.71000000002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 EO Summary"/>
      <sheetName val="MEEIA 3 PY5 EO"/>
      <sheetName val="Allocated PY5 spend by program"/>
      <sheetName val="MEEIA 3 PY5 Monthly spend data"/>
      <sheetName val="MEEIA 3 PY5 Bus Cust Std NL SGS"/>
      <sheetName val="Summary FOR EO Rpt"/>
      <sheetName val="MEEIA 3 YTD PY5-Labor"/>
      <sheetName val="MEEIA 3 YTD PY5"/>
      <sheetName val="SI Projects YTD data"/>
      <sheetName val="Instructions"/>
    </sheetNames>
    <sheetDataSet>
      <sheetData sheetId="0"/>
      <sheetData sheetId="1">
        <row r="278">
          <cell r="E278">
            <v>1243468.9281133313</v>
          </cell>
        </row>
        <row r="279">
          <cell r="E279">
            <v>435513.3053627116</v>
          </cell>
        </row>
        <row r="281">
          <cell r="E281">
            <v>429766.19858818926</v>
          </cell>
        </row>
        <row r="282">
          <cell r="E282">
            <v>283886.00825733197</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4">
          <cell r="N34">
            <v>497103.75000000006</v>
          </cell>
          <cell r="O34">
            <v>140421.81</v>
          </cell>
          <cell r="Q34">
            <v>94696.44</v>
          </cell>
          <cell r="R34">
            <v>57604.700000000128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757440.14</v>
          </cell>
          <cell r="O34">
            <v>395010.39</v>
          </cell>
          <cell r="Q34">
            <v>630783.32000000007</v>
          </cell>
          <cell r="R34">
            <v>304040.26000000007</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84006.479999999981</v>
          </cell>
          <cell r="O34">
            <v>149086.94999999998</v>
          </cell>
          <cell r="Q34">
            <v>42011.200000000004</v>
          </cell>
          <cell r="R34">
            <v>-541.40999999992164</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-14365.739999999998</v>
          </cell>
          <cell r="O34">
            <v>14021.71</v>
          </cell>
          <cell r="Q34">
            <v>7838.9</v>
          </cell>
          <cell r="R34">
            <v>3841.969999999973</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92434.48000000001</v>
          </cell>
          <cell r="O34">
            <v>11400.85</v>
          </cell>
          <cell r="Q34">
            <v>7033.84</v>
          </cell>
          <cell r="R34">
            <v>3833.890000000004</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45668.249999999993</v>
          </cell>
          <cell r="O34">
            <v>445.03999999999996</v>
          </cell>
          <cell r="Q34">
            <v>1528.2600000000002</v>
          </cell>
          <cell r="R34">
            <v>1348.8500000000013</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Remaining ADM-Forecast"/>
      <sheetName val="Input"/>
      <sheetName val="Program Descriptions"/>
    </sheetNames>
    <sheetDataSet>
      <sheetData sheetId="0">
        <row r="34">
          <cell r="N34">
            <v>82804.01999999999</v>
          </cell>
          <cell r="O34">
            <v>35075.18</v>
          </cell>
          <cell r="Q34">
            <v>21524.059999999998</v>
          </cell>
          <cell r="R34">
            <v>11353.9</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E246-9D86-4653-B38B-6571C92E4A18}">
  <dimension ref="A1:F72"/>
  <sheetViews>
    <sheetView workbookViewId="0"/>
  </sheetViews>
  <sheetFormatPr defaultColWidth="8.7265625" defaultRowHeight="14.5" x14ac:dyDescent="0.35"/>
  <cols>
    <col min="1" max="1" width="17" style="3" bestFit="1" customWidth="1"/>
    <col min="2" max="2" width="62.26953125" style="264" customWidth="1"/>
    <col min="3" max="3" width="63.453125" style="264" customWidth="1"/>
    <col min="4" max="4" width="8.7265625" style="45"/>
    <col min="5" max="5" width="52.1796875" style="45" customWidth="1"/>
    <col min="6" max="16384" width="8.7265625" style="45"/>
  </cols>
  <sheetData>
    <row r="1" spans="1:6" x14ac:dyDescent="0.35">
      <c r="A1" s="3" t="str">
        <f>+'PTD Cycle 3'!A1</f>
        <v>Evergy Missouri West, Inc. - DSIM Rider Update Filed 06/02/2025</v>
      </c>
    </row>
    <row r="4" spans="1:6" s="3" customFormat="1" x14ac:dyDescent="0.35">
      <c r="A4" s="265" t="s">
        <v>169</v>
      </c>
      <c r="B4" s="266" t="s">
        <v>170</v>
      </c>
      <c r="C4" s="266" t="s">
        <v>171</v>
      </c>
    </row>
    <row r="5" spans="1:6" s="268" customFormat="1" ht="29" x14ac:dyDescent="0.35">
      <c r="A5" s="267" t="s">
        <v>172</v>
      </c>
      <c r="B5" s="523" t="s">
        <v>235</v>
      </c>
      <c r="C5" s="523" t="s">
        <v>173</v>
      </c>
    </row>
    <row r="6" spans="1:6" s="268" customFormat="1" ht="29" x14ac:dyDescent="0.35">
      <c r="A6" s="267" t="s">
        <v>174</v>
      </c>
      <c r="B6" s="523" t="s">
        <v>175</v>
      </c>
      <c r="C6" s="523" t="s">
        <v>176</v>
      </c>
    </row>
    <row r="7" spans="1:6" s="268" customFormat="1" ht="72.5" x14ac:dyDescent="0.35">
      <c r="A7" s="267" t="s">
        <v>221</v>
      </c>
      <c r="B7" s="523" t="s">
        <v>236</v>
      </c>
      <c r="C7" s="523" t="s">
        <v>222</v>
      </c>
    </row>
    <row r="8" spans="1:6" s="268" customFormat="1" ht="130.5" x14ac:dyDescent="0.35">
      <c r="A8" s="267" t="s">
        <v>177</v>
      </c>
      <c r="B8" s="523" t="s">
        <v>237</v>
      </c>
      <c r="C8" s="523" t="s">
        <v>178</v>
      </c>
    </row>
    <row r="9" spans="1:6" s="268" customFormat="1" ht="130.5" x14ac:dyDescent="0.35">
      <c r="A9" s="267" t="s">
        <v>215</v>
      </c>
      <c r="B9" s="523" t="s">
        <v>238</v>
      </c>
      <c r="C9" s="523" t="s">
        <v>178</v>
      </c>
    </row>
    <row r="10" spans="1:6" s="268" customFormat="1" ht="29" x14ac:dyDescent="0.35">
      <c r="A10" s="267" t="s">
        <v>179</v>
      </c>
      <c r="B10" s="523" t="s">
        <v>239</v>
      </c>
      <c r="C10" s="523" t="s">
        <v>295</v>
      </c>
    </row>
    <row r="11" spans="1:6" s="268" customFormat="1" ht="72.5" x14ac:dyDescent="0.35">
      <c r="A11" s="267" t="s">
        <v>223</v>
      </c>
      <c r="B11" s="523" t="s">
        <v>240</v>
      </c>
      <c r="C11" s="523" t="s">
        <v>241</v>
      </c>
    </row>
    <row r="12" spans="1:6" s="268" customFormat="1" ht="174" x14ac:dyDescent="0.35">
      <c r="A12" s="267" t="s">
        <v>180</v>
      </c>
      <c r="B12" s="523" t="s">
        <v>204</v>
      </c>
      <c r="C12" s="523" t="s">
        <v>243</v>
      </c>
    </row>
    <row r="13" spans="1:6" s="268" customFormat="1" ht="217.5" x14ac:dyDescent="0.35">
      <c r="A13" s="267" t="s">
        <v>181</v>
      </c>
      <c r="B13" s="523" t="s">
        <v>242</v>
      </c>
      <c r="C13" s="523" t="s">
        <v>296</v>
      </c>
      <c r="E13" s="498"/>
      <c r="F13" s="498"/>
    </row>
    <row r="14" spans="1:6" s="498" customFormat="1" ht="130.5" x14ac:dyDescent="0.35">
      <c r="A14" s="499" t="s">
        <v>253</v>
      </c>
      <c r="B14" s="523" t="s">
        <v>254</v>
      </c>
      <c r="C14" s="523" t="s">
        <v>255</v>
      </c>
    </row>
    <row r="15" spans="1:6" s="268" customFormat="1" ht="159.5" x14ac:dyDescent="0.35">
      <c r="A15" s="267" t="s">
        <v>182</v>
      </c>
      <c r="B15" s="523" t="s">
        <v>244</v>
      </c>
      <c r="C15" s="523" t="s">
        <v>183</v>
      </c>
    </row>
    <row r="16" spans="1:6" s="268" customFormat="1" ht="228" customHeight="1" x14ac:dyDescent="0.35">
      <c r="A16" s="267" t="s">
        <v>184</v>
      </c>
      <c r="B16" s="523" t="s">
        <v>245</v>
      </c>
      <c r="C16" s="523" t="s">
        <v>297</v>
      </c>
      <c r="D16" s="498"/>
    </row>
    <row r="17" spans="1:4" s="498" customFormat="1" ht="200.5" customHeight="1" x14ac:dyDescent="0.35">
      <c r="A17" s="499" t="s">
        <v>246</v>
      </c>
      <c r="B17" s="523" t="s">
        <v>247</v>
      </c>
      <c r="C17" s="523" t="s">
        <v>298</v>
      </c>
    </row>
    <row r="18" spans="1:4" s="268" customFormat="1" ht="87" x14ac:dyDescent="0.35">
      <c r="A18" s="267" t="s">
        <v>185</v>
      </c>
      <c r="B18" s="523" t="s">
        <v>248</v>
      </c>
      <c r="C18" s="523" t="s">
        <v>186</v>
      </c>
    </row>
    <row r="19" spans="1:4" s="268" customFormat="1" ht="87" x14ac:dyDescent="0.35">
      <c r="A19" s="267" t="s">
        <v>187</v>
      </c>
      <c r="B19" s="523" t="s">
        <v>249</v>
      </c>
      <c r="C19" s="523" t="s">
        <v>188</v>
      </c>
      <c r="D19" s="498"/>
    </row>
    <row r="20" spans="1:4" s="268" customFormat="1" ht="29" x14ac:dyDescent="0.35">
      <c r="A20" s="267" t="s">
        <v>189</v>
      </c>
      <c r="B20" s="523" t="s">
        <v>250</v>
      </c>
      <c r="C20" s="523" t="s">
        <v>251</v>
      </c>
    </row>
    <row r="21" spans="1:4" s="268" customFormat="1" ht="72.5" x14ac:dyDescent="0.35">
      <c r="A21" s="267" t="s">
        <v>191</v>
      </c>
      <c r="B21" s="523" t="s">
        <v>252</v>
      </c>
      <c r="C21" s="523" t="s">
        <v>190</v>
      </c>
      <c r="D21" s="498"/>
    </row>
    <row r="22" spans="1:4" s="268" customFormat="1" x14ac:dyDescent="0.35">
      <c r="A22" s="269"/>
      <c r="B22" s="270"/>
      <c r="C22" s="270"/>
    </row>
    <row r="23" spans="1:4" s="268" customFormat="1" x14ac:dyDescent="0.35">
      <c r="A23" s="269"/>
      <c r="B23" s="270"/>
      <c r="C23" s="270"/>
    </row>
    <row r="24" spans="1:4" s="268" customFormat="1" x14ac:dyDescent="0.35">
      <c r="A24" s="269"/>
      <c r="B24" s="270"/>
      <c r="C24" s="270"/>
    </row>
    <row r="25" spans="1:4" s="268" customFormat="1" x14ac:dyDescent="0.35">
      <c r="A25" s="269"/>
      <c r="B25" s="270"/>
      <c r="C25" s="270"/>
    </row>
    <row r="26" spans="1:4" s="268" customFormat="1" x14ac:dyDescent="0.35">
      <c r="A26" s="269"/>
      <c r="B26" s="270"/>
      <c r="C26" s="270"/>
    </row>
    <row r="27" spans="1:4" s="268" customFormat="1" x14ac:dyDescent="0.35">
      <c r="A27" s="269"/>
      <c r="B27" s="270"/>
      <c r="C27" s="270"/>
    </row>
    <row r="28" spans="1:4" s="268" customFormat="1" x14ac:dyDescent="0.35">
      <c r="A28" s="269"/>
      <c r="B28" s="270"/>
      <c r="C28" s="270"/>
    </row>
    <row r="29" spans="1:4" s="268" customFormat="1" x14ac:dyDescent="0.35">
      <c r="A29" s="269"/>
      <c r="B29" s="270"/>
      <c r="C29" s="270"/>
    </row>
    <row r="30" spans="1:4" s="268" customFormat="1" x14ac:dyDescent="0.35">
      <c r="A30" s="269"/>
      <c r="B30" s="270"/>
      <c r="C30" s="270"/>
    </row>
    <row r="31" spans="1:4" s="268" customFormat="1" x14ac:dyDescent="0.35">
      <c r="A31" s="269"/>
      <c r="B31" s="270"/>
      <c r="C31" s="270"/>
    </row>
    <row r="32" spans="1:4" s="268" customFormat="1" x14ac:dyDescent="0.35">
      <c r="A32" s="269"/>
      <c r="B32" s="270"/>
      <c r="C32" s="270"/>
    </row>
    <row r="33" spans="1:3" s="268" customFormat="1" x14ac:dyDescent="0.35">
      <c r="A33" s="269"/>
      <c r="B33" s="270"/>
      <c r="C33" s="270"/>
    </row>
    <row r="34" spans="1:3" s="268" customFormat="1" x14ac:dyDescent="0.35">
      <c r="A34" s="269"/>
      <c r="B34" s="270"/>
      <c r="C34" s="270"/>
    </row>
    <row r="35" spans="1:3" s="268" customFormat="1" x14ac:dyDescent="0.35">
      <c r="A35" s="269"/>
      <c r="B35" s="270"/>
      <c r="C35" s="270"/>
    </row>
    <row r="36" spans="1:3" s="268" customFormat="1" x14ac:dyDescent="0.35">
      <c r="A36" s="269"/>
      <c r="B36" s="270"/>
      <c r="C36" s="270"/>
    </row>
    <row r="37" spans="1:3" s="268" customFormat="1" x14ac:dyDescent="0.35">
      <c r="A37" s="269"/>
      <c r="B37" s="270"/>
      <c r="C37" s="270"/>
    </row>
    <row r="38" spans="1:3" s="268" customFormat="1" x14ac:dyDescent="0.35">
      <c r="A38" s="269"/>
      <c r="B38" s="270"/>
      <c r="C38" s="270"/>
    </row>
    <row r="39" spans="1:3" s="268" customFormat="1" x14ac:dyDescent="0.35">
      <c r="A39" s="269"/>
      <c r="B39" s="270"/>
      <c r="C39" s="270"/>
    </row>
    <row r="40" spans="1:3" s="268" customFormat="1" x14ac:dyDescent="0.35">
      <c r="A40" s="269"/>
      <c r="B40" s="270"/>
      <c r="C40" s="270"/>
    </row>
    <row r="41" spans="1:3" s="268" customFormat="1" x14ac:dyDescent="0.35">
      <c r="A41" s="269"/>
      <c r="B41" s="270"/>
      <c r="C41" s="270"/>
    </row>
    <row r="42" spans="1:3" s="268" customFormat="1" x14ac:dyDescent="0.35">
      <c r="A42" s="269"/>
      <c r="B42" s="270"/>
      <c r="C42" s="270"/>
    </row>
    <row r="43" spans="1:3" s="268" customFormat="1" x14ac:dyDescent="0.35">
      <c r="A43" s="269"/>
      <c r="B43" s="270"/>
      <c r="C43" s="270"/>
    </row>
    <row r="44" spans="1:3" s="268" customFormat="1" x14ac:dyDescent="0.35">
      <c r="A44" s="269"/>
      <c r="B44" s="270"/>
      <c r="C44" s="270"/>
    </row>
    <row r="45" spans="1:3" s="268" customFormat="1" x14ac:dyDescent="0.35">
      <c r="A45" s="269"/>
      <c r="B45" s="270"/>
      <c r="C45" s="270"/>
    </row>
    <row r="46" spans="1:3" s="268" customFormat="1" x14ac:dyDescent="0.35">
      <c r="A46" s="269"/>
      <c r="B46" s="270"/>
      <c r="C46" s="270"/>
    </row>
    <row r="47" spans="1:3" s="268" customFormat="1" x14ac:dyDescent="0.35">
      <c r="A47" s="269"/>
      <c r="B47" s="270"/>
      <c r="C47" s="270"/>
    </row>
    <row r="48" spans="1:3" s="268" customFormat="1" x14ac:dyDescent="0.35">
      <c r="A48" s="269"/>
      <c r="B48" s="270"/>
      <c r="C48" s="270"/>
    </row>
    <row r="49" spans="1:3" s="268" customFormat="1" x14ac:dyDescent="0.35">
      <c r="A49" s="269"/>
      <c r="B49" s="270"/>
      <c r="C49" s="270"/>
    </row>
    <row r="50" spans="1:3" s="268" customFormat="1" x14ac:dyDescent="0.35">
      <c r="A50" s="269"/>
      <c r="B50" s="270"/>
      <c r="C50" s="270"/>
    </row>
    <row r="51" spans="1:3" s="268" customFormat="1" x14ac:dyDescent="0.35">
      <c r="A51" s="269"/>
      <c r="B51" s="270"/>
      <c r="C51" s="270"/>
    </row>
    <row r="52" spans="1:3" s="268" customFormat="1" x14ac:dyDescent="0.35">
      <c r="A52" s="269"/>
      <c r="B52" s="270"/>
      <c r="C52" s="270"/>
    </row>
    <row r="53" spans="1:3" s="268" customFormat="1" x14ac:dyDescent="0.35">
      <c r="A53" s="269"/>
      <c r="B53" s="270"/>
      <c r="C53" s="270"/>
    </row>
    <row r="54" spans="1:3" s="268" customFormat="1" x14ac:dyDescent="0.35">
      <c r="A54" s="269"/>
      <c r="B54" s="270"/>
      <c r="C54" s="270"/>
    </row>
    <row r="55" spans="1:3" s="268" customFormat="1" x14ac:dyDescent="0.35">
      <c r="A55" s="269"/>
      <c r="B55" s="270"/>
      <c r="C55" s="270"/>
    </row>
    <row r="56" spans="1:3" s="268" customFormat="1" x14ac:dyDescent="0.35">
      <c r="A56" s="269"/>
      <c r="B56" s="270"/>
      <c r="C56" s="270"/>
    </row>
    <row r="57" spans="1:3" s="268" customFormat="1" x14ac:dyDescent="0.35">
      <c r="A57" s="269"/>
      <c r="B57" s="270"/>
      <c r="C57" s="270"/>
    </row>
    <row r="58" spans="1:3" s="268" customFormat="1" x14ac:dyDescent="0.35">
      <c r="A58" s="269"/>
      <c r="B58" s="270"/>
      <c r="C58" s="270"/>
    </row>
    <row r="59" spans="1:3" s="268" customFormat="1" x14ac:dyDescent="0.35">
      <c r="A59" s="269"/>
      <c r="B59" s="270"/>
      <c r="C59" s="270"/>
    </row>
    <row r="60" spans="1:3" s="268" customFormat="1" x14ac:dyDescent="0.35">
      <c r="A60" s="269"/>
      <c r="B60" s="270"/>
      <c r="C60" s="270"/>
    </row>
    <row r="61" spans="1:3" s="268" customFormat="1" x14ac:dyDescent="0.35">
      <c r="A61" s="269"/>
      <c r="B61" s="270"/>
      <c r="C61" s="270"/>
    </row>
    <row r="62" spans="1:3" s="268" customFormat="1" x14ac:dyDescent="0.35">
      <c r="A62" s="269"/>
      <c r="B62" s="270"/>
      <c r="C62" s="270"/>
    </row>
    <row r="63" spans="1:3" s="268" customFormat="1" x14ac:dyDescent="0.35">
      <c r="A63" s="269"/>
      <c r="B63" s="270"/>
      <c r="C63" s="270"/>
    </row>
    <row r="64" spans="1:3" s="268" customFormat="1" x14ac:dyDescent="0.35">
      <c r="A64" s="269"/>
      <c r="B64" s="270"/>
      <c r="C64" s="270"/>
    </row>
    <row r="65" spans="1:3" s="268" customFormat="1" x14ac:dyDescent="0.35">
      <c r="A65" s="269"/>
      <c r="B65" s="270"/>
      <c r="C65" s="270"/>
    </row>
    <row r="66" spans="1:3" s="268" customFormat="1" x14ac:dyDescent="0.35">
      <c r="A66" s="269"/>
      <c r="B66" s="270"/>
      <c r="C66" s="270"/>
    </row>
    <row r="67" spans="1:3" s="268" customFormat="1" x14ac:dyDescent="0.35">
      <c r="A67" s="269"/>
      <c r="B67" s="270"/>
      <c r="C67" s="270"/>
    </row>
    <row r="68" spans="1:3" s="268" customFormat="1" x14ac:dyDescent="0.35">
      <c r="A68" s="269"/>
      <c r="B68" s="270"/>
      <c r="C68" s="270"/>
    </row>
    <row r="69" spans="1:3" s="268" customFormat="1" x14ac:dyDescent="0.35">
      <c r="A69" s="269"/>
      <c r="B69" s="270"/>
      <c r="C69" s="270"/>
    </row>
    <row r="70" spans="1:3" s="268" customFormat="1" x14ac:dyDescent="0.35">
      <c r="A70" s="269"/>
      <c r="B70" s="270"/>
      <c r="C70" s="270"/>
    </row>
    <row r="71" spans="1:3" s="268" customFormat="1" x14ac:dyDescent="0.35">
      <c r="A71" s="269"/>
      <c r="B71" s="270"/>
      <c r="C71" s="270"/>
    </row>
    <row r="72" spans="1:3" s="268" customFormat="1" x14ac:dyDescent="0.35">
      <c r="A72" s="269"/>
      <c r="B72" s="270"/>
      <c r="C72" s="270"/>
    </row>
  </sheetData>
  <autoFilter ref="A4:F72" xr:uid="{4D32E246-9D86-4653-B38B-6571C92E4A18}"/>
  <pageMargins left="0.7" right="0.7" top="0.75" bottom="0.75" header="0.3" footer="0.3"/>
  <pageSetup orientation="portrait" r:id="rId1"/>
  <headerFooter>
    <oddFooter xml:space="preserve">&amp;R_x000D_&amp;1#&amp;"Calibri"&amp;10&amp;KA80000 Restricted – Sensitive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J67"/>
  <sheetViews>
    <sheetView zoomScale="85" zoomScaleNormal="85" workbookViewId="0">
      <pane xSplit="2" ySplit="11" topLeftCell="C12" activePane="bottomRight" state="frozen"/>
      <selection activeCell="E77" sqref="E77"/>
      <selection pane="topRight" activeCell="E77" sqref="E77"/>
      <selection pane="bottomLeft" activeCell="E77" sqref="E77"/>
      <selection pane="bottomRight" activeCell="C12" sqref="C12"/>
    </sheetView>
  </sheetViews>
  <sheetFormatPr defaultColWidth="9.1796875" defaultRowHeight="14.5" outlineLevelCol="1" x14ac:dyDescent="0.35"/>
  <cols>
    <col min="1" max="1" width="61.7265625" style="45" customWidth="1"/>
    <col min="2" max="2" width="12.1796875" style="45" customWidth="1"/>
    <col min="3" max="3" width="12.453125" style="45" customWidth="1"/>
    <col min="4" max="4" width="12.453125" style="45" customWidth="1" outlineLevel="1"/>
    <col min="5" max="5" width="15.453125" style="45" customWidth="1"/>
    <col min="6" max="6" width="15.81640625" style="45" customWidth="1"/>
    <col min="7" max="7" width="12.26953125" style="45" customWidth="1"/>
    <col min="8" max="9" width="13.26953125" style="45" customWidth="1"/>
    <col min="10" max="10" width="12.26953125" style="45" bestFit="1" customWidth="1"/>
    <col min="11" max="11" width="11.54296875" style="45" bestFit="1" customWidth="1"/>
    <col min="12" max="12" width="12.81640625" style="45" customWidth="1"/>
    <col min="13" max="13" width="12.26953125" style="45" bestFit="1" customWidth="1"/>
    <col min="14" max="14" width="15" style="45" bestFit="1" customWidth="1"/>
    <col min="15" max="15" width="16" style="45" bestFit="1" customWidth="1"/>
    <col min="16" max="16" width="17.81640625" style="167" hidden="1" customWidth="1" outlineLevel="1"/>
    <col min="17" max="17" width="15.26953125" style="45" bestFit="1" customWidth="1" collapsed="1"/>
    <col min="18" max="18" width="17.453125" style="45" bestFit="1" customWidth="1"/>
    <col min="19" max="19" width="16.26953125" style="45" bestFit="1" customWidth="1"/>
    <col min="20" max="20" width="15.26953125" style="45" bestFit="1" customWidth="1"/>
    <col min="21" max="21" width="12.453125" style="45" customWidth="1"/>
    <col min="22" max="23" width="14.26953125" style="45" bestFit="1" customWidth="1"/>
    <col min="24" max="16384" width="9.1796875" style="45"/>
  </cols>
  <sheetData>
    <row r="1" spans="1:36" x14ac:dyDescent="0.35">
      <c r="A1" s="3" t="str">
        <f>+'PTD Cycle 3'!A1</f>
        <v>Evergy Missouri West, Inc. - DSIM Rider Update Filed 06/02/2025</v>
      </c>
      <c r="B1" s="3"/>
      <c r="C1" s="3"/>
      <c r="D1" s="3"/>
    </row>
    <row r="2" spans="1:36" x14ac:dyDescent="0.35">
      <c r="E2" s="3" t="s">
        <v>124</v>
      </c>
    </row>
    <row r="3" spans="1:36" ht="29" x14ac:dyDescent="0.35">
      <c r="E3" s="47" t="s">
        <v>40</v>
      </c>
      <c r="F3" s="69" t="s">
        <v>62</v>
      </c>
      <c r="G3" s="69" t="s">
        <v>48</v>
      </c>
      <c r="H3" s="47" t="s">
        <v>1</v>
      </c>
      <c r="I3" s="69" t="s">
        <v>49</v>
      </c>
      <c r="J3" s="47" t="s">
        <v>8</v>
      </c>
      <c r="K3" s="47" t="s">
        <v>7</v>
      </c>
      <c r="T3" s="47"/>
    </row>
    <row r="4" spans="1:36" x14ac:dyDescent="0.35">
      <c r="A4" s="19" t="s">
        <v>22</v>
      </c>
      <c r="B4" s="19"/>
      <c r="C4" s="19"/>
      <c r="D4" s="19"/>
      <c r="E4" s="21">
        <f>SUM(C15:M15)</f>
        <v>70159.609999999986</v>
      </c>
      <c r="F4" s="126">
        <f>N21</f>
        <v>3474830.68</v>
      </c>
      <c r="G4" s="21">
        <f>SUM(C27:L27)</f>
        <v>102055.06</v>
      </c>
      <c r="H4" s="21">
        <f>G4-E4</f>
        <v>31895.450000000012</v>
      </c>
      <c r="I4" s="21">
        <f>+B41</f>
        <v>3019.8300000003437</v>
      </c>
      <c r="J4" s="21">
        <f>SUM(C48:L48)</f>
        <v>1809.05</v>
      </c>
      <c r="K4" s="24">
        <f>SUM(H4:J4)</f>
        <v>36724.330000000358</v>
      </c>
      <c r="L4" s="46">
        <f>+K4-M41</f>
        <v>0</v>
      </c>
    </row>
    <row r="5" spans="1:36" x14ac:dyDescent="0.35">
      <c r="A5" s="19" t="s">
        <v>94</v>
      </c>
      <c r="B5" s="19"/>
      <c r="C5" s="19"/>
      <c r="D5" s="19"/>
      <c r="E5" s="21">
        <f>SUM(C16:M16)</f>
        <v>168663.41999999998</v>
      </c>
      <c r="F5" s="126">
        <f>N22</f>
        <v>4810878.1400000006</v>
      </c>
      <c r="G5" s="21">
        <f>SUM(C28:L28)</f>
        <v>189313.47000000003</v>
      </c>
      <c r="H5" s="21">
        <f t="shared" ref="H5:H6" si="0">G5-E5</f>
        <v>20650.050000000047</v>
      </c>
      <c r="I5" s="21">
        <f>+B42</f>
        <v>-28107.850000000042</v>
      </c>
      <c r="J5" s="21">
        <f>SUM(C49:L49)</f>
        <v>-103.26999999999995</v>
      </c>
      <c r="K5" s="24">
        <f t="shared" ref="K5:K6" si="1">SUM(H5:J5)</f>
        <v>-7561.0699999999952</v>
      </c>
      <c r="L5" s="46">
        <f t="shared" ref="L5:L6" si="2">+K5-M42</f>
        <v>5.184119800105691E-11</v>
      </c>
    </row>
    <row r="6" spans="1:36" x14ac:dyDescent="0.35">
      <c r="A6" s="19" t="s">
        <v>95</v>
      </c>
      <c r="B6" s="19"/>
      <c r="C6" s="19"/>
      <c r="D6" s="19"/>
      <c r="E6" s="21">
        <f>SUM(C17:M17)</f>
        <v>121802.25</v>
      </c>
      <c r="F6" s="126">
        <f>N23</f>
        <v>3960135.9699999993</v>
      </c>
      <c r="G6" s="21">
        <f>SUM(C29:L29)</f>
        <v>116188.22000000002</v>
      </c>
      <c r="H6" s="21">
        <f t="shared" si="0"/>
        <v>-5614.0299999999843</v>
      </c>
      <c r="I6" s="21">
        <f>+B43</f>
        <v>49303.450000000041</v>
      </c>
      <c r="J6" s="21">
        <f>SUM(C50:L50)</f>
        <v>1931.29</v>
      </c>
      <c r="K6" s="24">
        <f t="shared" si="1"/>
        <v>45620.710000000057</v>
      </c>
      <c r="L6" s="46">
        <f t="shared" si="2"/>
        <v>0</v>
      </c>
    </row>
    <row r="7" spans="1:36" ht="15" thickBot="1" x14ac:dyDescent="0.4">
      <c r="A7" s="19" t="s">
        <v>96</v>
      </c>
      <c r="B7" s="19"/>
      <c r="C7" s="19"/>
      <c r="D7" s="19"/>
      <c r="E7" s="21">
        <f>SUM(C18:M18)</f>
        <v>31890.679999999997</v>
      </c>
      <c r="F7" s="126">
        <f>N24</f>
        <v>2452371.7400000002</v>
      </c>
      <c r="G7" s="21">
        <f>SUM(C30:L30)</f>
        <v>27235.71</v>
      </c>
      <c r="H7" s="21">
        <f>G7-E7</f>
        <v>-4654.9699999999975</v>
      </c>
      <c r="I7" s="21">
        <f>+B44</f>
        <v>14499.040000000037</v>
      </c>
      <c r="J7" s="21">
        <f>SUM(C51:L51)</f>
        <v>406.65999999999997</v>
      </c>
      <c r="K7" s="24">
        <f>SUM(H7:J7)</f>
        <v>10250.73000000004</v>
      </c>
      <c r="L7" s="46">
        <f>+K7-M44</f>
        <v>0</v>
      </c>
    </row>
    <row r="8" spans="1:36" ht="15.5" thickTop="1" thickBot="1" x14ac:dyDescent="0.4">
      <c r="E8" s="26">
        <f t="shared" ref="E8:K8" si="3">SUM(E4:E7)</f>
        <v>392515.95999999996</v>
      </c>
      <c r="F8" s="127">
        <f t="shared" si="3"/>
        <v>14698216.529999999</v>
      </c>
      <c r="G8" s="26">
        <f t="shared" si="3"/>
        <v>434792.46000000008</v>
      </c>
      <c r="H8" s="26">
        <f t="shared" si="3"/>
        <v>42276.500000000073</v>
      </c>
      <c r="I8" s="26">
        <f t="shared" si="3"/>
        <v>38714.47000000038</v>
      </c>
      <c r="J8" s="26">
        <f t="shared" si="3"/>
        <v>4043.7299999999996</v>
      </c>
      <c r="K8" s="26">
        <f t="shared" si="3"/>
        <v>85034.700000000463</v>
      </c>
      <c r="U8" s="5"/>
    </row>
    <row r="9" spans="1:36" ht="15.5" thickTop="1" thickBot="1" x14ac:dyDescent="0.4">
      <c r="W9" s="4"/>
      <c r="X9" s="5"/>
    </row>
    <row r="10" spans="1:36" ht="116.5" thickBot="1" x14ac:dyDescent="0.4">
      <c r="B10" s="110" t="str">
        <f>+'PCR Cycle 4'!B10</f>
        <v>Cumulative Over/Under Carryover From 12/01/2024 Filing</v>
      </c>
      <c r="C10" s="140" t="str">
        <f>+'PCR Cycle 4'!C10</f>
        <v>Reverse November 2024 - January 2025 Forecast From 12/01/2024 Filing</v>
      </c>
      <c r="D10" s="343"/>
      <c r="E10" s="547" t="s">
        <v>28</v>
      </c>
      <c r="F10" s="530"/>
      <c r="G10" s="531"/>
      <c r="H10" s="541" t="s">
        <v>28</v>
      </c>
      <c r="I10" s="542"/>
      <c r="J10" s="543"/>
      <c r="K10" s="535" t="s">
        <v>6</v>
      </c>
      <c r="L10" s="536"/>
      <c r="M10" s="537"/>
      <c r="P10" s="264" t="s">
        <v>196</v>
      </c>
    </row>
    <row r="11" spans="1:36" x14ac:dyDescent="0.35">
      <c r="A11" s="45" t="s">
        <v>56</v>
      </c>
      <c r="C11" s="100"/>
      <c r="D11" s="186"/>
      <c r="E11" s="377">
        <f>+'PCR Cycle 4'!E$11</f>
        <v>45626</v>
      </c>
      <c r="F11" s="377">
        <f>+'PCR Cycle 4'!F$11</f>
        <v>45657</v>
      </c>
      <c r="G11" s="377">
        <f>+'PCR Cycle 4'!G$11</f>
        <v>45688</v>
      </c>
      <c r="H11" s="372">
        <f>+'PCR Cycle 4'!H$11</f>
        <v>45716</v>
      </c>
      <c r="I11" s="377">
        <f>+'PCR Cycle 4'!I$11</f>
        <v>45747</v>
      </c>
      <c r="J11" s="373">
        <f>+'PCR Cycle 4'!J$11</f>
        <v>45777</v>
      </c>
      <c r="K11" s="377">
        <f>+'PCR Cycle 4'!K$11</f>
        <v>45808</v>
      </c>
      <c r="L11" s="377">
        <f>+'PCR Cycle 4'!L$11</f>
        <v>45838</v>
      </c>
      <c r="M11" s="431">
        <f>+'PCR Cycle 4'!M$11</f>
        <v>45869</v>
      </c>
      <c r="AA11" s="1"/>
      <c r="AB11" s="1"/>
      <c r="AC11" s="1"/>
      <c r="AD11" s="1"/>
      <c r="AE11" s="1"/>
      <c r="AF11" s="1"/>
      <c r="AG11" s="1"/>
      <c r="AH11" s="1"/>
      <c r="AI11" s="1"/>
      <c r="AJ11" s="1"/>
    </row>
    <row r="12" spans="1:36" x14ac:dyDescent="0.35">
      <c r="A12" s="45" t="s">
        <v>3</v>
      </c>
      <c r="C12" s="344">
        <v>-481931.04</v>
      </c>
      <c r="D12" s="169"/>
      <c r="E12" s="104">
        <f>SUM(E27:E30)</f>
        <v>234703.47</v>
      </c>
      <c r="F12" s="104">
        <f t="shared" ref="F12:L12" si="4">SUM(F27:F30)</f>
        <v>244860.96000000002</v>
      </c>
      <c r="G12" s="105">
        <f t="shared" si="4"/>
        <v>65451.76999999999</v>
      </c>
      <c r="H12" s="15">
        <f t="shared" si="4"/>
        <v>59246.3</v>
      </c>
      <c r="I12" s="54">
        <f t="shared" si="4"/>
        <v>66915.100000000006</v>
      </c>
      <c r="J12" s="151">
        <f t="shared" si="4"/>
        <v>65328.66</v>
      </c>
      <c r="K12" s="144">
        <f t="shared" si="4"/>
        <v>69612.38</v>
      </c>
      <c r="L12" s="75">
        <f t="shared" si="4"/>
        <v>110604.86</v>
      </c>
      <c r="M12" s="76"/>
      <c r="P12" s="167">
        <f>-SUM(K12:M12)</f>
        <v>-180217.24</v>
      </c>
    </row>
    <row r="13" spans="1:36" x14ac:dyDescent="0.35">
      <c r="C13" s="96"/>
      <c r="D13" s="170"/>
      <c r="E13" s="16"/>
      <c r="F13" s="16"/>
      <c r="G13" s="16"/>
      <c r="H13" s="9"/>
      <c r="I13" s="16"/>
      <c r="J13" s="10"/>
      <c r="K13" s="30"/>
      <c r="L13" s="30"/>
      <c r="M13" s="28"/>
    </row>
    <row r="14" spans="1:36" x14ac:dyDescent="0.35">
      <c r="A14" s="45" t="s">
        <v>55</v>
      </c>
      <c r="C14" s="96"/>
      <c r="D14" s="170"/>
      <c r="E14" s="17"/>
      <c r="F14" s="17"/>
      <c r="G14" s="17"/>
      <c r="H14" s="88"/>
      <c r="I14" s="17"/>
      <c r="J14" s="152"/>
      <c r="K14" s="30"/>
      <c r="L14" s="30"/>
      <c r="M14" s="28"/>
      <c r="N14" s="412" t="s">
        <v>59</v>
      </c>
      <c r="O14" s="38"/>
    </row>
    <row r="15" spans="1:36" x14ac:dyDescent="0.35">
      <c r="A15" s="45" t="s">
        <v>22</v>
      </c>
      <c r="C15" s="344">
        <v>-473865.17</v>
      </c>
      <c r="D15" s="169"/>
      <c r="E15" s="124">
        <f>ROUND('[10]November 2024'!$G90+'[10]November 2024'!$G97,2)</f>
        <v>100459.67</v>
      </c>
      <c r="F15" s="124">
        <f>ROUND('[10]December 2024'!$G90+'[10]December 2024'!$G97,2)</f>
        <v>146901.54999999999</v>
      </c>
      <c r="G15" s="124">
        <f>ROUND('[10]January 2025'!$G90+'[10]January 2025'!$G97,2)</f>
        <v>186673.38</v>
      </c>
      <c r="H15" s="15">
        <f>ROUND('[10]February 2025'!$G90+'[10]February 2025'!$G97,2)</f>
        <v>24569.09</v>
      </c>
      <c r="I15" s="54">
        <f>ROUND('[10]March 2025'!$G90+'[10]March 2025'!$G97,2)</f>
        <v>19289.72</v>
      </c>
      <c r="J15" s="219">
        <f>ROUND('[10]April 2025'!$G90+'[10]April 2025'!$G97,2)</f>
        <v>12659.2</v>
      </c>
      <c r="K15" s="114">
        <f>ROUND('PCR Cycle 4'!K20*'TDR Cycle 3'!$N15,2)</f>
        <v>13316.43</v>
      </c>
      <c r="L15" s="40">
        <f>ROUND('PCR Cycle 4'!L20*'TDR Cycle 3'!$N15,2)</f>
        <v>16817.59</v>
      </c>
      <c r="M15" s="60">
        <f>ROUND('PCR Cycle 4'!M20*'TDR Cycle 3'!$N15,2)</f>
        <v>23338.15</v>
      </c>
      <c r="N15" s="71">
        <v>6.0000000000000002E-5</v>
      </c>
      <c r="O15" s="4"/>
      <c r="P15" s="167">
        <f t="shared" ref="P15:P18" si="5">-SUM(K15:M15)</f>
        <v>-53472.17</v>
      </c>
    </row>
    <row r="16" spans="1:36" x14ac:dyDescent="0.35">
      <c r="A16" s="45" t="s">
        <v>94</v>
      </c>
      <c r="C16" s="344">
        <v>-182123.76</v>
      </c>
      <c r="D16" s="169"/>
      <c r="E16" s="445">
        <f>ROUND('[10]November 2024'!$G91+'[10]November 2024'!$G98,2)</f>
        <v>55697.99</v>
      </c>
      <c r="F16" s="124">
        <f>ROUND('[10]December 2024'!$G91+'[10]December 2024'!$G98,2)</f>
        <v>65559.990000000005</v>
      </c>
      <c r="G16" s="124">
        <f>ROUND('[10]January 2025'!$G91+'[10]January 2025'!$G98,2)</f>
        <v>72278.710000000006</v>
      </c>
      <c r="H16" s="15">
        <f>ROUND('[10]February 2025'!$G91+'[10]February 2025'!$G98,2)</f>
        <v>33548.370000000003</v>
      </c>
      <c r="I16" s="54">
        <f>ROUND('[10]March 2025'!$G91+'[10]March 2025'!$G98,2)</f>
        <v>23317.71</v>
      </c>
      <c r="J16" s="219">
        <f>ROUND('[10]April 2025'!$G91+'[10]April 2025'!$G98,2)</f>
        <v>23426.84</v>
      </c>
      <c r="K16" s="114">
        <f>ROUND('PCR Cycle 4'!K21*'TDR Cycle 3'!$N16,2)</f>
        <v>22875.5</v>
      </c>
      <c r="L16" s="40">
        <f>ROUND('PCR Cycle 4'!L21*'TDR Cycle 3'!$N16,2)</f>
        <v>25532.880000000001</v>
      </c>
      <c r="M16" s="60">
        <f>ROUND('PCR Cycle 4'!M21*'TDR Cycle 3'!$N16,2)</f>
        <v>28549.19</v>
      </c>
      <c r="N16" s="71">
        <v>2.4000000000000001E-4</v>
      </c>
      <c r="O16" s="4"/>
      <c r="P16" s="167">
        <f t="shared" si="5"/>
        <v>-76957.570000000007</v>
      </c>
    </row>
    <row r="17" spans="1:16" x14ac:dyDescent="0.35">
      <c r="A17" s="45" t="s">
        <v>95</v>
      </c>
      <c r="C17" s="344">
        <v>-171042.63999999998</v>
      </c>
      <c r="D17" s="169"/>
      <c r="E17" s="445">
        <f>ROUND('[10]November 2024'!$G92+'[10]November 2024'!$G99,2)</f>
        <v>52489.77</v>
      </c>
      <c r="F17" s="124">
        <f>ROUND('[10]December 2024'!$G92+'[10]December 2024'!$G99,2)</f>
        <v>55595.199999999997</v>
      </c>
      <c r="G17" s="124">
        <f>ROUND('[10]January 2025'!$G92+'[10]January 2025'!$G99,2)</f>
        <v>55251.360000000001</v>
      </c>
      <c r="H17" s="15">
        <f>ROUND('[10]February 2025'!$G92+'[10]February 2025'!$G99,2)</f>
        <v>23877.77</v>
      </c>
      <c r="I17" s="54">
        <f>ROUND('[10]March 2025'!$G92+'[10]March 2025'!$G99,2)</f>
        <v>20627.330000000002</v>
      </c>
      <c r="J17" s="219">
        <f>ROUND('[10]April 2025'!$G92+'[10]April 2025'!$G99,2)</f>
        <v>19479.259999999998</v>
      </c>
      <c r="K17" s="114">
        <f>ROUND('PCR Cycle 4'!K22*'TDR Cycle 3'!$N17,2)</f>
        <v>19476.95</v>
      </c>
      <c r="L17" s="40">
        <f>ROUND('PCR Cycle 4'!L22*'TDR Cycle 3'!$N17,2)</f>
        <v>21739.53</v>
      </c>
      <c r="M17" s="60">
        <f>ROUND('PCR Cycle 4'!M22*'TDR Cycle 3'!$N17,2)</f>
        <v>24307.72</v>
      </c>
      <c r="N17" s="71">
        <v>2.5000000000000001E-4</v>
      </c>
      <c r="O17" s="4"/>
      <c r="P17" s="167">
        <f t="shared" si="5"/>
        <v>-65524.2</v>
      </c>
    </row>
    <row r="18" spans="1:16" x14ac:dyDescent="0.35">
      <c r="A18" s="45" t="s">
        <v>96</v>
      </c>
      <c r="C18" s="344">
        <v>-30987.83</v>
      </c>
      <c r="D18" s="169"/>
      <c r="E18" s="445">
        <f>ROUND('[10]November 2024'!$G93+'[10]November 2024'!$G100,2)</f>
        <v>10890.89</v>
      </c>
      <c r="F18" s="124">
        <f>ROUND('[10]December 2024'!$G93+'[10]December 2024'!$G100,2)</f>
        <v>11042.54</v>
      </c>
      <c r="G18" s="124">
        <f>ROUND('[10]January 2025'!$G93+'[10]January 2025'!$G100,2)</f>
        <v>10489.7</v>
      </c>
      <c r="H18" s="15">
        <f>ROUND('[10]February 2025'!$G93+'[10]February 2025'!$G100,2)</f>
        <v>5647.51</v>
      </c>
      <c r="I18" s="54">
        <f>ROUND('[10]March 2025'!$G93+'[10]March 2025'!$G100,2)</f>
        <v>5099.8100000000004</v>
      </c>
      <c r="J18" s="219">
        <f>ROUND('[10]April 2025'!$G93+'[10]April 2025'!$G100,2)</f>
        <v>5141.79</v>
      </c>
      <c r="K18" s="114">
        <f>ROUND('PCR Cycle 4'!K23*'TDR Cycle 3'!$N18,2)</f>
        <v>4329.8</v>
      </c>
      <c r="L18" s="40">
        <f>ROUND('PCR Cycle 4'!L23*'TDR Cycle 3'!$N18,2)</f>
        <v>4832.78</v>
      </c>
      <c r="M18" s="60">
        <f>ROUND('PCR Cycle 4'!M23*'TDR Cycle 3'!$N18,2)</f>
        <v>5403.69</v>
      </c>
      <c r="N18" s="71">
        <v>8.0000000000000007E-5</v>
      </c>
      <c r="O18" s="4"/>
      <c r="P18" s="167">
        <f t="shared" si="5"/>
        <v>-14566.27</v>
      </c>
    </row>
    <row r="19" spans="1:16" x14ac:dyDescent="0.35">
      <c r="C19" s="66"/>
      <c r="D19" s="171"/>
      <c r="E19" s="67"/>
      <c r="F19" s="67"/>
      <c r="G19" s="67"/>
      <c r="H19" s="66"/>
      <c r="I19" s="67"/>
      <c r="J19" s="153"/>
      <c r="K19" s="55"/>
      <c r="L19" s="55"/>
      <c r="M19" s="12"/>
      <c r="O19" s="4"/>
    </row>
    <row r="20" spans="1:16" x14ac:dyDescent="0.35">
      <c r="A20" s="38" t="s">
        <v>58</v>
      </c>
      <c r="B20" s="38"/>
      <c r="C20" s="66"/>
      <c r="D20" s="171"/>
      <c r="E20" s="67"/>
      <c r="F20" s="67"/>
      <c r="G20" s="67"/>
      <c r="H20" s="66"/>
      <c r="I20" s="67"/>
      <c r="J20" s="304"/>
      <c r="K20" s="67"/>
      <c r="L20" s="67"/>
      <c r="M20" s="12"/>
      <c r="N20" s="6"/>
    </row>
    <row r="21" spans="1:16" x14ac:dyDescent="0.35">
      <c r="A21" s="45" t="s">
        <v>22</v>
      </c>
      <c r="C21" s="345">
        <v>-6881774.75</v>
      </c>
      <c r="D21" s="172"/>
      <c r="E21" s="106">
        <f>ROUND(SUM('[16]Monthly TD Calc-PY1-3'!BK461:BK461),2)+ROUND(SUM('[16]Monthly TD Calc-PY4'!BK469:BK469),2)+ROUND(SUM('[16]Monthly TD Calc-PY5'!BK577:BK577),2)</f>
        <v>3223111.8</v>
      </c>
      <c r="F21" s="106">
        <f>ROUND(SUM('[16]Monthly TD Calc-PY1-3'!BL461:BL461),2)+ROUND(SUM('[16]Monthly TD Calc-PY4'!BL469:BL469),2)+ROUND(SUM('[16]Monthly TD Calc-PY5'!BL577:BL577),2)</f>
        <v>3761727.66</v>
      </c>
      <c r="G21" s="106">
        <f>ROUND(SUM('[16]Monthly TD Calc-PY1-3'!BM461:BM461),2)+ROUND(SUM('[16]Monthly TD Calc-PY4'!BM469:BM469),2)+ROUND(SUM('[16]Monthly TD Calc-PY5'!BM577:BM577),2)</f>
        <v>561911.46</v>
      </c>
      <c r="H21" s="72">
        <f>ROUND(SUM('[16]Monthly TD Calc-PY1-3'!BN461:BN461),2)+ROUND(SUM('[16]Monthly TD Calc-PY4'!BN469:BN469),2)+ROUND(SUM('[16]Monthly TD Calc-PY5'!BN577:BN577),2)</f>
        <v>504580.87</v>
      </c>
      <c r="I21" s="73">
        <f>ROUND(SUM('[16]Monthly TD Calc-PY1-3'!BO461:BO461),2)+ROUND(SUM('[16]Monthly TD Calc-PY4'!BO469:BO469),2)+ROUND(SUM('[16]Monthly TD Calc-PY5'!BO577:BO577),2)</f>
        <v>544606.19999999995</v>
      </c>
      <c r="J21" s="154">
        <f>ROUND(SUM('[16]Monthly TD Calc-PY1-3'!BP461:BP461),2)+ROUND(SUM('[16]Monthly TD Calc-PY4'!BP469:BP469),2)+ROUND(SUM('[16]Monthly TD Calc-PY5'!BP577:BP577),2)</f>
        <v>519975.38</v>
      </c>
      <c r="K21" s="145">
        <f>ROUND(SUM('[16]Monthly TD Calc-PY1-3'!BQ461:BQ461),2)+ROUND(SUM('[16]Monthly TD Calc-PY4'!BQ469:BQ469),2)+ROUND(SUM('[16]Monthly TD Calc-PY5'!BQ577:BQ577),2)</f>
        <v>569448.6</v>
      </c>
      <c r="L21" s="131">
        <f>ROUND(SUM('[16]Monthly TD Calc-PY1-3'!BR461:BR461),2)+ROUND(SUM('[16]Monthly TD Calc-PY4'!BR469:BR469),2)+ROUND(SUM('[16]Monthly TD Calc-PY5'!BR577:BR577),2)</f>
        <v>671243.46</v>
      </c>
      <c r="M21" s="77"/>
      <c r="N21" s="58">
        <f>SUM(C21:L21)</f>
        <v>3474830.68</v>
      </c>
      <c r="P21" s="167">
        <f t="shared" ref="P21:P24" si="6">-SUM(K21:M21)</f>
        <v>-1240692.06</v>
      </c>
    </row>
    <row r="22" spans="1:16" x14ac:dyDescent="0.35">
      <c r="A22" s="45" t="s">
        <v>94</v>
      </c>
      <c r="C22" s="345">
        <v>-3467823.51</v>
      </c>
      <c r="D22" s="172"/>
      <c r="E22" s="106">
        <f>ROUND(SUM('[16]Monthly TD Calc-PY1-3'!BK462:BK462),2)+ROUND(SUM('[16]Monthly TD Calc-PY4'!BK470:BK470),2)+ROUND(SUM('[16]Monthly TD Calc-PY5'!BK578:BK578),2)</f>
        <v>1569802.06</v>
      </c>
      <c r="F22" s="106">
        <f>ROUND(SUM('[16]Monthly TD Calc-PY1-3'!BL462:BL462),2)+ROUND(SUM('[16]Monthly TD Calc-PY4'!BL470:BL470),2)+ROUND(SUM('[16]Monthly TD Calc-PY5'!BL578:BL578),2)</f>
        <v>1869312.22</v>
      </c>
      <c r="G22" s="106">
        <f>ROUND(SUM('[16]Monthly TD Calc-PY1-3'!BM462:BM462),2)+ROUND(SUM('[16]Monthly TD Calc-PY4'!BM470:BM470),2)+ROUND(SUM('[16]Monthly TD Calc-PY5'!BM578:BM578),2)</f>
        <v>830454.51</v>
      </c>
      <c r="H22" s="72">
        <f>ROUND(SUM('[16]Monthly TD Calc-PY1-3'!BN462:BN462),2)+ROUND(SUM('[16]Monthly TD Calc-PY4'!BN470:BN470),2)+ROUND(SUM('[16]Monthly TD Calc-PY5'!BN578:BN578),2)</f>
        <v>750771.15</v>
      </c>
      <c r="I22" s="73">
        <f>ROUND(SUM('[16]Monthly TD Calc-PY1-3'!BO462:BO462),2)+ROUND(SUM('[16]Monthly TD Calc-PY4'!BO470:BO470),2)+ROUND(SUM('[16]Monthly TD Calc-PY5'!BO578:BO578),2)</f>
        <v>831923.54</v>
      </c>
      <c r="J22" s="154">
        <f>ROUND(SUM('[16]Monthly TD Calc-PY1-3'!BP462:BP462),2)+ROUND(SUM('[16]Monthly TD Calc-PY4'!BP470:BP470),2)+ROUND(SUM('[16]Monthly TD Calc-PY5'!BP578:BP578),2)</f>
        <v>794156.35</v>
      </c>
      <c r="K22" s="145">
        <f>ROUND(SUM('[16]Monthly TD Calc-PY1-3'!BQ462:BQ462),2)+ROUND(SUM('[16]Monthly TD Calc-PY4'!BQ470:BQ470),2)+ROUND(SUM('[16]Monthly TD Calc-PY5'!BQ578:BQ578),2)</f>
        <v>832798.33</v>
      </c>
      <c r="L22" s="131">
        <f>ROUND(SUM('[16]Monthly TD Calc-PY1-3'!BR462:BR462),2)+ROUND(SUM('[16]Monthly TD Calc-PY4'!BR470:BR470),2)+ROUND(SUM('[16]Monthly TD Calc-PY5'!BR578:BR578),2)</f>
        <v>799483.49</v>
      </c>
      <c r="M22" s="77"/>
      <c r="N22" s="58">
        <f t="shared" ref="N22:N24" si="7">SUM(C22:L22)</f>
        <v>4810878.1400000006</v>
      </c>
      <c r="P22" s="167">
        <f t="shared" si="6"/>
        <v>-1632281.8199999998</v>
      </c>
    </row>
    <row r="23" spans="1:16" x14ac:dyDescent="0.35">
      <c r="A23" s="45" t="s">
        <v>95</v>
      </c>
      <c r="C23" s="345">
        <v>-5729924.0700000003</v>
      </c>
      <c r="D23" s="172"/>
      <c r="E23" s="106">
        <f>ROUND(SUM('[16]Monthly TD Calc-PY1-3'!BK464:BK464),2)+ROUND(SUM('[16]Monthly TD Calc-PY4'!BK472:BK472),2)+ROUND(SUM('[16]Monthly TD Calc-PY5'!BK580:BK580),2)</f>
        <v>2691953.19</v>
      </c>
      <c r="F23" s="106">
        <f>ROUND(SUM('[16]Monthly TD Calc-PY1-3'!BL464:BL464),2)+ROUND(SUM('[16]Monthly TD Calc-PY4'!BL472:BL472),2)+ROUND(SUM('[16]Monthly TD Calc-PY5'!BL580:BL580),2)</f>
        <v>2843676.04</v>
      </c>
      <c r="G23" s="106">
        <f>ROUND(SUM('[16]Monthly TD Calc-PY1-3'!BM464:BM464),2)+ROUND(SUM('[16]Monthly TD Calc-PY4'!BM472:BM472),2)+ROUND(SUM('[16]Monthly TD Calc-PY5'!BM580:BM580),2)</f>
        <v>712770</v>
      </c>
      <c r="H23" s="72">
        <f>ROUND(SUM('[16]Monthly TD Calc-PY1-3'!BN464:BN464),2)+ROUND(SUM('[16]Monthly TD Calc-PY4'!BN472:BN472),2)+ROUND(SUM('[16]Monthly TD Calc-PY5'!BN580:BN580),2)</f>
        <v>644320.21</v>
      </c>
      <c r="I23" s="73">
        <f>ROUND(SUM('[16]Monthly TD Calc-PY1-3'!BO464:BO464),2)+ROUND(SUM('[16]Monthly TD Calc-PY4'!BO472:BO472),2)+ROUND(SUM('[16]Monthly TD Calc-PY5'!BO580:BO580),2)</f>
        <v>713996.56</v>
      </c>
      <c r="J23" s="154">
        <f>ROUND(SUM('[16]Monthly TD Calc-PY1-3'!BP464:BP464),2)+ROUND(SUM('[16]Monthly TD Calc-PY4'!BP472:BP472),2)+ROUND(SUM('[16]Monthly TD Calc-PY5'!BP580:BP580),2)</f>
        <v>681946.97</v>
      </c>
      <c r="K23" s="145">
        <f>ROUND(SUM('[16]Monthly TD Calc-PY1-3'!BQ464:BQ464),2)+ROUND(SUM('[16]Monthly TD Calc-PY4'!BQ472:BQ472),2)+ROUND(SUM('[16]Monthly TD Calc-PY5'!BQ580:BQ580),2)</f>
        <v>714787.92</v>
      </c>
      <c r="L23" s="131">
        <f>ROUND(SUM('[16]Monthly TD Calc-PY1-3'!BR464:BR464),2)+ROUND(SUM('[16]Monthly TD Calc-PY4'!BR472:BR472),2)+ROUND(SUM('[16]Monthly TD Calc-PY5'!BR580:BR580),2)</f>
        <v>686609.15</v>
      </c>
      <c r="M23" s="77"/>
      <c r="N23" s="58">
        <f t="shared" si="7"/>
        <v>3960135.9699999993</v>
      </c>
      <c r="P23" s="167">
        <f t="shared" si="6"/>
        <v>-1401397.07</v>
      </c>
    </row>
    <row r="24" spans="1:16" x14ac:dyDescent="0.35">
      <c r="A24" s="45" t="s">
        <v>96</v>
      </c>
      <c r="C24" s="345">
        <v>-2135536.5099999998</v>
      </c>
      <c r="D24" s="172"/>
      <c r="E24" s="106">
        <f>ROUND(SUM('[16]Monthly TD Calc-PY1-3'!BK465:BK465),2)+ROUND(SUM('[16]Monthly TD Calc-PY4'!BK473:BK473),2)+ROUND(SUM('[16]Monthly TD Calc-PY5'!BK581:BK581),2)</f>
        <v>945660.26</v>
      </c>
      <c r="F24" s="106">
        <f>ROUND(SUM('[16]Monthly TD Calc-PY1-3'!BL465:BL465),2)+ROUND(SUM('[16]Monthly TD Calc-PY4'!BL473:BL473),2)+ROUND(SUM('[16]Monthly TD Calc-PY5'!BL581:BL581),2)</f>
        <v>1011521.23</v>
      </c>
      <c r="G24" s="106">
        <f>ROUND(SUM('[16]Monthly TD Calc-PY1-3'!BM465:BM465),2)+ROUND(SUM('[16]Monthly TD Calc-PY4'!BM473:BM473),2)+ROUND(SUM('[16]Monthly TD Calc-PY5'!BM581:BM581),2)</f>
        <v>451336.12</v>
      </c>
      <c r="H24" s="72">
        <f>ROUND(SUM('[16]Monthly TD Calc-PY1-3'!BN465:BN465),2)+ROUND(SUM('[16]Monthly TD Calc-PY4'!BN473:BN473),2)+ROUND(SUM('[16]Monthly TD Calc-PY5'!BN581:BN581),2)</f>
        <v>408047.18</v>
      </c>
      <c r="I24" s="73">
        <f>ROUND(SUM('[16]Monthly TD Calc-PY1-3'!BO465:BO465),2)+ROUND(SUM('[16]Monthly TD Calc-PY4'!BO473:BO473),2)+ROUND(SUM('[16]Monthly TD Calc-PY5'!BO581:BO581),2)</f>
        <v>452304.32</v>
      </c>
      <c r="J24" s="154">
        <f>ROUND(SUM('[16]Monthly TD Calc-PY1-3'!BP465:BP465),2)+ROUND(SUM('[16]Monthly TD Calc-PY4'!BP473:BP473),2)+ROUND(SUM('[16]Monthly TD Calc-PY5'!BP581:BP581),2)</f>
        <v>431511.1</v>
      </c>
      <c r="K24" s="145">
        <f>ROUND(SUM('[16]Monthly TD Calc-PY1-3'!BQ465:BQ465),2)+ROUND(SUM('[16]Monthly TD Calc-PY4'!BQ473:BQ473),2)+ROUND(SUM('[16]Monthly TD Calc-PY5'!BQ581:BQ581),2)</f>
        <v>452764.48</v>
      </c>
      <c r="L24" s="131">
        <f>ROUND(SUM('[16]Monthly TD Calc-PY1-3'!BR465:BR465),2)+ROUND(SUM('[16]Monthly TD Calc-PY4'!BR473:BR473),2)+ROUND(SUM('[16]Monthly TD Calc-PY5'!BR581:BR581),2)</f>
        <v>434763.56</v>
      </c>
      <c r="M24" s="77"/>
      <c r="N24" s="58">
        <f t="shared" si="7"/>
        <v>2452371.7400000002</v>
      </c>
      <c r="P24" s="167">
        <f t="shared" si="6"/>
        <v>-887528.04</v>
      </c>
    </row>
    <row r="25" spans="1:16" x14ac:dyDescent="0.35">
      <c r="C25" s="66"/>
      <c r="D25" s="171"/>
      <c r="E25" s="305"/>
      <c r="F25" s="305"/>
      <c r="G25" s="36"/>
      <c r="H25" s="35"/>
      <c r="I25" s="305"/>
      <c r="J25" s="155"/>
      <c r="K25" s="51"/>
      <c r="L25" s="55"/>
      <c r="M25" s="12"/>
    </row>
    <row r="26" spans="1:16" x14ac:dyDescent="0.35">
      <c r="A26" s="45" t="s">
        <v>60</v>
      </c>
      <c r="C26" s="35"/>
      <c r="D26" s="173"/>
      <c r="E26" s="36"/>
      <c r="F26" s="36"/>
      <c r="G26" s="36"/>
      <c r="H26" s="35"/>
      <c r="I26" s="36"/>
      <c r="J26" s="155"/>
      <c r="K26" s="51"/>
      <c r="L26" s="51"/>
      <c r="M26" s="37"/>
    </row>
    <row r="27" spans="1:16" x14ac:dyDescent="0.35">
      <c r="A27" s="45" t="s">
        <v>22</v>
      </c>
      <c r="C27" s="344">
        <v>-229907.32</v>
      </c>
      <c r="D27" s="172"/>
      <c r="E27" s="104">
        <f>+ROUND(SUM('[16]Monthly TD Calc-PY4'!BK575:BK575),2)+ROUND(SUM('[16]Monthly TD Calc-PY5'!BK711:BK711),2)+ROUND(SUM('[16]Monthly TD Calc-PY1-3'!BK563:BK563),2)</f>
        <v>114063.44</v>
      </c>
      <c r="F27" s="104">
        <f>+ROUND(SUM('[16]Monthly TD Calc-PY4'!BL575:BL575),2)+ROUND(SUM('[16]Monthly TD Calc-PY5'!BL711:BL711),2)+ROUND(SUM('[16]Monthly TD Calc-PY1-3'!BL563:BL563),2)</f>
        <v>118276</v>
      </c>
      <c r="G27" s="104">
        <f>+ROUND(SUM('[16]Monthly TD Calc-PY4'!BM575:BM575),2)+ROUND(SUM('[16]Monthly TD Calc-PY5'!BM711:BM711),2)+ROUND(SUM('[16]Monthly TD Calc-PY1-3'!BM563:BM563),2)</f>
        <v>12816.14</v>
      </c>
      <c r="H27" s="15">
        <f>+ROUND(SUM('[16]Monthly TD Calc-PY4'!BN575:BN575),2)+ROUND(SUM('[16]Monthly TD Calc-PY5'!BN711:BN711),2)+ROUND(SUM('[16]Monthly TD Calc-PY1-3'!BN563:BN563),2)</f>
        <v>11764.97</v>
      </c>
      <c r="I27" s="54">
        <f>+ROUND(SUM('[16]Monthly TD Calc-PY4'!BO575:BO575),2)+ROUND(SUM('[16]Monthly TD Calc-PY5'!BO711:BO711),2)+ROUND(SUM('[16]Monthly TD Calc-PY1-3'!BO563:BO563),2)</f>
        <v>13858.83</v>
      </c>
      <c r="J27" s="219">
        <f>+ROUND(SUM('[16]Monthly TD Calc-PY4'!BP575:BP575),2)+ROUND(SUM('[16]Monthly TD Calc-PY5'!BP711:BP711),2)+ROUND(SUM('[16]Monthly TD Calc-PY1-3'!BP563:BP563),2)</f>
        <v>13806.93</v>
      </c>
      <c r="K27" s="146">
        <f>+ROUND(SUM('[16]Monthly TD Calc-PY4'!BQ575:BQ575),2)+ROUND(SUM('[16]Monthly TD Calc-PY5'!BQ711:BQ711),2)+ROUND(SUM('[16]Monthly TD Calc-PY1-3'!BQ563:BQ563),2)</f>
        <v>15418.1</v>
      </c>
      <c r="L27" s="146">
        <f>+ROUND(SUM('[16]Monthly TD Calc-PY4'!BR575:BR575),2)+ROUND(SUM('[16]Monthly TD Calc-PY5'!BR711:BR711),2)+ROUND(SUM('[16]Monthly TD Calc-PY1-3'!BR563:BR563),2)</f>
        <v>31957.97</v>
      </c>
      <c r="M27" s="76"/>
      <c r="P27" s="167">
        <f t="shared" ref="P27:P32" si="8">-SUM(K27:M27)</f>
        <v>-47376.07</v>
      </c>
    </row>
    <row r="28" spans="1:16" x14ac:dyDescent="0.35">
      <c r="A28" s="45" t="s">
        <v>94</v>
      </c>
      <c r="C28" s="344">
        <v>-123676.1</v>
      </c>
      <c r="D28" s="172"/>
      <c r="E28" s="104">
        <f>+ROUND(SUM('[16]Monthly TD Calc-PY4'!BK576:BK576),2)+ROUND(SUM('[16]Monthly TD Calc-PY5'!BK712:BK712),2)+ROUND(SUM('[16]Monthly TD Calc-PY1-3'!BK564:BK564),2)</f>
        <v>57504.36</v>
      </c>
      <c r="F28" s="104">
        <f>+ROUND(SUM('[16]Monthly TD Calc-PY4'!BL576:BL576),2)+ROUND(SUM('[16]Monthly TD Calc-PY5'!BL712:BL712),2)+ROUND(SUM('[16]Monthly TD Calc-PY1-3'!BL564:BL564),2)</f>
        <v>65372.250000000007</v>
      </c>
      <c r="G28" s="104">
        <f>+ROUND(SUM('[16]Monthly TD Calc-PY4'!BM576:BM576),2)+ROUND(SUM('[16]Monthly TD Calc-PY5'!BM712:BM712),2)+ROUND(SUM('[16]Monthly TD Calc-PY1-3'!BM564:BM564),2)</f>
        <v>29239.37</v>
      </c>
      <c r="H28" s="15">
        <f>+ROUND(SUM('[16]Monthly TD Calc-PY4'!BN576:BN576),2)+ROUND(SUM('[16]Monthly TD Calc-PY5'!BN712:BN712),2)+ROUND(SUM('[16]Monthly TD Calc-PY1-3'!BN564:BN564),2)</f>
        <v>26590.2</v>
      </c>
      <c r="I28" s="54">
        <f>+ROUND(SUM('[16]Monthly TD Calc-PY4'!BO576:BO576),2)+ROUND(SUM('[16]Monthly TD Calc-PY5'!BO712:BO712),2)+ROUND(SUM('[16]Monthly TD Calc-PY1-3'!BO564:BO564),2)</f>
        <v>29563.15</v>
      </c>
      <c r="J28" s="219">
        <f>+ROUND(SUM('[16]Monthly TD Calc-PY4'!BP576:BP576),2)+ROUND(SUM('[16]Monthly TD Calc-PY5'!BP712:BP712),2)+ROUND(SUM('[16]Monthly TD Calc-PY1-3'!BP564:BP564),2)</f>
        <v>28425.32</v>
      </c>
      <c r="K28" s="146">
        <f>+ROUND(SUM('[16]Monthly TD Calc-PY4'!BQ576:BQ576),2)+ROUND(SUM('[16]Monthly TD Calc-PY5'!BQ712:BQ712),2)+ROUND(SUM('[16]Monthly TD Calc-PY1-3'!BQ564:BQ564),2)</f>
        <v>29883.5</v>
      </c>
      <c r="L28" s="146">
        <f>+ROUND(SUM('[16]Monthly TD Calc-PY4'!BR576:BR576),2)+ROUND(SUM('[16]Monthly TD Calc-PY5'!BR712:BR712),2)+ROUND(SUM('[16]Monthly TD Calc-PY1-3'!BR564:BR564),2)</f>
        <v>46411.42</v>
      </c>
      <c r="M28" s="76"/>
      <c r="P28" s="167">
        <f t="shared" si="8"/>
        <v>-76294.92</v>
      </c>
    </row>
    <row r="29" spans="1:16" x14ac:dyDescent="0.35">
      <c r="A29" s="45" t="s">
        <v>95</v>
      </c>
      <c r="C29" s="344">
        <v>-114535.67999999999</v>
      </c>
      <c r="D29" s="172"/>
      <c r="E29" s="104">
        <f>+ROUND(SUM('[16]Monthly TD Calc-PY4'!BK578:BK578),2)+ROUND(SUM('[16]Monthly TD Calc-PY5'!BK714:BK714),2)+ROUND(SUM('[16]Monthly TD Calc-PY1-3'!BK566:BK566),2)</f>
        <v>56387.7</v>
      </c>
      <c r="F29" s="104">
        <f>+ROUND(SUM('[16]Monthly TD Calc-PY4'!BL578:BL578),2)+ROUND(SUM('[16]Monthly TD Calc-PY5'!BL714:BL714),2)+ROUND(SUM('[16]Monthly TD Calc-PY1-3'!BL566:BL566),2)</f>
        <v>54707.020000000004</v>
      </c>
      <c r="G29" s="104">
        <f>+ROUND(SUM('[16]Monthly TD Calc-PY4'!BM578:BM578),2)+ROUND(SUM('[16]Monthly TD Calc-PY5'!BM714:BM714),2)+ROUND(SUM('[16]Monthly TD Calc-PY1-3'!BM566:BM566),2)</f>
        <v>19315.810000000001</v>
      </c>
      <c r="H29" s="15">
        <f>+ROUND(SUM('[16]Monthly TD Calc-PY4'!BN578:BN578),2)+ROUND(SUM('[16]Monthly TD Calc-PY5'!BN714:BN714),2)+ROUND(SUM('[16]Monthly TD Calc-PY1-3'!BN566:BN566),2)</f>
        <v>16975.47</v>
      </c>
      <c r="I29" s="54">
        <f>+ROUND(SUM('[16]Monthly TD Calc-PY4'!BO578:BO578),2)+ROUND(SUM('[16]Monthly TD Calc-PY5'!BO714:BO714),2)+ROUND(SUM('[16]Monthly TD Calc-PY1-3'!BO566:BO566),2)</f>
        <v>19095.16</v>
      </c>
      <c r="J29" s="219">
        <f>+ROUND(SUM('[16]Monthly TD Calc-PY4'!BP578:BP578),2)+ROUND(SUM('[16]Monthly TD Calc-PY5'!BP714:BP714),2)+ROUND(SUM('[16]Monthly TD Calc-PY1-3'!BP566:BP566),2)</f>
        <v>18781.13</v>
      </c>
      <c r="K29" s="146">
        <f>+ROUND(SUM('[16]Monthly TD Calc-PY4'!BQ578:BQ578),2)+ROUND(SUM('[16]Monthly TD Calc-PY5'!BQ714:BQ714),2)+ROUND(SUM('[16]Monthly TD Calc-PY1-3'!BQ566:BQ566),2)</f>
        <v>19828.98</v>
      </c>
      <c r="L29" s="146">
        <f>+ROUND(SUM('[16]Monthly TD Calc-PY4'!BR578:BR578),2)+ROUND(SUM('[16]Monthly TD Calc-PY5'!BR714:BR714),2)+ROUND(SUM('[16]Monthly TD Calc-PY1-3'!BR566:BR566),2)</f>
        <v>25632.63</v>
      </c>
      <c r="M29" s="76"/>
      <c r="P29" s="167">
        <f t="shared" si="8"/>
        <v>-45461.61</v>
      </c>
    </row>
    <row r="30" spans="1:16" x14ac:dyDescent="0.35">
      <c r="A30" s="45" t="s">
        <v>96</v>
      </c>
      <c r="C30" s="344">
        <v>-13811.94</v>
      </c>
      <c r="D30" s="172"/>
      <c r="E30" s="104">
        <f>+ROUND(SUM('[16]Monthly TD Calc-PY4'!BK579:BK579),2)+ROUND(SUM('[16]Monthly TD Calc-PY5'!BK715:BK715),2)+ROUND(SUM('[16]Monthly TD Calc-PY1-3'!BK567:BK567),2)</f>
        <v>6747.9699999999993</v>
      </c>
      <c r="F30" s="104">
        <f>+ROUND(SUM('[16]Monthly TD Calc-PY4'!BL579:BL579),2)+ROUND(SUM('[16]Monthly TD Calc-PY5'!BL715:BL715),2)+ROUND(SUM('[16]Monthly TD Calc-PY1-3'!BL567:BL567),2)</f>
        <v>6505.6900000000005</v>
      </c>
      <c r="G30" s="104">
        <f>+ROUND(SUM('[16]Monthly TD Calc-PY4'!BM579:BM579),2)+ROUND(SUM('[16]Monthly TD Calc-PY5'!BM715:BM715),2)+ROUND(SUM('[16]Monthly TD Calc-PY1-3'!BM567:BM567),2)</f>
        <v>4080.45</v>
      </c>
      <c r="H30" s="15">
        <f>+ROUND(SUM('[16]Monthly TD Calc-PY4'!BN579:BN579),2)+ROUND(SUM('[16]Monthly TD Calc-PY5'!BN715:BN715),2)+ROUND(SUM('[16]Monthly TD Calc-PY1-3'!BN567:BN567),2)</f>
        <v>3915.66</v>
      </c>
      <c r="I30" s="54">
        <f>+ROUND(SUM('[16]Monthly TD Calc-PY4'!BO579:BO579),2)+ROUND(SUM('[16]Monthly TD Calc-PY5'!BO715:BO715),2)+ROUND(SUM('[16]Monthly TD Calc-PY1-3'!BO567:BO567),2)</f>
        <v>4397.96</v>
      </c>
      <c r="J30" s="219">
        <f>+ROUND(SUM('[16]Monthly TD Calc-PY4'!BP579:BP579),2)+ROUND(SUM('[16]Monthly TD Calc-PY5'!BP715:BP715),2)+ROUND(SUM('[16]Monthly TD Calc-PY1-3'!BP567:BP567),2)</f>
        <v>4315.28</v>
      </c>
      <c r="K30" s="146">
        <f>+ROUND(SUM('[16]Monthly TD Calc-PY4'!BQ579:BQ579),2)+ROUND(SUM('[16]Monthly TD Calc-PY5'!BQ715:BQ715),2)+ROUND(SUM('[16]Monthly TD Calc-PY1-3'!BQ567:BQ567),2)</f>
        <v>4481.8</v>
      </c>
      <c r="L30" s="146">
        <f>+ROUND(SUM('[16]Monthly TD Calc-PY4'!BR579:BR579),2)+ROUND(SUM('[16]Monthly TD Calc-PY5'!BR715:BR715),2)+ROUND(SUM('[16]Monthly TD Calc-PY1-3'!BR567:BR567),2)</f>
        <v>6602.84</v>
      </c>
      <c r="M30" s="76"/>
      <c r="O30" s="46"/>
      <c r="P30" s="167">
        <f t="shared" si="8"/>
        <v>-11084.64</v>
      </c>
    </row>
    <row r="31" spans="1:16" x14ac:dyDescent="0.35">
      <c r="C31" s="96"/>
      <c r="D31" s="170"/>
      <c r="E31" s="326"/>
      <c r="F31" s="17"/>
      <c r="G31" s="17"/>
      <c r="H31" s="88"/>
      <c r="I31" s="17"/>
      <c r="J31" s="152"/>
      <c r="K31" s="55"/>
      <c r="L31" s="55"/>
      <c r="M31" s="12"/>
    </row>
    <row r="32" spans="1:16" ht="15" thickBot="1" x14ac:dyDescent="0.4">
      <c r="A32" s="3" t="s">
        <v>13</v>
      </c>
      <c r="B32" s="3"/>
      <c r="C32" s="346">
        <v>-3954.13</v>
      </c>
      <c r="D32" s="174"/>
      <c r="E32" s="124">
        <f>2032.12-0.01</f>
        <v>2032.11</v>
      </c>
      <c r="F32" s="124">
        <v>1926.8500000000001</v>
      </c>
      <c r="G32" s="125">
        <f>1227.01-0.01</f>
        <v>1227</v>
      </c>
      <c r="H32" s="25">
        <f>570.4-0.01</f>
        <v>570.39</v>
      </c>
      <c r="I32" s="113">
        <f>504.59+0.01</f>
        <v>504.59999999999997</v>
      </c>
      <c r="J32" s="156">
        <f>515.02-0.01</f>
        <v>515.01</v>
      </c>
      <c r="K32" s="147">
        <f>ROUND((SUM(J41:J44)+SUM(J48:J51)+SUM(K35:K38)/2)*K$46,2)-0.01</f>
        <v>550.33000000000004</v>
      </c>
      <c r="L32" s="132">
        <f>ROUND((SUM(K41:K44)+SUM(K48:K51)+SUM(L35:L38)/2)*L$46,2)</f>
        <v>671.57</v>
      </c>
      <c r="M32" s="79"/>
      <c r="P32" s="167">
        <f t="shared" si="8"/>
        <v>-1221.9000000000001</v>
      </c>
    </row>
    <row r="33" spans="1:16" x14ac:dyDescent="0.35">
      <c r="C33" s="63"/>
      <c r="D33" s="177"/>
      <c r="E33" s="65"/>
      <c r="F33" s="65"/>
      <c r="G33" s="32"/>
      <c r="H33" s="63"/>
      <c r="I33" s="32"/>
      <c r="J33" s="157"/>
      <c r="K33" s="33"/>
      <c r="L33" s="33"/>
      <c r="M33" s="59"/>
    </row>
    <row r="34" spans="1:16" x14ac:dyDescent="0.35">
      <c r="A34" s="45" t="s">
        <v>46</v>
      </c>
      <c r="C34" s="64"/>
      <c r="D34" s="178"/>
      <c r="E34" s="34"/>
      <c r="F34" s="34"/>
      <c r="G34" s="34"/>
      <c r="H34" s="64"/>
      <c r="I34" s="34"/>
      <c r="J34" s="158"/>
      <c r="K34" s="33"/>
      <c r="L34" s="33"/>
      <c r="M34" s="59"/>
    </row>
    <row r="35" spans="1:16" x14ac:dyDescent="0.35">
      <c r="A35" s="45" t="s">
        <v>22</v>
      </c>
      <c r="C35" s="175">
        <f t="shared" ref="C35:M35" si="9">C27-C15</f>
        <v>243957.84999999998</v>
      </c>
      <c r="D35" s="179">
        <f t="shared" si="9"/>
        <v>0</v>
      </c>
      <c r="E35" s="40">
        <f t="shared" si="9"/>
        <v>13603.770000000004</v>
      </c>
      <c r="F35" s="40">
        <f t="shared" si="9"/>
        <v>-28625.549999999988</v>
      </c>
      <c r="G35" s="103">
        <f t="shared" si="9"/>
        <v>-173857.24</v>
      </c>
      <c r="H35" s="39">
        <f t="shared" si="9"/>
        <v>-12804.12</v>
      </c>
      <c r="I35" s="40">
        <f t="shared" si="9"/>
        <v>-5430.8900000000012</v>
      </c>
      <c r="J35" s="60">
        <f t="shared" si="9"/>
        <v>1147.7299999999996</v>
      </c>
      <c r="K35" s="114">
        <f t="shared" si="9"/>
        <v>2101.67</v>
      </c>
      <c r="L35" s="40">
        <f t="shared" si="9"/>
        <v>15140.380000000001</v>
      </c>
      <c r="M35" s="60">
        <f t="shared" si="9"/>
        <v>-23338.15</v>
      </c>
    </row>
    <row r="36" spans="1:16" x14ac:dyDescent="0.35">
      <c r="A36" s="45" t="s">
        <v>94</v>
      </c>
      <c r="C36" s="175">
        <f t="shared" ref="C36:M36" si="10">C28-C16</f>
        <v>58447.66</v>
      </c>
      <c r="D36" s="179">
        <f t="shared" si="10"/>
        <v>0</v>
      </c>
      <c r="E36" s="40">
        <f t="shared" si="10"/>
        <v>1806.3700000000026</v>
      </c>
      <c r="F36" s="40">
        <f t="shared" si="10"/>
        <v>-187.73999999999796</v>
      </c>
      <c r="G36" s="103">
        <f t="shared" si="10"/>
        <v>-43039.340000000011</v>
      </c>
      <c r="H36" s="39">
        <f t="shared" si="10"/>
        <v>-6958.1700000000019</v>
      </c>
      <c r="I36" s="40">
        <f t="shared" si="10"/>
        <v>6245.4400000000023</v>
      </c>
      <c r="J36" s="60">
        <f t="shared" si="10"/>
        <v>4998.4799999999996</v>
      </c>
      <c r="K36" s="114">
        <f t="shared" si="10"/>
        <v>7008</v>
      </c>
      <c r="L36" s="40">
        <f t="shared" si="10"/>
        <v>20878.539999999997</v>
      </c>
      <c r="M36" s="60">
        <f t="shared" si="10"/>
        <v>-28549.19</v>
      </c>
    </row>
    <row r="37" spans="1:16" x14ac:dyDescent="0.35">
      <c r="A37" s="45" t="s">
        <v>95</v>
      </c>
      <c r="C37" s="175">
        <f t="shared" ref="C37:M37" si="11">C29-C17</f>
        <v>56506.959999999992</v>
      </c>
      <c r="D37" s="179">
        <f t="shared" si="11"/>
        <v>0</v>
      </c>
      <c r="E37" s="40">
        <f t="shared" si="11"/>
        <v>3897.9300000000003</v>
      </c>
      <c r="F37" s="40">
        <f t="shared" si="11"/>
        <v>-888.17999999999302</v>
      </c>
      <c r="G37" s="103">
        <f t="shared" si="11"/>
        <v>-35935.550000000003</v>
      </c>
      <c r="H37" s="39">
        <f t="shared" si="11"/>
        <v>-6902.2999999999993</v>
      </c>
      <c r="I37" s="40">
        <f t="shared" si="11"/>
        <v>-1532.1700000000019</v>
      </c>
      <c r="J37" s="60">
        <f t="shared" si="11"/>
        <v>-698.12999999999738</v>
      </c>
      <c r="K37" s="114">
        <f t="shared" si="11"/>
        <v>352.02999999999884</v>
      </c>
      <c r="L37" s="40">
        <f t="shared" si="11"/>
        <v>3893.1000000000022</v>
      </c>
      <c r="M37" s="60">
        <f t="shared" si="11"/>
        <v>-24307.72</v>
      </c>
    </row>
    <row r="38" spans="1:16" x14ac:dyDescent="0.35">
      <c r="A38" s="45" t="s">
        <v>96</v>
      </c>
      <c r="C38" s="175">
        <f t="shared" ref="C38:M38" si="12">C30-C18</f>
        <v>17175.89</v>
      </c>
      <c r="D38" s="179">
        <f t="shared" si="12"/>
        <v>0</v>
      </c>
      <c r="E38" s="40">
        <f t="shared" si="12"/>
        <v>-4142.92</v>
      </c>
      <c r="F38" s="40">
        <f t="shared" si="12"/>
        <v>-4536.8500000000004</v>
      </c>
      <c r="G38" s="103">
        <f t="shared" si="12"/>
        <v>-6409.2500000000009</v>
      </c>
      <c r="H38" s="39">
        <f t="shared" si="12"/>
        <v>-1731.8500000000004</v>
      </c>
      <c r="I38" s="40">
        <f t="shared" si="12"/>
        <v>-701.85000000000036</v>
      </c>
      <c r="J38" s="60">
        <f t="shared" si="12"/>
        <v>-826.51000000000022</v>
      </c>
      <c r="K38" s="114">
        <f t="shared" si="12"/>
        <v>152</v>
      </c>
      <c r="L38" s="40">
        <f t="shared" si="12"/>
        <v>1770.0600000000004</v>
      </c>
      <c r="M38" s="60">
        <f t="shared" si="12"/>
        <v>-5403.69</v>
      </c>
    </row>
    <row r="39" spans="1:16" x14ac:dyDescent="0.35">
      <c r="C39" s="96"/>
      <c r="D39" s="170"/>
      <c r="E39" s="30"/>
      <c r="F39" s="16"/>
      <c r="G39" s="16"/>
      <c r="H39" s="9"/>
      <c r="I39" s="16"/>
      <c r="J39" s="10"/>
      <c r="K39" s="16"/>
      <c r="L39" s="16"/>
      <c r="M39" s="10"/>
    </row>
    <row r="40" spans="1:16" ht="15" thickBot="1" x14ac:dyDescent="0.4">
      <c r="A40" s="45" t="s">
        <v>47</v>
      </c>
      <c r="C40" s="96"/>
      <c r="D40" s="170"/>
      <c r="E40" s="16"/>
      <c r="F40" s="16"/>
      <c r="G40" s="16"/>
      <c r="H40" s="9"/>
      <c r="I40" s="16"/>
      <c r="J40" s="10"/>
      <c r="K40" s="16"/>
      <c r="L40" s="16"/>
      <c r="M40" s="10"/>
    </row>
    <row r="41" spans="1:16" x14ac:dyDescent="0.35">
      <c r="A41" s="45" t="s">
        <v>22</v>
      </c>
      <c r="B41" s="287">
        <v>3019.8300000003437</v>
      </c>
      <c r="C41" s="175">
        <f t="shared" ref="C41:M41" si="13">+B41+C35+B48</f>
        <v>246977.68000000031</v>
      </c>
      <c r="D41" s="179">
        <f t="shared" si="13"/>
        <v>244668.13000000032</v>
      </c>
      <c r="E41" s="40">
        <f t="shared" si="13"/>
        <v>258271.90000000031</v>
      </c>
      <c r="F41" s="40">
        <f t="shared" si="13"/>
        <v>230867.62000000032</v>
      </c>
      <c r="G41" s="103">
        <f t="shared" si="13"/>
        <v>58160.040000000328</v>
      </c>
      <c r="H41" s="39">
        <f t="shared" si="13"/>
        <v>46024.900000000329</v>
      </c>
      <c r="I41" s="40">
        <f t="shared" si="13"/>
        <v>40836.100000000326</v>
      </c>
      <c r="J41" s="60">
        <f t="shared" si="13"/>
        <v>42185.100000000319</v>
      </c>
      <c r="K41" s="114">
        <f t="shared" si="13"/>
        <v>44479.330000000315</v>
      </c>
      <c r="L41" s="40">
        <f t="shared" si="13"/>
        <v>59820.680000000313</v>
      </c>
      <c r="M41" s="60">
        <f t="shared" si="13"/>
        <v>36724.330000000315</v>
      </c>
    </row>
    <row r="42" spans="1:16" x14ac:dyDescent="0.35">
      <c r="A42" s="45" t="s">
        <v>94</v>
      </c>
      <c r="B42" s="290">
        <v>-28107.850000000042</v>
      </c>
      <c r="C42" s="175">
        <f t="shared" ref="C42:M42" si="14">+B42+C36+B49</f>
        <v>30339.809999999961</v>
      </c>
      <c r="D42" s="179">
        <f t="shared" si="14"/>
        <v>30035.389999999963</v>
      </c>
      <c r="E42" s="40">
        <f t="shared" si="14"/>
        <v>31841.759999999966</v>
      </c>
      <c r="F42" s="40">
        <f t="shared" si="14"/>
        <v>31804.269999999968</v>
      </c>
      <c r="G42" s="103">
        <f t="shared" si="14"/>
        <v>-11085.500000000044</v>
      </c>
      <c r="H42" s="39">
        <f t="shared" si="14"/>
        <v>-17995.560000000045</v>
      </c>
      <c r="I42" s="40">
        <f t="shared" si="14"/>
        <v>-11817.150000000043</v>
      </c>
      <c r="J42" s="60">
        <f t="shared" si="14"/>
        <v>-6887.7100000000437</v>
      </c>
      <c r="K42" s="114">
        <f t="shared" si="14"/>
        <v>76.84999999995631</v>
      </c>
      <c r="L42" s="40">
        <f t="shared" si="14"/>
        <v>20939.529999999952</v>
      </c>
      <c r="M42" s="60">
        <f t="shared" si="14"/>
        <v>-7561.070000000047</v>
      </c>
    </row>
    <row r="43" spans="1:16" x14ac:dyDescent="0.35">
      <c r="A43" s="45" t="s">
        <v>95</v>
      </c>
      <c r="B43" s="290">
        <v>49303.450000000041</v>
      </c>
      <c r="C43" s="175">
        <f t="shared" ref="C43:M43" si="15">+B43+C37+B50</f>
        <v>105810.41000000003</v>
      </c>
      <c r="D43" s="179">
        <f t="shared" si="15"/>
        <v>104751.42000000003</v>
      </c>
      <c r="E43" s="40">
        <f t="shared" si="15"/>
        <v>108649.35000000003</v>
      </c>
      <c r="F43" s="40">
        <f t="shared" si="15"/>
        <v>108279.36000000004</v>
      </c>
      <c r="G43" s="103">
        <f t="shared" si="15"/>
        <v>72853.620000000039</v>
      </c>
      <c r="H43" s="39">
        <f t="shared" si="15"/>
        <v>66370.080000000031</v>
      </c>
      <c r="I43" s="40">
        <f t="shared" si="15"/>
        <v>65160.330000000031</v>
      </c>
      <c r="J43" s="60">
        <f t="shared" si="15"/>
        <v>64766.880000000034</v>
      </c>
      <c r="K43" s="114">
        <f t="shared" si="15"/>
        <v>65420.250000000029</v>
      </c>
      <c r="L43" s="40">
        <f t="shared" si="15"/>
        <v>69615.280000000028</v>
      </c>
      <c r="M43" s="60">
        <f t="shared" si="15"/>
        <v>45620.710000000028</v>
      </c>
    </row>
    <row r="44" spans="1:16" ht="15" thickBot="1" x14ac:dyDescent="0.4">
      <c r="A44" s="45" t="s">
        <v>96</v>
      </c>
      <c r="B44" s="288">
        <v>14499.040000000037</v>
      </c>
      <c r="C44" s="175">
        <f t="shared" ref="C44:M44" si="16">+B44+C38+B51</f>
        <v>31674.930000000037</v>
      </c>
      <c r="D44" s="179">
        <f t="shared" si="16"/>
        <v>31393.760000000038</v>
      </c>
      <c r="E44" s="40">
        <f t="shared" si="16"/>
        <v>27250.84000000004</v>
      </c>
      <c r="F44" s="40">
        <f t="shared" si="16"/>
        <v>22856.390000000043</v>
      </c>
      <c r="G44" s="103">
        <f t="shared" si="16"/>
        <v>16564.950000000044</v>
      </c>
      <c r="H44" s="39">
        <f t="shared" si="16"/>
        <v>14924.250000000044</v>
      </c>
      <c r="I44" s="40">
        <f t="shared" si="16"/>
        <v>14295.310000000043</v>
      </c>
      <c r="J44" s="60">
        <f t="shared" si="16"/>
        <v>13536.490000000043</v>
      </c>
      <c r="K44" s="114">
        <f t="shared" si="16"/>
        <v>13753.040000000043</v>
      </c>
      <c r="L44" s="40">
        <f t="shared" si="16"/>
        <v>15586.390000000043</v>
      </c>
      <c r="M44" s="60">
        <f t="shared" si="16"/>
        <v>10250.730000000045</v>
      </c>
    </row>
    <row r="45" spans="1:16" x14ac:dyDescent="0.35">
      <c r="C45" s="96"/>
      <c r="D45" s="170"/>
      <c r="E45" s="16"/>
      <c r="F45" s="16"/>
      <c r="G45" s="16"/>
      <c r="H45" s="9"/>
      <c r="I45" s="16"/>
      <c r="J45" s="10"/>
      <c r="K45" s="16"/>
      <c r="L45" s="16"/>
      <c r="M45" s="10"/>
    </row>
    <row r="46" spans="1:16" x14ac:dyDescent="0.35">
      <c r="A46" s="38" t="s">
        <v>108</v>
      </c>
      <c r="B46" s="38"/>
      <c r="C46" s="99"/>
      <c r="D46" s="180"/>
      <c r="E46" s="292">
        <f>+'PCR Cycle 3'!E45</f>
        <v>4.8565300000000004E-3</v>
      </c>
      <c r="F46" s="292">
        <f>+'PCR Cycle 3'!F45</f>
        <v>4.6890200000000003E-3</v>
      </c>
      <c r="G46" s="292">
        <f>+'PCR Cycle 3'!G45</f>
        <v>4.6108499999999997E-3</v>
      </c>
      <c r="H46" s="293">
        <f>+'PCR Cycle 3'!H45</f>
        <v>4.6177400000000004E-3</v>
      </c>
      <c r="I46" s="292">
        <f>+'PCR Cycle 3'!I45</f>
        <v>4.62145E-3</v>
      </c>
      <c r="J46" s="294">
        <f>+'PCR Cycle 3'!J45</f>
        <v>4.6276800000000003E-3</v>
      </c>
      <c r="K46" s="80">
        <f>J46</f>
        <v>4.6276800000000003E-3</v>
      </c>
      <c r="L46" s="80">
        <f>J46</f>
        <v>4.6276800000000003E-3</v>
      </c>
      <c r="M46" s="82"/>
    </row>
    <row r="47" spans="1:16" x14ac:dyDescent="0.35">
      <c r="A47" s="38" t="s">
        <v>31</v>
      </c>
      <c r="B47" s="38"/>
      <c r="C47" s="101"/>
      <c r="D47" s="181"/>
      <c r="E47" s="80"/>
      <c r="F47" s="80"/>
      <c r="G47" s="80"/>
      <c r="H47" s="81"/>
      <c r="I47" s="80"/>
      <c r="J47" s="82"/>
      <c r="K47" s="80"/>
      <c r="L47" s="80"/>
      <c r="M47" s="82"/>
    </row>
    <row r="48" spans="1:16" x14ac:dyDescent="0.35">
      <c r="A48" s="45" t="s">
        <v>22</v>
      </c>
      <c r="C48" s="342">
        <v>-2309.5500000000002</v>
      </c>
      <c r="D48" s="354"/>
      <c r="E48" s="40">
        <f t="shared" ref="E48:M48" si="17">ROUND((D41+D48+E35/2)*E$46,2)</f>
        <v>1221.27</v>
      </c>
      <c r="F48" s="40">
        <f t="shared" si="17"/>
        <v>1149.6600000000001</v>
      </c>
      <c r="G48" s="103">
        <f t="shared" si="17"/>
        <v>668.98</v>
      </c>
      <c r="H48" s="39">
        <f t="shared" si="17"/>
        <v>242.09</v>
      </c>
      <c r="I48" s="114">
        <f t="shared" si="17"/>
        <v>201.27</v>
      </c>
      <c r="J48" s="60">
        <f t="shared" si="17"/>
        <v>192.56</v>
      </c>
      <c r="K48" s="148">
        <f t="shared" si="17"/>
        <v>200.97</v>
      </c>
      <c r="L48" s="103">
        <f t="shared" si="17"/>
        <v>241.8</v>
      </c>
      <c r="M48" s="60">
        <f t="shared" si="17"/>
        <v>0</v>
      </c>
      <c r="P48" s="167">
        <f t="shared" ref="P48:P51" si="18">-SUM(K48:M48)</f>
        <v>-442.77</v>
      </c>
    </row>
    <row r="49" spans="1:18" x14ac:dyDescent="0.35">
      <c r="A49" s="45" t="s">
        <v>94</v>
      </c>
      <c r="C49" s="342">
        <v>-304.41999999999996</v>
      </c>
      <c r="D49" s="354"/>
      <c r="E49" s="40">
        <f t="shared" ref="E49:L49" si="19">ROUND((D42+D49+E36/2)*E$46,2)</f>
        <v>150.25</v>
      </c>
      <c r="F49" s="40">
        <f t="shared" si="19"/>
        <v>149.57</v>
      </c>
      <c r="G49" s="103">
        <f t="shared" si="19"/>
        <v>48.11</v>
      </c>
      <c r="H49" s="39">
        <f t="shared" si="19"/>
        <v>-67.03</v>
      </c>
      <c r="I49" s="114">
        <f t="shared" si="19"/>
        <v>-69.040000000000006</v>
      </c>
      <c r="J49" s="60">
        <f t="shared" si="19"/>
        <v>-43.44</v>
      </c>
      <c r="K49" s="148">
        <f t="shared" si="19"/>
        <v>-15.86</v>
      </c>
      <c r="L49" s="103">
        <f t="shared" si="19"/>
        <v>48.59</v>
      </c>
      <c r="M49" s="60"/>
      <c r="P49" s="167">
        <f t="shared" si="18"/>
        <v>-32.730000000000004</v>
      </c>
    </row>
    <row r="50" spans="1:18" x14ac:dyDescent="0.35">
      <c r="A50" s="45" t="s">
        <v>95</v>
      </c>
      <c r="C50" s="342">
        <v>-1058.99</v>
      </c>
      <c r="D50" s="354"/>
      <c r="E50" s="40">
        <f t="shared" ref="E50:L50" si="20">ROUND((D43+D50+E37/2)*E$46,2)</f>
        <v>518.19000000000005</v>
      </c>
      <c r="F50" s="40">
        <f t="shared" si="20"/>
        <v>509.81</v>
      </c>
      <c r="G50" s="103">
        <f t="shared" si="20"/>
        <v>418.76</v>
      </c>
      <c r="H50" s="39">
        <f t="shared" si="20"/>
        <v>322.42</v>
      </c>
      <c r="I50" s="114">
        <f t="shared" si="20"/>
        <v>304.68</v>
      </c>
      <c r="J50" s="60">
        <f t="shared" si="20"/>
        <v>301.33999999999997</v>
      </c>
      <c r="K50" s="148">
        <f t="shared" si="20"/>
        <v>301.93</v>
      </c>
      <c r="L50" s="103">
        <f t="shared" si="20"/>
        <v>313.14999999999998</v>
      </c>
      <c r="M50" s="60"/>
      <c r="P50" s="167">
        <f t="shared" si="18"/>
        <v>-615.07999999999993</v>
      </c>
    </row>
    <row r="51" spans="1:18" ht="15" thickBot="1" x14ac:dyDescent="0.4">
      <c r="A51" s="45" t="s">
        <v>96</v>
      </c>
      <c r="C51" s="342">
        <v>-281.17</v>
      </c>
      <c r="D51" s="354"/>
      <c r="E51" s="40">
        <f t="shared" ref="E51:L51" si="21">ROUND((D44+D51+E38/2)*E$46,2)</f>
        <v>142.4</v>
      </c>
      <c r="F51" s="40">
        <f t="shared" si="21"/>
        <v>117.81</v>
      </c>
      <c r="G51" s="103">
        <f t="shared" si="21"/>
        <v>91.15</v>
      </c>
      <c r="H51" s="39">
        <f t="shared" si="21"/>
        <v>72.91</v>
      </c>
      <c r="I51" s="114">
        <f t="shared" si="21"/>
        <v>67.69</v>
      </c>
      <c r="J51" s="60">
        <f t="shared" si="21"/>
        <v>64.55</v>
      </c>
      <c r="K51" s="148">
        <f t="shared" si="21"/>
        <v>63.29</v>
      </c>
      <c r="L51" s="103">
        <f t="shared" si="21"/>
        <v>68.03</v>
      </c>
      <c r="M51" s="60">
        <f>ROUND((L44+L51+M38/2)*M$46,2)</f>
        <v>0</v>
      </c>
      <c r="P51" s="167">
        <f t="shared" si="18"/>
        <v>-131.32</v>
      </c>
    </row>
    <row r="52" spans="1:18" ht="15.5" thickTop="1" thickBot="1" x14ac:dyDescent="0.4">
      <c r="A52" s="53" t="s">
        <v>20</v>
      </c>
      <c r="B52" s="53"/>
      <c r="C52" s="176">
        <v>0</v>
      </c>
      <c r="D52" s="182"/>
      <c r="E52" s="41">
        <f t="shared" ref="E52:M52" si="22">SUM(E48:E51)+SUM(E41:E44)-E55</f>
        <v>0</v>
      </c>
      <c r="F52" s="41">
        <f t="shared" si="22"/>
        <v>0</v>
      </c>
      <c r="G52" s="49">
        <f t="shared" si="22"/>
        <v>0</v>
      </c>
      <c r="H52" s="50">
        <f t="shared" si="22"/>
        <v>0</v>
      </c>
      <c r="I52" s="41">
        <f t="shared" si="22"/>
        <v>0</v>
      </c>
      <c r="J52" s="61">
        <f t="shared" si="22"/>
        <v>0</v>
      </c>
      <c r="K52" s="149">
        <f t="shared" si="22"/>
        <v>0</v>
      </c>
      <c r="L52" s="49">
        <f t="shared" si="22"/>
        <v>0</v>
      </c>
      <c r="M52" s="61">
        <f t="shared" si="22"/>
        <v>0</v>
      </c>
    </row>
    <row r="53" spans="1:18" ht="15.5" thickTop="1" thickBot="1" x14ac:dyDescent="0.4">
      <c r="A53" s="53" t="s">
        <v>21</v>
      </c>
      <c r="B53" s="53"/>
      <c r="C53" s="176">
        <v>0</v>
      </c>
      <c r="D53" s="182"/>
      <c r="E53" s="41">
        <f t="shared" ref="E53:M53" si="23">SUM(E48:E51)-E32</f>
        <v>0</v>
      </c>
      <c r="F53" s="41">
        <f t="shared" si="23"/>
        <v>0</v>
      </c>
      <c r="G53" s="49">
        <f t="shared" si="23"/>
        <v>0</v>
      </c>
      <c r="H53" s="50">
        <f t="shared" si="23"/>
        <v>0</v>
      </c>
      <c r="I53" s="41">
        <f t="shared" si="23"/>
        <v>0</v>
      </c>
      <c r="J53" s="61">
        <f t="shared" si="23"/>
        <v>0</v>
      </c>
      <c r="K53" s="150">
        <f>SUM(K48:K51)-K32</f>
        <v>0</v>
      </c>
      <c r="L53" s="41">
        <f t="shared" si="23"/>
        <v>0</v>
      </c>
      <c r="M53" s="41">
        <f t="shared" si="23"/>
        <v>0</v>
      </c>
    </row>
    <row r="54" spans="1:18" ht="15.5" thickTop="1" thickBot="1" x14ac:dyDescent="0.4">
      <c r="C54" s="96"/>
      <c r="D54" s="170"/>
      <c r="E54" s="16"/>
      <c r="F54" s="16"/>
      <c r="G54" s="16"/>
      <c r="H54" s="9"/>
      <c r="I54" s="16"/>
      <c r="J54" s="10"/>
      <c r="K54" s="16"/>
      <c r="L54" s="16"/>
      <c r="M54" s="10"/>
    </row>
    <row r="55" spans="1:18" ht="15" thickBot="1" x14ac:dyDescent="0.4">
      <c r="A55" s="45" t="s">
        <v>30</v>
      </c>
      <c r="B55" s="111">
        <f>SUM(B41:B44)</f>
        <v>38714.47000000038</v>
      </c>
      <c r="C55" s="175">
        <f t="shared" ref="C55:M55" si="24">(C12-SUM(C15:C18))+SUM(C48:C51)+B55</f>
        <v>410848.7000000003</v>
      </c>
      <c r="D55" s="179">
        <f t="shared" si="24"/>
        <v>410848.7000000003</v>
      </c>
      <c r="E55" s="40">
        <f t="shared" si="24"/>
        <v>428045.96000000031</v>
      </c>
      <c r="F55" s="40">
        <f t="shared" si="24"/>
        <v>395734.49000000034</v>
      </c>
      <c r="G55" s="103">
        <f t="shared" si="24"/>
        <v>137720.11000000031</v>
      </c>
      <c r="H55" s="39">
        <f t="shared" si="24"/>
        <v>109894.0600000003</v>
      </c>
      <c r="I55" s="40">
        <f t="shared" si="24"/>
        <v>108979.19000000031</v>
      </c>
      <c r="J55" s="60">
        <f t="shared" si="24"/>
        <v>114115.77000000031</v>
      </c>
      <c r="K55" s="148">
        <f t="shared" si="24"/>
        <v>124279.80000000031</v>
      </c>
      <c r="L55" s="103">
        <f t="shared" si="24"/>
        <v>166633.4500000003</v>
      </c>
      <c r="M55" s="60">
        <f t="shared" si="24"/>
        <v>85034.700000000303</v>
      </c>
      <c r="Q55" s="515"/>
      <c r="R55" s="515"/>
    </row>
    <row r="56" spans="1:18" x14ac:dyDescent="0.35">
      <c r="A56" s="45" t="s">
        <v>10</v>
      </c>
      <c r="C56" s="112"/>
      <c r="D56" s="183"/>
      <c r="E56" s="16"/>
      <c r="F56" s="16"/>
      <c r="G56" s="16"/>
      <c r="H56" s="9"/>
      <c r="I56" s="16"/>
      <c r="J56" s="10"/>
      <c r="K56" s="16"/>
      <c r="L56" s="16"/>
      <c r="M56" s="10"/>
      <c r="Q56" s="515"/>
      <c r="R56" s="515"/>
    </row>
    <row r="57" spans="1:18" ht="15" thickBot="1" x14ac:dyDescent="0.4">
      <c r="A57" s="36"/>
      <c r="B57" s="36"/>
      <c r="C57" s="135"/>
      <c r="D57" s="184"/>
      <c r="E57" s="43"/>
      <c r="F57" s="43"/>
      <c r="G57" s="43"/>
      <c r="H57" s="42"/>
      <c r="I57" s="43"/>
      <c r="J57" s="44"/>
      <c r="K57" s="43"/>
      <c r="L57" s="43"/>
      <c r="M57" s="44"/>
      <c r="Q57" s="515"/>
      <c r="R57" s="515"/>
    </row>
    <row r="58" spans="1:18" x14ac:dyDescent="0.35">
      <c r="Q58" s="515"/>
      <c r="R58" s="515"/>
    </row>
    <row r="59" spans="1:18" x14ac:dyDescent="0.35">
      <c r="A59" s="68" t="s">
        <v>9</v>
      </c>
      <c r="B59" s="68"/>
      <c r="C59" s="68"/>
      <c r="D59" s="68"/>
    </row>
    <row r="60" spans="1:18" ht="28.9" customHeight="1" x14ac:dyDescent="0.35">
      <c r="A60" s="529" t="s">
        <v>268</v>
      </c>
      <c r="B60" s="529"/>
      <c r="C60" s="529"/>
      <c r="D60" s="529"/>
      <c r="E60" s="529"/>
      <c r="F60" s="529"/>
      <c r="G60" s="529"/>
      <c r="H60" s="529"/>
      <c r="I60" s="529"/>
      <c r="J60" s="529"/>
      <c r="K60" s="522"/>
      <c r="L60" s="318"/>
      <c r="M60" s="204"/>
    </row>
    <row r="61" spans="1:18" ht="30.65" customHeight="1" x14ac:dyDescent="0.35">
      <c r="A61" s="548" t="s">
        <v>261</v>
      </c>
      <c r="B61" s="548"/>
      <c r="C61" s="548"/>
      <c r="D61" s="548"/>
      <c r="E61" s="548"/>
      <c r="F61" s="548"/>
      <c r="G61" s="548"/>
      <c r="H61" s="548"/>
      <c r="I61" s="548"/>
      <c r="J61" s="548"/>
      <c r="K61" s="548"/>
      <c r="L61" s="549"/>
      <c r="M61" s="204"/>
    </row>
    <row r="62" spans="1:18" ht="33.75" customHeight="1" x14ac:dyDescent="0.35">
      <c r="A62" s="529" t="s">
        <v>269</v>
      </c>
      <c r="B62" s="529"/>
      <c r="C62" s="529"/>
      <c r="D62" s="529"/>
      <c r="E62" s="529"/>
      <c r="F62" s="529"/>
      <c r="G62" s="529"/>
      <c r="H62" s="529"/>
      <c r="I62" s="529"/>
      <c r="J62" s="529"/>
      <c r="K62" s="522"/>
      <c r="L62" s="318"/>
      <c r="M62" s="204"/>
    </row>
    <row r="63" spans="1:18" x14ac:dyDescent="0.35">
      <c r="A63" s="529" t="s">
        <v>220</v>
      </c>
      <c r="B63" s="529"/>
      <c r="C63" s="529"/>
      <c r="D63" s="529"/>
      <c r="E63" s="529"/>
      <c r="F63" s="529"/>
      <c r="G63" s="529"/>
      <c r="H63" s="529"/>
      <c r="I63" s="529"/>
      <c r="J63" s="529"/>
      <c r="K63" s="392"/>
      <c r="L63" s="38"/>
    </row>
    <row r="64" spans="1:18" x14ac:dyDescent="0.35">
      <c r="A64" s="412" t="s">
        <v>264</v>
      </c>
      <c r="B64" s="412"/>
      <c r="C64" s="412"/>
      <c r="D64" s="412"/>
      <c r="E64" s="392"/>
      <c r="F64" s="392"/>
      <c r="G64" s="392"/>
      <c r="H64" s="392"/>
      <c r="I64" s="392"/>
      <c r="J64" s="392"/>
      <c r="K64" s="392"/>
      <c r="L64" s="38"/>
    </row>
    <row r="65" spans="1:12" x14ac:dyDescent="0.35">
      <c r="A65" s="412" t="s">
        <v>61</v>
      </c>
      <c r="B65" s="412"/>
      <c r="C65" s="412"/>
      <c r="D65" s="412"/>
      <c r="E65" s="392"/>
      <c r="F65" s="392"/>
      <c r="G65" s="392"/>
      <c r="H65" s="392"/>
      <c r="I65" s="392"/>
      <c r="J65" s="392"/>
      <c r="K65" s="392"/>
      <c r="L65" s="38"/>
    </row>
    <row r="66" spans="1:12" x14ac:dyDescent="0.35">
      <c r="A66" s="544"/>
      <c r="B66" s="545"/>
      <c r="C66" s="545"/>
      <c r="D66" s="545"/>
      <c r="E66" s="545"/>
      <c r="F66" s="545"/>
      <c r="G66" s="545"/>
      <c r="H66" s="546"/>
      <c r="I66" s="546"/>
      <c r="J66" s="546"/>
      <c r="K66" s="546"/>
    </row>
    <row r="67" spans="1:12" x14ac:dyDescent="0.35">
      <c r="A67" s="545"/>
      <c r="B67" s="545"/>
      <c r="C67" s="545"/>
      <c r="D67" s="545"/>
      <c r="E67" s="545"/>
      <c r="F67" s="545"/>
      <c r="G67" s="545"/>
      <c r="H67" s="546"/>
      <c r="I67" s="546"/>
      <c r="J67" s="546"/>
      <c r="K67" s="546"/>
    </row>
  </sheetData>
  <mergeCells count="8">
    <mergeCell ref="A66:K67"/>
    <mergeCell ref="A63:J63"/>
    <mergeCell ref="A62:J62"/>
    <mergeCell ref="E10:G10"/>
    <mergeCell ref="H10:J10"/>
    <mergeCell ref="K10:M10"/>
    <mergeCell ref="A60:J60"/>
    <mergeCell ref="A61:L61"/>
  </mergeCells>
  <pageMargins left="0.2" right="0.2" top="0.75" bottom="0.25" header="0.3" footer="0.3"/>
  <pageSetup scale="49" orientation="landscape" r:id="rId1"/>
  <headerFooter>
    <oddHeader>&amp;C&amp;F &amp;A&amp;R&amp;"Arial"&amp;10&amp;K000000CONFIDENTIAL</oddHeader>
    <oddFooter xml:space="preserve">&amp;R_x000D_&amp;1#&amp;"Calibri"&amp;10&amp;KA80000 Restricted – Sensitive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4F15-FC2E-4DE8-9E25-A1666334CCC3}">
  <sheetPr>
    <pageSetUpPr fitToPage="1"/>
  </sheetPr>
  <dimension ref="A1:AJ70"/>
  <sheetViews>
    <sheetView zoomScale="85" zoomScaleNormal="85" workbookViewId="0">
      <pane xSplit="2" ySplit="11" topLeftCell="C12" activePane="bottomRight" state="frozen"/>
      <selection activeCell="E77" sqref="E77"/>
      <selection pane="topRight" activeCell="E77" sqref="E77"/>
      <selection pane="bottomLeft" activeCell="E77" sqref="E77"/>
      <selection pane="bottomRight" activeCell="C12" sqref="C12"/>
    </sheetView>
  </sheetViews>
  <sheetFormatPr defaultColWidth="9.1796875" defaultRowHeight="14.5" outlineLevelCol="1" x14ac:dyDescent="0.35"/>
  <cols>
    <col min="1" max="1" width="61.7265625" style="363" customWidth="1"/>
    <col min="2" max="2" width="12.1796875" style="363" customWidth="1"/>
    <col min="3" max="3" width="12.453125" style="363" customWidth="1"/>
    <col min="4" max="4" width="12.453125" style="363" customWidth="1" outlineLevel="1"/>
    <col min="5" max="5" width="15.453125" style="363" customWidth="1"/>
    <col min="6" max="6" width="15.81640625" style="363" customWidth="1"/>
    <col min="7" max="7" width="12.26953125" style="363" customWidth="1"/>
    <col min="8" max="9" width="13.26953125" style="363" customWidth="1"/>
    <col min="10" max="10" width="12.26953125" style="363" bestFit="1" customWidth="1"/>
    <col min="11" max="11" width="11.54296875" style="363" bestFit="1" customWidth="1"/>
    <col min="12" max="12" width="12.81640625" style="363" customWidth="1"/>
    <col min="13" max="13" width="12.26953125" style="363" bestFit="1" customWidth="1"/>
    <col min="14" max="14" width="15" style="363" bestFit="1" customWidth="1"/>
    <col min="15" max="15" width="16" style="363" bestFit="1" customWidth="1"/>
    <col min="16" max="16" width="17.81640625" style="470" hidden="1" customWidth="1" outlineLevel="1"/>
    <col min="17" max="17" width="15.26953125" style="363" bestFit="1" customWidth="1" collapsed="1"/>
    <col min="18" max="18" width="17.453125" style="363" bestFit="1" customWidth="1"/>
    <col min="19" max="19" width="16.26953125" style="363" bestFit="1" customWidth="1"/>
    <col min="20" max="20" width="15.26953125" style="363" bestFit="1" customWidth="1"/>
    <col min="21" max="21" width="12.453125" style="363" customWidth="1"/>
    <col min="22" max="23" width="14.26953125" style="363" bestFit="1" customWidth="1"/>
    <col min="24" max="16384" width="9.1796875" style="363"/>
  </cols>
  <sheetData>
    <row r="1" spans="1:36" x14ac:dyDescent="0.35">
      <c r="A1" s="365" t="str">
        <f>+'PTD Cycle 3'!A1</f>
        <v>Evergy Missouri West, Inc. - DSIM Rider Update Filed 06/02/2025</v>
      </c>
      <c r="B1" s="365"/>
      <c r="C1" s="365"/>
      <c r="D1" s="365"/>
    </row>
    <row r="2" spans="1:36" x14ac:dyDescent="0.35">
      <c r="E2" s="365" t="s">
        <v>267</v>
      </c>
    </row>
    <row r="3" spans="1:36" ht="29" x14ac:dyDescent="0.35">
      <c r="E3" s="400" t="s">
        <v>40</v>
      </c>
      <c r="F3" s="419" t="s">
        <v>62</v>
      </c>
      <c r="G3" s="419" t="s">
        <v>48</v>
      </c>
      <c r="H3" s="400" t="s">
        <v>1</v>
      </c>
      <c r="I3" s="419" t="s">
        <v>49</v>
      </c>
      <c r="J3" s="400" t="s">
        <v>8</v>
      </c>
      <c r="K3" s="400" t="s">
        <v>7</v>
      </c>
      <c r="T3" s="400"/>
    </row>
    <row r="4" spans="1:36" x14ac:dyDescent="0.35">
      <c r="A4" s="378" t="s">
        <v>22</v>
      </c>
      <c r="B4" s="378"/>
      <c r="C4" s="378"/>
      <c r="D4" s="378"/>
      <c r="E4" s="379">
        <f>SUM(C15:M15)</f>
        <v>73286.12</v>
      </c>
      <c r="F4" s="447">
        <f>N21</f>
        <v>45994.5</v>
      </c>
      <c r="G4" s="379">
        <f>SUM(C27:L27)</f>
        <v>4529.72</v>
      </c>
      <c r="H4" s="379">
        <f>G4-E4</f>
        <v>-68756.399999999994</v>
      </c>
      <c r="I4" s="379">
        <f>+B41</f>
        <v>0</v>
      </c>
      <c r="J4" s="379">
        <f>SUM(C48:L48)</f>
        <v>-726.92</v>
      </c>
      <c r="K4" s="380">
        <f>SUM(H4:J4)</f>
        <v>-69483.319999999992</v>
      </c>
      <c r="L4" s="399">
        <f>+K4-M41</f>
        <v>0</v>
      </c>
    </row>
    <row r="5" spans="1:36" x14ac:dyDescent="0.35">
      <c r="A5" s="378" t="s">
        <v>94</v>
      </c>
      <c r="B5" s="378"/>
      <c r="C5" s="378"/>
      <c r="D5" s="378"/>
      <c r="E5" s="379">
        <f>SUM(C16:M16)</f>
        <v>6729.44</v>
      </c>
      <c r="F5" s="447">
        <f>N22</f>
        <v>31287.019999999997</v>
      </c>
      <c r="G5" s="379">
        <f>SUM(C28:L28)</f>
        <v>1601.8999999999999</v>
      </c>
      <c r="H5" s="379">
        <f t="shared" ref="H5:H6" si="0">G5-E5</f>
        <v>-5127.54</v>
      </c>
      <c r="I5" s="379">
        <f>+B42</f>
        <v>0</v>
      </c>
      <c r="J5" s="379">
        <f>SUM(C49:L49)</f>
        <v>-63.83</v>
      </c>
      <c r="K5" s="380">
        <f t="shared" ref="K5:K6" si="1">SUM(H5:J5)</f>
        <v>-5191.37</v>
      </c>
      <c r="L5" s="399">
        <f t="shared" ref="L5:L6" si="2">+K5-M42</f>
        <v>0</v>
      </c>
    </row>
    <row r="6" spans="1:36" x14ac:dyDescent="0.35">
      <c r="A6" s="378" t="s">
        <v>95</v>
      </c>
      <c r="B6" s="378"/>
      <c r="C6" s="378"/>
      <c r="D6" s="378"/>
      <c r="E6" s="379">
        <f>SUM(C17:M17)</f>
        <v>5195.6399999999994</v>
      </c>
      <c r="F6" s="447">
        <f>N23</f>
        <v>20053.82</v>
      </c>
      <c r="G6" s="379">
        <f>SUM(C29:L29)</f>
        <v>692.76</v>
      </c>
      <c r="H6" s="379">
        <f t="shared" si="0"/>
        <v>-4502.8799999999992</v>
      </c>
      <c r="I6" s="379">
        <f>+B43</f>
        <v>0</v>
      </c>
      <c r="J6" s="379">
        <f>SUM(C50:L50)</f>
        <v>-48.35</v>
      </c>
      <c r="K6" s="380">
        <f t="shared" si="1"/>
        <v>-4551.2299999999996</v>
      </c>
      <c r="L6" s="399">
        <f t="shared" si="2"/>
        <v>0</v>
      </c>
    </row>
    <row r="7" spans="1:36" ht="15" thickBot="1" x14ac:dyDescent="0.4">
      <c r="A7" s="378" t="s">
        <v>96</v>
      </c>
      <c r="B7" s="378"/>
      <c r="C7" s="378"/>
      <c r="D7" s="378"/>
      <c r="E7" s="379">
        <f>SUM(C18:M18)</f>
        <v>3751.64</v>
      </c>
      <c r="F7" s="447">
        <f>N24</f>
        <v>12136.73</v>
      </c>
      <c r="G7" s="379">
        <f>SUM(C30:L30)</f>
        <v>161.47</v>
      </c>
      <c r="H7" s="379">
        <f>G7-E7</f>
        <v>-3590.17</v>
      </c>
      <c r="I7" s="379">
        <f>+B44</f>
        <v>0</v>
      </c>
      <c r="J7" s="379">
        <f>SUM(C51:L51)</f>
        <v>-36.24</v>
      </c>
      <c r="K7" s="380">
        <f>SUM(H7:J7)</f>
        <v>-3626.41</v>
      </c>
      <c r="L7" s="399">
        <f>+K7-M44</f>
        <v>0</v>
      </c>
    </row>
    <row r="8" spans="1:36" ht="15.5" thickTop="1" thickBot="1" x14ac:dyDescent="0.4">
      <c r="E8" s="382">
        <f t="shared" ref="E8:K8" si="3">SUM(E4:E7)</f>
        <v>88962.84</v>
      </c>
      <c r="F8" s="448">
        <f t="shared" si="3"/>
        <v>109472.06999999999</v>
      </c>
      <c r="G8" s="382">
        <f t="shared" si="3"/>
        <v>6985.85</v>
      </c>
      <c r="H8" s="382">
        <f t="shared" si="3"/>
        <v>-81976.989999999991</v>
      </c>
      <c r="I8" s="382">
        <f t="shared" si="3"/>
        <v>0</v>
      </c>
      <c r="J8" s="382">
        <f t="shared" si="3"/>
        <v>-875.34</v>
      </c>
      <c r="K8" s="382">
        <f t="shared" si="3"/>
        <v>-82852.329999999987</v>
      </c>
      <c r="U8" s="367"/>
    </row>
    <row r="9" spans="1:36" ht="15.5" thickTop="1" thickBot="1" x14ac:dyDescent="0.4">
      <c r="W9" s="366"/>
      <c r="X9" s="367"/>
    </row>
    <row r="10" spans="1:36" ht="116.5" thickBot="1" x14ac:dyDescent="0.4">
      <c r="B10" s="440" t="str">
        <f>+'PCR Cycle 4'!B10</f>
        <v>Cumulative Over/Under Carryover From 12/01/2024 Filing</v>
      </c>
      <c r="C10" s="453" t="str">
        <f>+'PCR Cycle 4'!C10</f>
        <v>Reverse November 2024 - January 2025 Forecast From 12/01/2024 Filing</v>
      </c>
      <c r="D10" s="509"/>
      <c r="E10" s="547" t="s">
        <v>28</v>
      </c>
      <c r="F10" s="530"/>
      <c r="G10" s="531"/>
      <c r="H10" s="541" t="s">
        <v>28</v>
      </c>
      <c r="I10" s="542"/>
      <c r="J10" s="543"/>
      <c r="K10" s="535" t="s">
        <v>6</v>
      </c>
      <c r="L10" s="536"/>
      <c r="M10" s="537"/>
      <c r="P10" s="497" t="s">
        <v>196</v>
      </c>
    </row>
    <row r="11" spans="1:36" x14ac:dyDescent="0.35">
      <c r="A11" s="363" t="s">
        <v>56</v>
      </c>
      <c r="C11" s="434"/>
      <c r="D11" s="489"/>
      <c r="E11" s="377">
        <f>+'PCR Cycle 4'!E$11</f>
        <v>45626</v>
      </c>
      <c r="F11" s="377">
        <f>+'PCR Cycle 4'!F$11</f>
        <v>45657</v>
      </c>
      <c r="G11" s="377">
        <f>+'PCR Cycle 4'!G$11</f>
        <v>45688</v>
      </c>
      <c r="H11" s="372">
        <f>+'PCR Cycle 4'!H$11</f>
        <v>45716</v>
      </c>
      <c r="I11" s="377">
        <f>+'PCR Cycle 4'!I$11</f>
        <v>45747</v>
      </c>
      <c r="J11" s="373">
        <f>+'PCR Cycle 4'!J$11</f>
        <v>45777</v>
      </c>
      <c r="K11" s="377">
        <f>+'PCR Cycle 4'!K$11</f>
        <v>45808</v>
      </c>
      <c r="L11" s="377">
        <f>+'PCR Cycle 4'!L$11</f>
        <v>45838</v>
      </c>
      <c r="M11" s="431">
        <f>+'PCR Cycle 4'!M$11</f>
        <v>45869</v>
      </c>
      <c r="AA11" s="364"/>
      <c r="AB11" s="364"/>
      <c r="AC11" s="364"/>
      <c r="AD11" s="364"/>
      <c r="AE11" s="364"/>
      <c r="AF11" s="364"/>
      <c r="AG11" s="364"/>
      <c r="AH11" s="364"/>
      <c r="AI11" s="364"/>
      <c r="AJ11" s="364"/>
    </row>
    <row r="12" spans="1:36" x14ac:dyDescent="0.35">
      <c r="A12" s="363" t="s">
        <v>3</v>
      </c>
      <c r="C12" s="471"/>
      <c r="D12" s="473"/>
      <c r="E12" s="437">
        <f>SUM(E27:E30)</f>
        <v>0</v>
      </c>
      <c r="F12" s="437">
        <f t="shared" ref="F12:L12" si="4">SUM(F27:F30)</f>
        <v>0</v>
      </c>
      <c r="G12" s="438">
        <f t="shared" si="4"/>
        <v>0</v>
      </c>
      <c r="H12" s="374">
        <f t="shared" si="4"/>
        <v>0</v>
      </c>
      <c r="I12" s="406">
        <f t="shared" si="4"/>
        <v>0</v>
      </c>
      <c r="J12" s="461">
        <f t="shared" si="4"/>
        <v>21.42</v>
      </c>
      <c r="K12" s="455">
        <f t="shared" si="4"/>
        <v>385.10000000000008</v>
      </c>
      <c r="L12" s="423">
        <f t="shared" si="4"/>
        <v>6579.3300000000008</v>
      </c>
      <c r="M12" s="424"/>
      <c r="P12" s="470">
        <f>-SUM(K12:M12)</f>
        <v>-6964.4300000000012</v>
      </c>
    </row>
    <row r="13" spans="1:36" x14ac:dyDescent="0.35">
      <c r="C13" s="432"/>
      <c r="D13" s="474"/>
      <c r="E13" s="375"/>
      <c r="F13" s="375"/>
      <c r="G13" s="375"/>
      <c r="H13" s="369"/>
      <c r="I13" s="375"/>
      <c r="J13" s="370"/>
      <c r="K13" s="385"/>
      <c r="L13" s="385"/>
      <c r="M13" s="383"/>
    </row>
    <row r="14" spans="1:36" x14ac:dyDescent="0.35">
      <c r="A14" s="363" t="s">
        <v>55</v>
      </c>
      <c r="C14" s="432"/>
      <c r="D14" s="474"/>
      <c r="E14" s="376"/>
      <c r="F14" s="376"/>
      <c r="G14" s="376"/>
      <c r="H14" s="430"/>
      <c r="I14" s="376"/>
      <c r="J14" s="462"/>
      <c r="K14" s="385"/>
      <c r="L14" s="385"/>
      <c r="M14" s="383"/>
      <c r="N14" s="412" t="s">
        <v>59</v>
      </c>
      <c r="O14" s="392"/>
    </row>
    <row r="15" spans="1:36" x14ac:dyDescent="0.35">
      <c r="A15" s="363" t="s">
        <v>22</v>
      </c>
      <c r="C15" s="471"/>
      <c r="D15" s="473"/>
      <c r="E15" s="445">
        <f>ROUND('[10]November 2024'!$G132,2)</f>
        <v>0</v>
      </c>
      <c r="F15" s="445">
        <f>ROUND('[10]December 2024'!$G132,2)</f>
        <v>0</v>
      </c>
      <c r="G15" s="445">
        <f>ROUND('[10]January 2025'!$G132,2)</f>
        <v>1.91</v>
      </c>
      <c r="H15" s="374">
        <f>ROUND('[10]February 2025'!$G132,2)</f>
        <v>16370.99</v>
      </c>
      <c r="I15" s="406">
        <f>ROUND('[10]March 2025'!$G132,2)</f>
        <v>12835.67</v>
      </c>
      <c r="J15" s="219">
        <f>ROUND('[10]April 2025'!$G132,2)</f>
        <v>8429.44</v>
      </c>
      <c r="K15" s="444">
        <f>ROUND('PCR Cycle 4'!K20*'TDR Cycle 4'!$N15,2)</f>
        <v>8877.6200000000008</v>
      </c>
      <c r="L15" s="394">
        <f>ROUND('PCR Cycle 4'!L20*'TDR Cycle 4'!$N15,2)</f>
        <v>11211.73</v>
      </c>
      <c r="M15" s="410">
        <f>ROUND('PCR Cycle 4'!M20*'TDR Cycle 4'!$N15,2)</f>
        <v>15558.76</v>
      </c>
      <c r="N15" s="420">
        <v>4.0000000000000003E-5</v>
      </c>
      <c r="O15" s="366"/>
      <c r="P15" s="470">
        <f t="shared" ref="P15:P18" si="5">-SUM(K15:M15)</f>
        <v>-35648.11</v>
      </c>
    </row>
    <row r="16" spans="1:36" x14ac:dyDescent="0.35">
      <c r="A16" s="363" t="s">
        <v>94</v>
      </c>
      <c r="C16" s="471"/>
      <c r="D16" s="473"/>
      <c r="E16" s="445">
        <f>ROUND('[10]November 2024'!$G133,2)</f>
        <v>0</v>
      </c>
      <c r="F16" s="445">
        <f>ROUND('[10]December 2024'!$G133,2)</f>
        <v>0</v>
      </c>
      <c r="G16" s="445">
        <f>ROUND('[10]January 2025'!$G133,2)</f>
        <v>0.98</v>
      </c>
      <c r="H16" s="374">
        <f>ROUND('[10]February 2025'!$G133,2)</f>
        <v>1381.03</v>
      </c>
      <c r="I16" s="406">
        <f>ROUND('[10]March 2025'!$G133,2)</f>
        <v>1165.22</v>
      </c>
      <c r="J16" s="219">
        <f>ROUND('[10]April 2025'!$G133,2)</f>
        <v>975.64</v>
      </c>
      <c r="K16" s="444">
        <f>ROUND('PCR Cycle 4'!K21*'TDR Cycle 4'!$N16,2)</f>
        <v>953.15</v>
      </c>
      <c r="L16" s="394">
        <f>ROUND('PCR Cycle 4'!L21*'TDR Cycle 4'!$N16,2)</f>
        <v>1063.8699999999999</v>
      </c>
      <c r="M16" s="410">
        <f>ROUND('PCR Cycle 4'!M21*'TDR Cycle 4'!$N16,2)</f>
        <v>1189.55</v>
      </c>
      <c r="N16" s="420">
        <v>1.0000000000000001E-5</v>
      </c>
      <c r="O16" s="366"/>
      <c r="P16" s="470">
        <f t="shared" si="5"/>
        <v>-3206.5699999999997</v>
      </c>
    </row>
    <row r="17" spans="1:16" x14ac:dyDescent="0.35">
      <c r="A17" s="363" t="s">
        <v>95</v>
      </c>
      <c r="C17" s="471"/>
      <c r="D17" s="473"/>
      <c r="E17" s="445">
        <f>ROUND('[10]November 2024'!$G134,2)</f>
        <v>0</v>
      </c>
      <c r="F17" s="445">
        <f>ROUND('[10]December 2024'!$G134,2)</f>
        <v>0</v>
      </c>
      <c r="G17" s="445">
        <f>ROUND('[10]January 2025'!$G134,2)</f>
        <v>0</v>
      </c>
      <c r="H17" s="374">
        <f>ROUND('[10]February 2025'!$G134,2)</f>
        <v>954.5</v>
      </c>
      <c r="I17" s="406">
        <f>ROUND('[10]March 2025'!$G134,2)</f>
        <v>841</v>
      </c>
      <c r="J17" s="219">
        <f>ROUND('[10]April 2025'!$G134,2)</f>
        <v>779.17</v>
      </c>
      <c r="K17" s="444">
        <f>ROUND('PCR Cycle 4'!K22*'TDR Cycle 4'!$N17,2)</f>
        <v>779.08</v>
      </c>
      <c r="L17" s="394">
        <f>ROUND('PCR Cycle 4'!L22*'TDR Cycle 4'!$N17,2)</f>
        <v>869.58</v>
      </c>
      <c r="M17" s="410">
        <f>ROUND('PCR Cycle 4'!M22*'TDR Cycle 4'!$N17,2)</f>
        <v>972.31</v>
      </c>
      <c r="N17" s="420">
        <v>1.0000000000000001E-5</v>
      </c>
      <c r="O17" s="366"/>
      <c r="P17" s="470">
        <f t="shared" si="5"/>
        <v>-2620.9700000000003</v>
      </c>
    </row>
    <row r="18" spans="1:16" x14ac:dyDescent="0.35">
      <c r="A18" s="363" t="s">
        <v>96</v>
      </c>
      <c r="C18" s="471"/>
      <c r="D18" s="473"/>
      <c r="E18" s="445">
        <f>ROUND('[10]November 2024'!$G135,2)</f>
        <v>0</v>
      </c>
      <c r="F18" s="445">
        <f>ROUND('[10]December 2024'!$G135,2)</f>
        <v>0</v>
      </c>
      <c r="G18" s="445">
        <f>ROUND('[10]January 2025'!$G135,2)</f>
        <v>0</v>
      </c>
      <c r="H18" s="374">
        <f>ROUND('[10]February 2025'!$G135,2)</f>
        <v>649.88</v>
      </c>
      <c r="I18" s="406">
        <f>ROUND('[10]March 2025'!$G135,2)</f>
        <v>638.26</v>
      </c>
      <c r="J18" s="219">
        <f>ROUND('[10]April 2025'!$G135,2)</f>
        <v>642.72</v>
      </c>
      <c r="K18" s="444">
        <f>ROUND('PCR Cycle 4'!K23*'TDR Cycle 4'!$N18,2)</f>
        <v>541.22</v>
      </c>
      <c r="L18" s="394">
        <f>ROUND('PCR Cycle 4'!L23*'TDR Cycle 4'!$N18,2)</f>
        <v>604.1</v>
      </c>
      <c r="M18" s="410">
        <f>ROUND('PCR Cycle 4'!M23*'TDR Cycle 4'!$N18,2)</f>
        <v>675.46</v>
      </c>
      <c r="N18" s="420">
        <v>1.0000000000000001E-5</v>
      </c>
      <c r="O18" s="366"/>
      <c r="P18" s="470">
        <f t="shared" si="5"/>
        <v>-1820.7800000000002</v>
      </c>
    </row>
    <row r="19" spans="1:16" x14ac:dyDescent="0.35">
      <c r="C19" s="416"/>
      <c r="D19" s="475"/>
      <c r="E19" s="417"/>
      <c r="F19" s="417"/>
      <c r="G19" s="417"/>
      <c r="H19" s="416"/>
      <c r="I19" s="417"/>
      <c r="J19" s="463"/>
      <c r="K19" s="407"/>
      <c r="L19" s="407"/>
      <c r="M19" s="371"/>
      <c r="O19" s="366"/>
    </row>
    <row r="20" spans="1:16" x14ac:dyDescent="0.35">
      <c r="A20" s="392" t="s">
        <v>58</v>
      </c>
      <c r="B20" s="392"/>
      <c r="C20" s="416"/>
      <c r="D20" s="475"/>
      <c r="E20" s="417"/>
      <c r="F20" s="417"/>
      <c r="G20" s="417"/>
      <c r="H20" s="416"/>
      <c r="I20" s="417"/>
      <c r="J20" s="464"/>
      <c r="K20" s="417"/>
      <c r="L20" s="417"/>
      <c r="M20" s="371"/>
      <c r="N20" s="368"/>
    </row>
    <row r="21" spans="1:16" x14ac:dyDescent="0.35">
      <c r="A21" s="363" t="s">
        <v>22</v>
      </c>
      <c r="C21" s="472"/>
      <c r="D21" s="476"/>
      <c r="E21" s="439"/>
      <c r="F21" s="439"/>
      <c r="G21" s="439">
        <f>ROUND('[17]Summary Monthly TD Calc'!B17,2)</f>
        <v>0</v>
      </c>
      <c r="H21" s="421">
        <f>ROUND('[17]Summary Monthly TD Calc'!C17,2)</f>
        <v>0</v>
      </c>
      <c r="I21" s="422">
        <f>ROUND('[17]Summary Monthly TD Calc'!D17,2)</f>
        <v>0</v>
      </c>
      <c r="J21" s="465">
        <f>ROUND('[17]Summary Monthly TD Calc'!E17,2)</f>
        <v>0</v>
      </c>
      <c r="K21" s="456">
        <f>ROUND('[17]Summary Monthly TD Calc'!F17,2)</f>
        <v>2752.34</v>
      </c>
      <c r="L21" s="449">
        <f>ROUND('[17]Summary Monthly TD Calc'!G17,2)</f>
        <v>43242.16</v>
      </c>
      <c r="M21" s="425"/>
      <c r="N21" s="408">
        <f>SUM(C21:L21)</f>
        <v>45994.5</v>
      </c>
      <c r="P21" s="470">
        <f t="shared" ref="P21:P24" si="6">-SUM(K21:M21)</f>
        <v>-45994.5</v>
      </c>
    </row>
    <row r="22" spans="1:16" x14ac:dyDescent="0.35">
      <c r="A22" s="363" t="s">
        <v>94</v>
      </c>
      <c r="C22" s="472"/>
      <c r="D22" s="476"/>
      <c r="E22" s="439"/>
      <c r="F22" s="439"/>
      <c r="G22" s="439">
        <f>ROUND('[17]Summary Monthly TD Calc'!B18,2)</f>
        <v>0</v>
      </c>
      <c r="H22" s="421">
        <f>ROUND('[17]Summary Monthly TD Calc'!C18,2)</f>
        <v>0</v>
      </c>
      <c r="I22" s="422">
        <f>ROUND('[17]Summary Monthly TD Calc'!D18,2)</f>
        <v>0</v>
      </c>
      <c r="J22" s="465">
        <f>ROUND('[17]Summary Monthly TD Calc'!E18,2)</f>
        <v>678.51</v>
      </c>
      <c r="K22" s="456">
        <f>ROUND('[17]Summary Monthly TD Calc'!F18,2)</f>
        <v>4263.07</v>
      </c>
      <c r="L22" s="449">
        <f>ROUND('[17]Summary Monthly TD Calc'!G18,2)</f>
        <v>26345.439999999999</v>
      </c>
      <c r="M22" s="425"/>
      <c r="N22" s="408">
        <f t="shared" ref="N22:N24" si="7">SUM(C22:L22)</f>
        <v>31287.019999999997</v>
      </c>
      <c r="P22" s="470">
        <f t="shared" si="6"/>
        <v>-30608.51</v>
      </c>
    </row>
    <row r="23" spans="1:16" x14ac:dyDescent="0.35">
      <c r="A23" s="363" t="s">
        <v>95</v>
      </c>
      <c r="C23" s="472"/>
      <c r="D23" s="476"/>
      <c r="E23" s="439"/>
      <c r="F23" s="439"/>
      <c r="G23" s="439">
        <f>ROUND('[17]Summary Monthly TD Calc'!B19,2)</f>
        <v>0</v>
      </c>
      <c r="H23" s="421">
        <f>ROUND('[17]Summary Monthly TD Calc'!C19,2)</f>
        <v>0</v>
      </c>
      <c r="I23" s="422">
        <f>ROUND('[17]Summary Monthly TD Calc'!D19,2)</f>
        <v>0</v>
      </c>
      <c r="J23" s="465">
        <f>ROUND('[17]Summary Monthly TD Calc'!E19,2)</f>
        <v>0</v>
      </c>
      <c r="K23" s="456">
        <f>ROUND('[17]Summary Monthly TD Calc'!F19,2)</f>
        <v>1961.43</v>
      </c>
      <c r="L23" s="449">
        <f>ROUND('[17]Summary Monthly TD Calc'!G19,2)</f>
        <v>18092.39</v>
      </c>
      <c r="M23" s="425"/>
      <c r="N23" s="408">
        <f t="shared" si="7"/>
        <v>20053.82</v>
      </c>
      <c r="P23" s="470">
        <f t="shared" si="6"/>
        <v>-20053.82</v>
      </c>
    </row>
    <row r="24" spans="1:16" x14ac:dyDescent="0.35">
      <c r="A24" s="363" t="s">
        <v>96</v>
      </c>
      <c r="C24" s="472"/>
      <c r="D24" s="476"/>
      <c r="E24" s="439"/>
      <c r="F24" s="439"/>
      <c r="G24" s="439">
        <f>ROUND('[17]Summary Monthly TD Calc'!B20,2)</f>
        <v>0</v>
      </c>
      <c r="H24" s="421">
        <f>ROUND('[17]Summary Monthly TD Calc'!C20,2)</f>
        <v>0</v>
      </c>
      <c r="I24" s="422">
        <f>ROUND('[17]Summary Monthly TD Calc'!D20,2)</f>
        <v>0</v>
      </c>
      <c r="J24" s="465">
        <f>ROUND('[17]Summary Monthly TD Calc'!E20,2)</f>
        <v>0</v>
      </c>
      <c r="K24" s="456">
        <f>ROUND('[17]Summary Monthly TD Calc'!F20,2)</f>
        <v>1187.07</v>
      </c>
      <c r="L24" s="449">
        <f>ROUND('[17]Summary Monthly TD Calc'!G20,2)</f>
        <v>10949.66</v>
      </c>
      <c r="M24" s="425"/>
      <c r="N24" s="408">
        <f t="shared" si="7"/>
        <v>12136.73</v>
      </c>
      <c r="P24" s="470">
        <f t="shared" si="6"/>
        <v>-12136.73</v>
      </c>
    </row>
    <row r="25" spans="1:16" x14ac:dyDescent="0.35">
      <c r="C25" s="416"/>
      <c r="D25" s="475"/>
      <c r="E25" s="305"/>
      <c r="F25" s="305"/>
      <c r="G25" s="390"/>
      <c r="H25" s="389"/>
      <c r="I25" s="305"/>
      <c r="J25" s="466"/>
      <c r="K25" s="403"/>
      <c r="L25" s="407"/>
      <c r="M25" s="371"/>
    </row>
    <row r="26" spans="1:16" x14ac:dyDescent="0.35">
      <c r="A26" s="363" t="s">
        <v>60</v>
      </c>
      <c r="C26" s="389"/>
      <c r="D26" s="477"/>
      <c r="E26" s="390"/>
      <c r="F26" s="390"/>
      <c r="G26" s="390"/>
      <c r="H26" s="389"/>
      <c r="I26" s="390"/>
      <c r="J26" s="466"/>
      <c r="K26" s="403"/>
      <c r="L26" s="403"/>
      <c r="M26" s="391"/>
    </row>
    <row r="27" spans="1:16" x14ac:dyDescent="0.35">
      <c r="A27" s="363" t="s">
        <v>22</v>
      </c>
      <c r="C27" s="471"/>
      <c r="D27" s="476"/>
      <c r="E27" s="437"/>
      <c r="F27" s="437"/>
      <c r="G27" s="437">
        <f>ROUND('[17]Summary Monthly TD Calc'!B3,2)</f>
        <v>0</v>
      </c>
      <c r="H27" s="374">
        <f>ROUND('[17]Summary Monthly TD Calc'!C3,2)</f>
        <v>0</v>
      </c>
      <c r="I27" s="406">
        <f>ROUND('[17]Summary Monthly TD Calc'!D3,2)</f>
        <v>0</v>
      </c>
      <c r="J27" s="219">
        <f>ROUND('[17]Summary Monthly TD Calc'!E3,2)</f>
        <v>0</v>
      </c>
      <c r="K27" s="455">
        <f>ROUND('[17]Summary Monthly TD Calc'!F3,2)</f>
        <v>180.3</v>
      </c>
      <c r="L27" s="423">
        <f>ROUND('[17]Summary Monthly TD Calc'!G3,2)</f>
        <v>4349.42</v>
      </c>
      <c r="M27" s="424"/>
      <c r="P27" s="470">
        <f t="shared" ref="P27:P32" si="8">-SUM(K27:M27)</f>
        <v>-4529.72</v>
      </c>
    </row>
    <row r="28" spans="1:16" x14ac:dyDescent="0.35">
      <c r="A28" s="363" t="s">
        <v>94</v>
      </c>
      <c r="C28" s="471"/>
      <c r="D28" s="476"/>
      <c r="E28" s="437"/>
      <c r="F28" s="437"/>
      <c r="G28" s="437">
        <f>ROUND('[17]Summary Monthly TD Calc'!B4,2)</f>
        <v>0</v>
      </c>
      <c r="H28" s="374">
        <f>ROUND('[17]Summary Monthly TD Calc'!C4,2)</f>
        <v>0</v>
      </c>
      <c r="I28" s="406">
        <f>ROUND('[17]Summary Monthly TD Calc'!D4,2)</f>
        <v>0</v>
      </c>
      <c r="J28" s="219">
        <f>ROUND('[17]Summary Monthly TD Calc'!E4,2)</f>
        <v>21.42</v>
      </c>
      <c r="K28" s="455">
        <f>ROUND('[17]Summary Monthly TD Calc'!F4,2)</f>
        <v>141.61000000000001</v>
      </c>
      <c r="L28" s="423">
        <f>ROUND('[17]Summary Monthly TD Calc'!G4,2)</f>
        <v>1438.87</v>
      </c>
      <c r="M28" s="424"/>
      <c r="P28" s="470">
        <f t="shared" si="8"/>
        <v>-1580.48</v>
      </c>
    </row>
    <row r="29" spans="1:16" x14ac:dyDescent="0.35">
      <c r="A29" s="363" t="s">
        <v>95</v>
      </c>
      <c r="C29" s="471"/>
      <c r="D29" s="476"/>
      <c r="E29" s="437"/>
      <c r="F29" s="437"/>
      <c r="G29" s="437">
        <f>ROUND('[17]Summary Monthly TD Calc'!B5,2)</f>
        <v>0</v>
      </c>
      <c r="H29" s="374">
        <f>ROUND('[17]Summary Monthly TD Calc'!C5,2)</f>
        <v>0</v>
      </c>
      <c r="I29" s="406">
        <f>ROUND('[17]Summary Monthly TD Calc'!D5,2)</f>
        <v>0</v>
      </c>
      <c r="J29" s="219">
        <f>ROUND('[17]Summary Monthly TD Calc'!E5,2)</f>
        <v>0</v>
      </c>
      <c r="K29" s="455">
        <f>ROUND('[17]Summary Monthly TD Calc'!F5,2)</f>
        <v>52.28</v>
      </c>
      <c r="L29" s="423">
        <f>ROUND('[17]Summary Monthly TD Calc'!G5,2)</f>
        <v>640.48</v>
      </c>
      <c r="M29" s="424"/>
      <c r="P29" s="470">
        <f t="shared" si="8"/>
        <v>-692.76</v>
      </c>
    </row>
    <row r="30" spans="1:16" x14ac:dyDescent="0.35">
      <c r="A30" s="363" t="s">
        <v>96</v>
      </c>
      <c r="C30" s="471"/>
      <c r="D30" s="476"/>
      <c r="E30" s="437"/>
      <c r="F30" s="437"/>
      <c r="G30" s="437">
        <f>ROUND('[17]Summary Monthly TD Calc'!B6,2)</f>
        <v>0</v>
      </c>
      <c r="H30" s="374">
        <f>ROUND('[17]Summary Monthly TD Calc'!C6,2)</f>
        <v>0</v>
      </c>
      <c r="I30" s="406">
        <f>ROUND('[17]Summary Monthly TD Calc'!D6,2)</f>
        <v>0</v>
      </c>
      <c r="J30" s="219">
        <f>ROUND('[17]Summary Monthly TD Calc'!E6,2)</f>
        <v>0</v>
      </c>
      <c r="K30" s="455">
        <f>ROUND('[17]Summary Monthly TD Calc'!F6,2)</f>
        <v>10.91</v>
      </c>
      <c r="L30" s="423">
        <f>ROUND('[17]Summary Monthly TD Calc'!G6,2)</f>
        <v>150.56</v>
      </c>
      <c r="M30" s="424"/>
      <c r="O30" s="399"/>
      <c r="P30" s="470">
        <f t="shared" si="8"/>
        <v>-161.47</v>
      </c>
    </row>
    <row r="31" spans="1:16" x14ac:dyDescent="0.35">
      <c r="C31" s="432"/>
      <c r="D31" s="474"/>
      <c r="E31" s="326"/>
      <c r="F31" s="376"/>
      <c r="G31" s="376"/>
      <c r="H31" s="430"/>
      <c r="I31" s="376"/>
      <c r="J31" s="462"/>
      <c r="K31" s="407"/>
      <c r="L31" s="407"/>
      <c r="M31" s="371"/>
    </row>
    <row r="32" spans="1:16" ht="15" thickBot="1" x14ac:dyDescent="0.4">
      <c r="A32" s="365" t="s">
        <v>13</v>
      </c>
      <c r="B32" s="365"/>
      <c r="C32" s="510"/>
      <c r="D32" s="478"/>
      <c r="E32" s="445">
        <v>0</v>
      </c>
      <c r="F32" s="445">
        <v>0</v>
      </c>
      <c r="G32" s="446">
        <v>0</v>
      </c>
      <c r="H32" s="381">
        <v>-44.7</v>
      </c>
      <c r="I32" s="443">
        <v>-125.44</v>
      </c>
      <c r="J32" s="467">
        <v>-187.02</v>
      </c>
      <c r="K32" s="457">
        <f>ROUND((SUM(J41:J44)+SUM(J48:J51)+SUM(K35:K38)/2)*K$46,2)+0.01</f>
        <v>-237.78</v>
      </c>
      <c r="L32" s="450">
        <f>ROUND((SUM(K41:K44)+SUM(K48:K51)+SUM(L35:L38)/2)*L$46,2)</f>
        <v>-280.39999999999998</v>
      </c>
      <c r="M32" s="426"/>
      <c r="P32" s="470">
        <f t="shared" si="8"/>
        <v>518.17999999999995</v>
      </c>
    </row>
    <row r="33" spans="1:16" x14ac:dyDescent="0.35">
      <c r="C33" s="413"/>
      <c r="D33" s="481"/>
      <c r="E33" s="415"/>
      <c r="F33" s="415"/>
      <c r="G33" s="386"/>
      <c r="H33" s="413"/>
      <c r="I33" s="386"/>
      <c r="J33" s="468"/>
      <c r="K33" s="387"/>
      <c r="L33" s="387"/>
      <c r="M33" s="409"/>
    </row>
    <row r="34" spans="1:16" x14ac:dyDescent="0.35">
      <c r="A34" s="363" t="s">
        <v>46</v>
      </c>
      <c r="C34" s="414"/>
      <c r="D34" s="482"/>
      <c r="E34" s="388"/>
      <c r="F34" s="388"/>
      <c r="G34" s="388"/>
      <c r="H34" s="414"/>
      <c r="I34" s="388"/>
      <c r="J34" s="469"/>
      <c r="K34" s="387"/>
      <c r="L34" s="387"/>
      <c r="M34" s="409"/>
    </row>
    <row r="35" spans="1:16" x14ac:dyDescent="0.35">
      <c r="A35" s="363" t="s">
        <v>22</v>
      </c>
      <c r="C35" s="479">
        <f t="shared" ref="C35:M38" si="9">C27-C15</f>
        <v>0</v>
      </c>
      <c r="D35" s="483">
        <f t="shared" si="9"/>
        <v>0</v>
      </c>
      <c r="E35" s="394">
        <f t="shared" si="9"/>
        <v>0</v>
      </c>
      <c r="F35" s="394">
        <f t="shared" si="9"/>
        <v>0</v>
      </c>
      <c r="G35" s="436">
        <f t="shared" si="9"/>
        <v>-1.91</v>
      </c>
      <c r="H35" s="393">
        <f t="shared" si="9"/>
        <v>-16370.99</v>
      </c>
      <c r="I35" s="394">
        <f t="shared" si="9"/>
        <v>-12835.67</v>
      </c>
      <c r="J35" s="410">
        <f t="shared" si="9"/>
        <v>-8429.44</v>
      </c>
      <c r="K35" s="444">
        <f t="shared" si="9"/>
        <v>-8697.3200000000015</v>
      </c>
      <c r="L35" s="394">
        <f t="shared" si="9"/>
        <v>-6862.3099999999995</v>
      </c>
      <c r="M35" s="410">
        <f t="shared" si="9"/>
        <v>-15558.76</v>
      </c>
    </row>
    <row r="36" spans="1:16" x14ac:dyDescent="0.35">
      <c r="A36" s="363" t="s">
        <v>94</v>
      </c>
      <c r="C36" s="479">
        <f t="shared" si="9"/>
        <v>0</v>
      </c>
      <c r="D36" s="483">
        <f t="shared" si="9"/>
        <v>0</v>
      </c>
      <c r="E36" s="394">
        <f t="shared" si="9"/>
        <v>0</v>
      </c>
      <c r="F36" s="394">
        <f t="shared" si="9"/>
        <v>0</v>
      </c>
      <c r="G36" s="436">
        <f t="shared" si="9"/>
        <v>-0.98</v>
      </c>
      <c r="H36" s="393">
        <f t="shared" si="9"/>
        <v>-1381.03</v>
      </c>
      <c r="I36" s="394">
        <f t="shared" si="9"/>
        <v>-1165.22</v>
      </c>
      <c r="J36" s="410">
        <f t="shared" si="9"/>
        <v>-954.22</v>
      </c>
      <c r="K36" s="444">
        <f t="shared" si="9"/>
        <v>-811.54</v>
      </c>
      <c r="L36" s="394">
        <f t="shared" si="9"/>
        <v>375</v>
      </c>
      <c r="M36" s="410">
        <f t="shared" si="9"/>
        <v>-1189.55</v>
      </c>
    </row>
    <row r="37" spans="1:16" x14ac:dyDescent="0.35">
      <c r="A37" s="363" t="s">
        <v>95</v>
      </c>
      <c r="C37" s="479">
        <f t="shared" si="9"/>
        <v>0</v>
      </c>
      <c r="D37" s="483">
        <f t="shared" si="9"/>
        <v>0</v>
      </c>
      <c r="E37" s="394">
        <f t="shared" si="9"/>
        <v>0</v>
      </c>
      <c r="F37" s="394">
        <f t="shared" si="9"/>
        <v>0</v>
      </c>
      <c r="G37" s="436">
        <f t="shared" si="9"/>
        <v>0</v>
      </c>
      <c r="H37" s="393">
        <f t="shared" si="9"/>
        <v>-954.5</v>
      </c>
      <c r="I37" s="394">
        <f t="shared" si="9"/>
        <v>-841</v>
      </c>
      <c r="J37" s="410">
        <f t="shared" si="9"/>
        <v>-779.17</v>
      </c>
      <c r="K37" s="444">
        <f t="shared" si="9"/>
        <v>-726.80000000000007</v>
      </c>
      <c r="L37" s="394">
        <f t="shared" si="9"/>
        <v>-229.10000000000002</v>
      </c>
      <c r="M37" s="410">
        <f t="shared" si="9"/>
        <v>-972.31</v>
      </c>
    </row>
    <row r="38" spans="1:16" x14ac:dyDescent="0.35">
      <c r="A38" s="363" t="s">
        <v>96</v>
      </c>
      <c r="C38" s="479">
        <f t="shared" si="9"/>
        <v>0</v>
      </c>
      <c r="D38" s="483">
        <f t="shared" si="9"/>
        <v>0</v>
      </c>
      <c r="E38" s="394">
        <f t="shared" si="9"/>
        <v>0</v>
      </c>
      <c r="F38" s="394">
        <f t="shared" si="9"/>
        <v>0</v>
      </c>
      <c r="G38" s="436">
        <f t="shared" si="9"/>
        <v>0</v>
      </c>
      <c r="H38" s="393">
        <f t="shared" si="9"/>
        <v>-649.88</v>
      </c>
      <c r="I38" s="394">
        <f t="shared" si="9"/>
        <v>-638.26</v>
      </c>
      <c r="J38" s="410">
        <f t="shared" si="9"/>
        <v>-642.72</v>
      </c>
      <c r="K38" s="444">
        <f t="shared" si="9"/>
        <v>-530.31000000000006</v>
      </c>
      <c r="L38" s="394">
        <f t="shared" si="9"/>
        <v>-453.54</v>
      </c>
      <c r="M38" s="410">
        <f t="shared" si="9"/>
        <v>-675.46</v>
      </c>
    </row>
    <row r="39" spans="1:16" x14ac:dyDescent="0.35">
      <c r="C39" s="432"/>
      <c r="D39" s="474"/>
      <c r="E39" s="385"/>
      <c r="F39" s="375"/>
      <c r="G39" s="375"/>
      <c r="H39" s="369"/>
      <c r="I39" s="375"/>
      <c r="J39" s="370"/>
      <c r="K39" s="375"/>
      <c r="L39" s="375"/>
      <c r="M39" s="370"/>
    </row>
    <row r="40" spans="1:16" ht="15" thickBot="1" x14ac:dyDescent="0.4">
      <c r="A40" s="363" t="s">
        <v>47</v>
      </c>
      <c r="C40" s="432"/>
      <c r="D40" s="474"/>
      <c r="E40" s="375"/>
      <c r="F40" s="375"/>
      <c r="G40" s="375"/>
      <c r="H40" s="369"/>
      <c r="I40" s="375"/>
      <c r="J40" s="370"/>
      <c r="K40" s="375"/>
      <c r="L40" s="375"/>
      <c r="M40" s="370"/>
    </row>
    <row r="41" spans="1:16" x14ac:dyDescent="0.35">
      <c r="A41" s="363" t="s">
        <v>22</v>
      </c>
      <c r="B41" s="500"/>
      <c r="C41" s="479">
        <f t="shared" ref="C41:M44" si="10">+B41+C35+B48</f>
        <v>0</v>
      </c>
      <c r="D41" s="483">
        <f t="shared" si="10"/>
        <v>0</v>
      </c>
      <c r="E41" s="394">
        <f t="shared" si="10"/>
        <v>0</v>
      </c>
      <c r="F41" s="394">
        <f t="shared" si="10"/>
        <v>0</v>
      </c>
      <c r="G41" s="436">
        <f t="shared" si="10"/>
        <v>-1.91</v>
      </c>
      <c r="H41" s="393">
        <f t="shared" si="10"/>
        <v>-16372.9</v>
      </c>
      <c r="I41" s="394">
        <f t="shared" si="10"/>
        <v>-29246.38</v>
      </c>
      <c r="J41" s="410">
        <f t="shared" si="10"/>
        <v>-37781.32</v>
      </c>
      <c r="K41" s="444">
        <f t="shared" si="10"/>
        <v>-46633.979999999996</v>
      </c>
      <c r="L41" s="394">
        <f t="shared" si="10"/>
        <v>-53691.969999999994</v>
      </c>
      <c r="M41" s="410">
        <f t="shared" si="10"/>
        <v>-69483.319999999992</v>
      </c>
    </row>
    <row r="42" spans="1:16" x14ac:dyDescent="0.35">
      <c r="A42" s="363" t="s">
        <v>94</v>
      </c>
      <c r="B42" s="502"/>
      <c r="C42" s="479">
        <f t="shared" si="10"/>
        <v>0</v>
      </c>
      <c r="D42" s="483">
        <f t="shared" si="10"/>
        <v>0</v>
      </c>
      <c r="E42" s="394">
        <f t="shared" si="10"/>
        <v>0</v>
      </c>
      <c r="F42" s="394">
        <f t="shared" si="10"/>
        <v>0</v>
      </c>
      <c r="G42" s="436">
        <f t="shared" si="10"/>
        <v>-0.98</v>
      </c>
      <c r="H42" s="393">
        <f t="shared" si="10"/>
        <v>-1382.01</v>
      </c>
      <c r="I42" s="394">
        <f t="shared" si="10"/>
        <v>-2550.42</v>
      </c>
      <c r="J42" s="410">
        <f t="shared" si="10"/>
        <v>-3513.7300000000005</v>
      </c>
      <c r="K42" s="444">
        <f t="shared" si="10"/>
        <v>-4339.3200000000006</v>
      </c>
      <c r="L42" s="394">
        <f t="shared" si="10"/>
        <v>-3982.5200000000004</v>
      </c>
      <c r="M42" s="410">
        <f t="shared" si="10"/>
        <v>-5191.3700000000008</v>
      </c>
    </row>
    <row r="43" spans="1:16" x14ac:dyDescent="0.35">
      <c r="A43" s="363" t="s">
        <v>95</v>
      </c>
      <c r="B43" s="502"/>
      <c r="C43" s="479">
        <f t="shared" si="10"/>
        <v>0</v>
      </c>
      <c r="D43" s="483">
        <f t="shared" si="10"/>
        <v>0</v>
      </c>
      <c r="E43" s="394">
        <f t="shared" si="10"/>
        <v>0</v>
      </c>
      <c r="F43" s="394">
        <f t="shared" si="10"/>
        <v>0</v>
      </c>
      <c r="G43" s="436">
        <f t="shared" si="10"/>
        <v>0</v>
      </c>
      <c r="H43" s="393">
        <f t="shared" si="10"/>
        <v>-954.5</v>
      </c>
      <c r="I43" s="394">
        <f t="shared" si="10"/>
        <v>-1797.7</v>
      </c>
      <c r="J43" s="410">
        <f t="shared" si="10"/>
        <v>-2583.23</v>
      </c>
      <c r="K43" s="444">
        <f t="shared" si="10"/>
        <v>-3320.1800000000003</v>
      </c>
      <c r="L43" s="394">
        <f t="shared" si="10"/>
        <v>-3562.96</v>
      </c>
      <c r="M43" s="410">
        <f t="shared" si="10"/>
        <v>-4551.2300000000005</v>
      </c>
    </row>
    <row r="44" spans="1:16" ht="15" thickBot="1" x14ac:dyDescent="0.4">
      <c r="A44" s="363" t="s">
        <v>96</v>
      </c>
      <c r="B44" s="501"/>
      <c r="C44" s="479">
        <f t="shared" si="10"/>
        <v>0</v>
      </c>
      <c r="D44" s="483">
        <f t="shared" si="10"/>
        <v>0</v>
      </c>
      <c r="E44" s="394">
        <f t="shared" si="10"/>
        <v>0</v>
      </c>
      <c r="F44" s="394">
        <f t="shared" si="10"/>
        <v>0</v>
      </c>
      <c r="G44" s="436">
        <f t="shared" si="10"/>
        <v>0</v>
      </c>
      <c r="H44" s="393">
        <f t="shared" si="10"/>
        <v>-649.88</v>
      </c>
      <c r="I44" s="394">
        <f t="shared" si="10"/>
        <v>-1289.6399999999999</v>
      </c>
      <c r="J44" s="410">
        <f t="shared" si="10"/>
        <v>-1936.85</v>
      </c>
      <c r="K44" s="444">
        <f t="shared" si="10"/>
        <v>-2474.64</v>
      </c>
      <c r="L44" s="394">
        <f t="shared" si="10"/>
        <v>-2938.3999999999996</v>
      </c>
      <c r="M44" s="410">
        <f t="shared" si="10"/>
        <v>-3626.41</v>
      </c>
    </row>
    <row r="45" spans="1:16" x14ac:dyDescent="0.35">
      <c r="C45" s="432"/>
      <c r="D45" s="474"/>
      <c r="E45" s="375"/>
      <c r="F45" s="375"/>
      <c r="G45" s="375"/>
      <c r="H45" s="369"/>
      <c r="I45" s="375"/>
      <c r="J45" s="370"/>
      <c r="K45" s="375"/>
      <c r="L45" s="375"/>
      <c r="M45" s="370"/>
    </row>
    <row r="46" spans="1:16" x14ac:dyDescent="0.35">
      <c r="A46" s="392" t="s">
        <v>108</v>
      </c>
      <c r="B46" s="392"/>
      <c r="C46" s="433"/>
      <c r="D46" s="484"/>
      <c r="E46" s="292">
        <f>+'PCR Cycle 3'!E45</f>
        <v>4.8565300000000004E-3</v>
      </c>
      <c r="F46" s="292">
        <f>+'PCR Cycle 3'!F45</f>
        <v>4.6890200000000003E-3</v>
      </c>
      <c r="G46" s="292">
        <f>+'PCR Cycle 3'!G45</f>
        <v>4.6108499999999997E-3</v>
      </c>
      <c r="H46" s="293">
        <f>+'PCR Cycle 3'!H45</f>
        <v>4.6177400000000004E-3</v>
      </c>
      <c r="I46" s="292">
        <f>+'PCR Cycle 3'!I45</f>
        <v>4.62145E-3</v>
      </c>
      <c r="J46" s="294">
        <f>+'PCR Cycle 3'!J45</f>
        <v>4.6276800000000003E-3</v>
      </c>
      <c r="K46" s="427">
        <f>J46</f>
        <v>4.6276800000000003E-3</v>
      </c>
      <c r="L46" s="427">
        <f>J46</f>
        <v>4.6276800000000003E-3</v>
      </c>
      <c r="M46" s="429"/>
    </row>
    <row r="47" spans="1:16" x14ac:dyDescent="0.35">
      <c r="A47" s="392" t="s">
        <v>31</v>
      </c>
      <c r="B47" s="392"/>
      <c r="C47" s="435"/>
      <c r="D47" s="485"/>
      <c r="E47" s="427"/>
      <c r="F47" s="427"/>
      <c r="G47" s="427"/>
      <c r="H47" s="428"/>
      <c r="I47" s="427"/>
      <c r="J47" s="429"/>
      <c r="K47" s="427"/>
      <c r="L47" s="427"/>
      <c r="M47" s="429"/>
    </row>
    <row r="48" spans="1:16" x14ac:dyDescent="0.35">
      <c r="A48" s="363" t="s">
        <v>22</v>
      </c>
      <c r="C48" s="511"/>
      <c r="D48" s="354"/>
      <c r="E48" s="394">
        <f t="shared" ref="E48:M51" si="11">ROUND((D41+D48+E35/2)*E$46,2)</f>
        <v>0</v>
      </c>
      <c r="F48" s="394">
        <f t="shared" si="11"/>
        <v>0</v>
      </c>
      <c r="G48" s="436">
        <f t="shared" si="11"/>
        <v>0</v>
      </c>
      <c r="H48" s="393">
        <f t="shared" si="11"/>
        <v>-37.81</v>
      </c>
      <c r="I48" s="444">
        <f t="shared" si="11"/>
        <v>-105.5</v>
      </c>
      <c r="J48" s="410">
        <f t="shared" si="11"/>
        <v>-155.34</v>
      </c>
      <c r="K48" s="458">
        <f t="shared" si="11"/>
        <v>-195.68</v>
      </c>
      <c r="L48" s="436">
        <f t="shared" si="11"/>
        <v>-232.59</v>
      </c>
      <c r="M48" s="410">
        <f t="shared" si="11"/>
        <v>0</v>
      </c>
      <c r="P48" s="470">
        <f t="shared" ref="P48:P51" si="12">-SUM(K48:M48)</f>
        <v>428.27</v>
      </c>
    </row>
    <row r="49" spans="1:18" x14ac:dyDescent="0.35">
      <c r="A49" s="363" t="s">
        <v>94</v>
      </c>
      <c r="C49" s="511"/>
      <c r="D49" s="354"/>
      <c r="E49" s="394">
        <f t="shared" si="11"/>
        <v>0</v>
      </c>
      <c r="F49" s="394">
        <f t="shared" si="11"/>
        <v>0</v>
      </c>
      <c r="G49" s="436">
        <f t="shared" si="11"/>
        <v>0</v>
      </c>
      <c r="H49" s="393">
        <f t="shared" si="11"/>
        <v>-3.19</v>
      </c>
      <c r="I49" s="444">
        <f t="shared" si="11"/>
        <v>-9.09</v>
      </c>
      <c r="J49" s="410">
        <f t="shared" si="11"/>
        <v>-14.05</v>
      </c>
      <c r="K49" s="458">
        <f t="shared" si="11"/>
        <v>-18.2</v>
      </c>
      <c r="L49" s="436">
        <f t="shared" si="11"/>
        <v>-19.3</v>
      </c>
      <c r="M49" s="410"/>
      <c r="P49" s="470">
        <f t="shared" si="12"/>
        <v>37.5</v>
      </c>
    </row>
    <row r="50" spans="1:18" x14ac:dyDescent="0.35">
      <c r="A50" s="363" t="s">
        <v>95</v>
      </c>
      <c r="C50" s="511"/>
      <c r="D50" s="354"/>
      <c r="E50" s="394">
        <f t="shared" si="11"/>
        <v>0</v>
      </c>
      <c r="F50" s="394">
        <f t="shared" si="11"/>
        <v>0</v>
      </c>
      <c r="G50" s="436">
        <f t="shared" si="11"/>
        <v>0</v>
      </c>
      <c r="H50" s="393">
        <f t="shared" si="11"/>
        <v>-2.2000000000000002</v>
      </c>
      <c r="I50" s="444">
        <f t="shared" si="11"/>
        <v>-6.36</v>
      </c>
      <c r="J50" s="410">
        <f t="shared" si="11"/>
        <v>-10.15</v>
      </c>
      <c r="K50" s="458">
        <f t="shared" si="11"/>
        <v>-13.68</v>
      </c>
      <c r="L50" s="436">
        <f t="shared" si="11"/>
        <v>-15.96</v>
      </c>
      <c r="M50" s="410"/>
      <c r="P50" s="470">
        <f t="shared" si="12"/>
        <v>29.64</v>
      </c>
    </row>
    <row r="51" spans="1:18" ht="15" thickBot="1" x14ac:dyDescent="0.4">
      <c r="A51" s="363" t="s">
        <v>96</v>
      </c>
      <c r="C51" s="511"/>
      <c r="D51" s="354"/>
      <c r="E51" s="394">
        <f t="shared" si="11"/>
        <v>0</v>
      </c>
      <c r="F51" s="394">
        <f t="shared" si="11"/>
        <v>0</v>
      </c>
      <c r="G51" s="436">
        <f t="shared" si="11"/>
        <v>0</v>
      </c>
      <c r="H51" s="393">
        <f t="shared" si="11"/>
        <v>-1.5</v>
      </c>
      <c r="I51" s="444">
        <f t="shared" si="11"/>
        <v>-4.49</v>
      </c>
      <c r="J51" s="410">
        <f t="shared" si="11"/>
        <v>-7.48</v>
      </c>
      <c r="K51" s="458">
        <f t="shared" si="11"/>
        <v>-10.220000000000001</v>
      </c>
      <c r="L51" s="436">
        <f t="shared" si="11"/>
        <v>-12.55</v>
      </c>
      <c r="M51" s="410">
        <f>ROUND((L44+L51+M38/2)*M$46,2)</f>
        <v>0</v>
      </c>
      <c r="P51" s="470">
        <f t="shared" si="12"/>
        <v>22.770000000000003</v>
      </c>
    </row>
    <row r="52" spans="1:18" ht="15.5" thickTop="1" thickBot="1" x14ac:dyDescent="0.4">
      <c r="A52" s="405" t="s">
        <v>20</v>
      </c>
      <c r="B52" s="405"/>
      <c r="C52" s="480">
        <v>0</v>
      </c>
      <c r="D52" s="486"/>
      <c r="E52" s="395">
        <f t="shared" ref="E52:M52" si="13">SUM(E48:E51)+SUM(E41:E44)-E55</f>
        <v>0</v>
      </c>
      <c r="F52" s="395">
        <f t="shared" si="13"/>
        <v>0</v>
      </c>
      <c r="G52" s="401">
        <f t="shared" si="13"/>
        <v>0</v>
      </c>
      <c r="H52" s="402">
        <f t="shared" si="13"/>
        <v>0</v>
      </c>
      <c r="I52" s="395">
        <f t="shared" si="13"/>
        <v>0</v>
      </c>
      <c r="J52" s="411">
        <f t="shared" si="13"/>
        <v>0</v>
      </c>
      <c r="K52" s="459">
        <f t="shared" si="13"/>
        <v>0</v>
      </c>
      <c r="L52" s="401">
        <f t="shared" si="13"/>
        <v>0</v>
      </c>
      <c r="M52" s="411">
        <f t="shared" si="13"/>
        <v>0</v>
      </c>
    </row>
    <row r="53" spans="1:18" ht="15.5" thickTop="1" thickBot="1" x14ac:dyDescent="0.4">
      <c r="A53" s="405" t="s">
        <v>21</v>
      </c>
      <c r="B53" s="405"/>
      <c r="C53" s="480">
        <v>0</v>
      </c>
      <c r="D53" s="486"/>
      <c r="E53" s="395">
        <f t="shared" ref="E53:M53" si="14">SUM(E48:E51)-E32</f>
        <v>0</v>
      </c>
      <c r="F53" s="395">
        <f t="shared" si="14"/>
        <v>0</v>
      </c>
      <c r="G53" s="401">
        <f t="shared" si="14"/>
        <v>0</v>
      </c>
      <c r="H53" s="402">
        <f t="shared" si="14"/>
        <v>0</v>
      </c>
      <c r="I53" s="395">
        <f t="shared" si="14"/>
        <v>0</v>
      </c>
      <c r="J53" s="411">
        <f t="shared" si="14"/>
        <v>0</v>
      </c>
      <c r="K53" s="460">
        <f>SUM(K48:K51)-K32</f>
        <v>0</v>
      </c>
      <c r="L53" s="395">
        <f t="shared" si="14"/>
        <v>0</v>
      </c>
      <c r="M53" s="395">
        <f t="shared" si="14"/>
        <v>0</v>
      </c>
    </row>
    <row r="54" spans="1:18" ht="15.5" thickTop="1" thickBot="1" x14ac:dyDescent="0.4">
      <c r="C54" s="432"/>
      <c r="D54" s="474"/>
      <c r="E54" s="375"/>
      <c r="F54" s="375"/>
      <c r="G54" s="375"/>
      <c r="H54" s="369"/>
      <c r="I54" s="375"/>
      <c r="J54" s="370"/>
      <c r="K54" s="375"/>
      <c r="L54" s="375"/>
      <c r="M54" s="370"/>
      <c r="Q54" s="515"/>
      <c r="R54" s="515"/>
    </row>
    <row r="55" spans="1:18" ht="15" thickBot="1" x14ac:dyDescent="0.4">
      <c r="A55" s="363" t="s">
        <v>30</v>
      </c>
      <c r="B55" s="441">
        <f>SUM(B41:B44)</f>
        <v>0</v>
      </c>
      <c r="C55" s="479">
        <f t="shared" ref="C55:M55" si="15">(C12-SUM(C15:C18))+SUM(C48:C51)+B55</f>
        <v>0</v>
      </c>
      <c r="D55" s="483">
        <f t="shared" si="15"/>
        <v>0</v>
      </c>
      <c r="E55" s="394">
        <f t="shared" si="15"/>
        <v>0</v>
      </c>
      <c r="F55" s="394">
        <f t="shared" si="15"/>
        <v>0</v>
      </c>
      <c r="G55" s="436">
        <f t="shared" si="15"/>
        <v>-2.8899999999999997</v>
      </c>
      <c r="H55" s="393">
        <f t="shared" si="15"/>
        <v>-19403.990000000002</v>
      </c>
      <c r="I55" s="394">
        <f t="shared" si="15"/>
        <v>-35009.58</v>
      </c>
      <c r="J55" s="410">
        <f t="shared" si="15"/>
        <v>-46002.15</v>
      </c>
      <c r="K55" s="458">
        <f t="shared" si="15"/>
        <v>-57005.9</v>
      </c>
      <c r="L55" s="436">
        <f t="shared" si="15"/>
        <v>-64456.25</v>
      </c>
      <c r="M55" s="410">
        <f t="shared" si="15"/>
        <v>-82852.33</v>
      </c>
      <c r="Q55" s="515"/>
      <c r="R55" s="515"/>
    </row>
    <row r="56" spans="1:18" x14ac:dyDescent="0.35">
      <c r="A56" s="363" t="s">
        <v>10</v>
      </c>
      <c r="C56" s="442"/>
      <c r="D56" s="487"/>
      <c r="E56" s="375"/>
      <c r="F56" s="375"/>
      <c r="G56" s="375"/>
      <c r="H56" s="369"/>
      <c r="I56" s="375"/>
      <c r="J56" s="370"/>
      <c r="K56" s="375"/>
      <c r="L56" s="375"/>
      <c r="M56" s="370"/>
      <c r="Q56" s="515"/>
      <c r="R56" s="515"/>
    </row>
    <row r="57" spans="1:18" ht="15" thickBot="1" x14ac:dyDescent="0.4">
      <c r="A57" s="390"/>
      <c r="B57" s="390"/>
      <c r="C57" s="452"/>
      <c r="D57" s="488"/>
      <c r="E57" s="397"/>
      <c r="F57" s="397"/>
      <c r="G57" s="397"/>
      <c r="H57" s="396"/>
      <c r="I57" s="397"/>
      <c r="J57" s="398"/>
      <c r="K57" s="397"/>
      <c r="L57" s="397"/>
      <c r="M57" s="398"/>
      <c r="Q57" s="515"/>
      <c r="R57" s="515"/>
    </row>
    <row r="58" spans="1:18" x14ac:dyDescent="0.35">
      <c r="Q58" s="515"/>
      <c r="R58" s="515"/>
    </row>
    <row r="59" spans="1:18" x14ac:dyDescent="0.35">
      <c r="A59" s="418" t="s">
        <v>9</v>
      </c>
      <c r="B59" s="418"/>
      <c r="C59" s="418"/>
      <c r="D59" s="418"/>
      <c r="Q59" s="515"/>
      <c r="R59" s="515"/>
    </row>
    <row r="60" spans="1:18" ht="28.9" customHeight="1" x14ac:dyDescent="0.35">
      <c r="A60" s="529" t="s">
        <v>282</v>
      </c>
      <c r="B60" s="529"/>
      <c r="C60" s="529"/>
      <c r="D60" s="529"/>
      <c r="E60" s="529"/>
      <c r="F60" s="529"/>
      <c r="G60" s="529"/>
      <c r="H60" s="529"/>
      <c r="I60" s="529"/>
      <c r="J60" s="529"/>
      <c r="K60" s="522"/>
      <c r="L60" s="522"/>
      <c r="M60" s="451"/>
    </row>
    <row r="61" spans="1:18" ht="30.65" customHeight="1" x14ac:dyDescent="0.35">
      <c r="A61" s="548" t="s">
        <v>261</v>
      </c>
      <c r="B61" s="548"/>
      <c r="C61" s="548"/>
      <c r="D61" s="548"/>
      <c r="E61" s="548"/>
      <c r="F61" s="548"/>
      <c r="G61" s="548"/>
      <c r="H61" s="548"/>
      <c r="I61" s="548"/>
      <c r="J61" s="548"/>
      <c r="K61" s="548"/>
      <c r="L61" s="548"/>
      <c r="M61" s="451"/>
    </row>
    <row r="62" spans="1:18" ht="33.75" customHeight="1" x14ac:dyDescent="0.35">
      <c r="A62" s="529" t="s">
        <v>283</v>
      </c>
      <c r="B62" s="529"/>
      <c r="C62" s="529"/>
      <c r="D62" s="529"/>
      <c r="E62" s="529"/>
      <c r="F62" s="529"/>
      <c r="G62" s="529"/>
      <c r="H62" s="529"/>
      <c r="I62" s="529"/>
      <c r="J62" s="529"/>
      <c r="K62" s="522"/>
      <c r="L62" s="522"/>
      <c r="M62" s="451"/>
    </row>
    <row r="63" spans="1:18" x14ac:dyDescent="0.35">
      <c r="A63" s="529" t="s">
        <v>220</v>
      </c>
      <c r="B63" s="529"/>
      <c r="C63" s="529"/>
      <c r="D63" s="529"/>
      <c r="E63" s="529"/>
      <c r="F63" s="529"/>
      <c r="G63" s="529"/>
      <c r="H63" s="529"/>
      <c r="I63" s="529"/>
      <c r="J63" s="529"/>
      <c r="K63" s="392"/>
      <c r="L63" s="392"/>
    </row>
    <row r="64" spans="1:18" x14ac:dyDescent="0.35">
      <c r="A64" s="412" t="s">
        <v>264</v>
      </c>
      <c r="B64" s="412"/>
      <c r="C64" s="412"/>
      <c r="D64" s="412"/>
      <c r="E64" s="392"/>
      <c r="F64" s="392"/>
      <c r="G64" s="392"/>
      <c r="H64" s="392"/>
      <c r="I64" s="392"/>
      <c r="J64" s="392"/>
      <c r="K64" s="392"/>
      <c r="L64" s="392"/>
    </row>
    <row r="65" spans="1:12" x14ac:dyDescent="0.35">
      <c r="A65" s="412" t="s">
        <v>61</v>
      </c>
      <c r="B65" s="412"/>
      <c r="C65" s="412"/>
      <c r="D65" s="412"/>
      <c r="E65" s="392"/>
      <c r="F65" s="392"/>
      <c r="G65" s="392"/>
      <c r="H65" s="392"/>
      <c r="I65" s="392"/>
      <c r="J65" s="392"/>
      <c r="K65" s="392"/>
      <c r="L65" s="392"/>
    </row>
    <row r="66" spans="1:12" x14ac:dyDescent="0.35">
      <c r="A66" s="544"/>
      <c r="B66" s="545"/>
      <c r="C66" s="545"/>
      <c r="D66" s="545"/>
      <c r="E66" s="545"/>
      <c r="F66" s="545"/>
      <c r="G66" s="545"/>
      <c r="H66" s="546"/>
      <c r="I66" s="546"/>
      <c r="J66" s="546"/>
      <c r="K66" s="546"/>
      <c r="L66" s="392"/>
    </row>
    <row r="67" spans="1:12" x14ac:dyDescent="0.35">
      <c r="A67" s="545"/>
      <c r="B67" s="545"/>
      <c r="C67" s="545"/>
      <c r="D67" s="545"/>
      <c r="E67" s="545"/>
      <c r="F67" s="545"/>
      <c r="G67" s="545"/>
      <c r="H67" s="546"/>
      <c r="I67" s="546"/>
      <c r="J67" s="546"/>
      <c r="K67" s="546"/>
      <c r="L67" s="392"/>
    </row>
    <row r="68" spans="1:12" x14ac:dyDescent="0.35">
      <c r="A68" s="392"/>
      <c r="B68" s="392"/>
      <c r="C68" s="392"/>
      <c r="D68" s="392"/>
      <c r="E68" s="392"/>
      <c r="F68" s="392"/>
      <c r="G68" s="392"/>
      <c r="H68" s="392"/>
      <c r="I68" s="392"/>
      <c r="J68" s="392"/>
      <c r="K68" s="392"/>
      <c r="L68" s="392"/>
    </row>
    <row r="69" spans="1:12" x14ac:dyDescent="0.35">
      <c r="A69" s="392"/>
      <c r="B69" s="392"/>
      <c r="C69" s="392"/>
      <c r="D69" s="392"/>
      <c r="E69" s="392"/>
      <c r="F69" s="392"/>
      <c r="G69" s="392"/>
      <c r="H69" s="392"/>
      <c r="I69" s="392"/>
      <c r="J69" s="392"/>
      <c r="K69" s="392"/>
      <c r="L69" s="392"/>
    </row>
    <row r="70" spans="1:12" x14ac:dyDescent="0.35">
      <c r="A70" s="392"/>
      <c r="B70" s="392"/>
      <c r="C70" s="392"/>
      <c r="D70" s="392"/>
      <c r="E70" s="392"/>
      <c r="F70" s="392"/>
      <c r="G70" s="392"/>
      <c r="H70" s="392"/>
      <c r="I70" s="392"/>
      <c r="J70" s="392"/>
      <c r="K70" s="392"/>
      <c r="L70" s="392"/>
    </row>
  </sheetData>
  <mergeCells count="8">
    <mergeCell ref="A63:J63"/>
    <mergeCell ref="A66:K67"/>
    <mergeCell ref="E10:G10"/>
    <mergeCell ref="H10:J10"/>
    <mergeCell ref="K10:M10"/>
    <mergeCell ref="A60:J60"/>
    <mergeCell ref="A61:L61"/>
    <mergeCell ref="A62:J62"/>
  </mergeCells>
  <pageMargins left="0.2" right="0.2" top="0.75" bottom="0.25" header="0.3" footer="0.3"/>
  <pageSetup scale="49" orientation="landscape" r:id="rId1"/>
  <headerFooter>
    <oddHeader>&amp;C&amp;F &amp;A&amp;R&amp;"Arial"&amp;10&amp;K000000CONFIDENTIAL</oddHeader>
    <oddFooter xml:space="preserve">&amp;R_x000D_&amp;1#&amp;"Calibri"&amp;10&amp;KA80000 Restricted – Sensitive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97"/>
  <sheetViews>
    <sheetView zoomScale="85" zoomScaleNormal="85" workbookViewId="0">
      <pane ySplit="4" topLeftCell="A5" activePane="bottomLeft" state="frozen"/>
      <selection activeCell="E77" sqref="E77"/>
      <selection pane="bottomLeft" activeCell="A5" sqref="A5"/>
    </sheetView>
  </sheetViews>
  <sheetFormatPr defaultRowHeight="14.5" x14ac:dyDescent="0.35"/>
  <cols>
    <col min="1" max="1" width="23.7265625" customWidth="1"/>
    <col min="2" max="2" width="15.26953125" bestFit="1" customWidth="1"/>
    <col min="3" max="3" width="14.26953125" style="45" customWidth="1"/>
    <col min="4" max="4" width="13.26953125" bestFit="1" customWidth="1"/>
    <col min="5" max="5" width="9.7265625" bestFit="1" customWidth="1"/>
    <col min="6" max="6" width="12.54296875" bestFit="1" customWidth="1"/>
    <col min="7" max="7" width="13.1796875" customWidth="1"/>
    <col min="9" max="9" width="10.453125" bestFit="1" customWidth="1"/>
    <col min="11" max="11" width="9.453125" bestFit="1" customWidth="1"/>
  </cols>
  <sheetData>
    <row r="1" spans="1:7" x14ac:dyDescent="0.35">
      <c r="A1" s="62" t="str">
        <f>+'PTD Cycle 3'!A1</f>
        <v>Evergy Missouri West, Inc. - DSIM Rider Update Filed 06/02/2025</v>
      </c>
      <c r="B1" s="45"/>
      <c r="D1" s="45"/>
      <c r="E1" s="45"/>
    </row>
    <row r="2" spans="1:7" x14ac:dyDescent="0.35">
      <c r="A2" s="8" t="str">
        <f>+SUBSTITUTE('PTD Cycle 3'!A2,"Cycle 3","Cycle 2")</f>
        <v>Projections for Cycle 2 July 2025 - June 2026 DSIM</v>
      </c>
      <c r="B2" s="45"/>
      <c r="D2" s="45"/>
      <c r="E2" s="45"/>
    </row>
    <row r="3" spans="1:7" ht="45.75" customHeight="1" x14ac:dyDescent="0.35">
      <c r="A3" s="45"/>
      <c r="B3" s="527" t="s">
        <v>85</v>
      </c>
      <c r="C3" s="527"/>
      <c r="D3" s="527"/>
      <c r="E3" s="45"/>
    </row>
    <row r="4" spans="1:7" ht="87" x14ac:dyDescent="0.35">
      <c r="A4" s="45"/>
      <c r="B4" s="69" t="s">
        <v>87</v>
      </c>
      <c r="C4" s="69" t="s">
        <v>88</v>
      </c>
      <c r="D4" s="69" t="s">
        <v>91</v>
      </c>
      <c r="E4" s="69" t="s">
        <v>89</v>
      </c>
      <c r="F4" s="69" t="s">
        <v>86</v>
      </c>
      <c r="G4" s="69" t="s">
        <v>92</v>
      </c>
    </row>
    <row r="5" spans="1:7" s="45" customFormat="1" x14ac:dyDescent="0.35">
      <c r="A5" s="19"/>
      <c r="B5" s="69"/>
      <c r="C5" s="69"/>
      <c r="D5" s="142"/>
    </row>
    <row r="6" spans="1:7" s="45" customFormat="1" x14ac:dyDescent="0.35">
      <c r="A6" s="220" t="s">
        <v>138</v>
      </c>
      <c r="B6" s="69"/>
      <c r="C6" s="69"/>
      <c r="D6" s="141"/>
    </row>
    <row r="7" spans="1:7" s="45" customFormat="1" x14ac:dyDescent="0.35">
      <c r="A7" s="19" t="s">
        <v>22</v>
      </c>
      <c r="B7" s="202">
        <f>+B18+B29+B40+B50+B60+B70+B80</f>
        <v>6580575.5600000005</v>
      </c>
      <c r="C7" s="202">
        <f t="shared" ref="C7:E7" si="0">+C18+C29+C40+C50+C60+C70+C80</f>
        <v>-1695365.81</v>
      </c>
      <c r="D7" s="202">
        <f t="shared" si="0"/>
        <v>-1361421.68</v>
      </c>
      <c r="E7" s="202">
        <f t="shared" si="0"/>
        <v>-87775.260000000024</v>
      </c>
      <c r="F7" s="202">
        <f>SUM(B7:E7)</f>
        <v>3436012.81</v>
      </c>
      <c r="G7" s="202">
        <f t="shared" ref="G7:G8" si="1">+G18+G29+G40+G50+G60+G70+G80</f>
        <v>-1047.72</v>
      </c>
    </row>
    <row r="8" spans="1:7" s="45" customFormat="1" x14ac:dyDescent="0.35">
      <c r="A8" s="19" t="s">
        <v>23</v>
      </c>
      <c r="B8" s="202">
        <f t="shared" ref="B8:E8" si="2">+B19+B30+B41+B51+B61+B71+B81</f>
        <v>6141489.0100000007</v>
      </c>
      <c r="C8" s="202">
        <f t="shared" si="2"/>
        <v>917589.42999999993</v>
      </c>
      <c r="D8" s="202">
        <f t="shared" si="2"/>
        <v>-160545.48000000001</v>
      </c>
      <c r="E8" s="202">
        <f t="shared" si="2"/>
        <v>65611.53</v>
      </c>
      <c r="F8" s="202">
        <f>SUM(B8:E8)</f>
        <v>6964144.4900000002</v>
      </c>
      <c r="G8" s="202">
        <f t="shared" si="1"/>
        <v>3.8299999999999983</v>
      </c>
    </row>
    <row r="9" spans="1:7" s="45" customFormat="1" x14ac:dyDescent="0.35">
      <c r="A9" s="19" t="s">
        <v>3</v>
      </c>
      <c r="B9" s="196">
        <f t="shared" ref="B9:E9" si="3">SUM(B7:B8)</f>
        <v>12722064.57</v>
      </c>
      <c r="C9" s="196">
        <f t="shared" si="3"/>
        <v>-777776.38000000012</v>
      </c>
      <c r="D9" s="196">
        <f t="shared" si="3"/>
        <v>-1521967.16</v>
      </c>
      <c r="E9" s="196">
        <f t="shared" si="3"/>
        <v>-22163.730000000025</v>
      </c>
      <c r="F9" s="196">
        <f t="shared" ref="F9:G9" si="4">SUM(F7:F8)</f>
        <v>10400157.300000001</v>
      </c>
      <c r="G9" s="196">
        <f t="shared" si="4"/>
        <v>-1043.8900000000001</v>
      </c>
    </row>
    <row r="10" spans="1:7" s="45" customFormat="1" x14ac:dyDescent="0.35">
      <c r="B10" s="193"/>
      <c r="C10" s="193"/>
      <c r="D10" s="194"/>
    </row>
    <row r="11" spans="1:7" s="45" customFormat="1" x14ac:dyDescent="0.35">
      <c r="A11" s="19" t="s">
        <v>94</v>
      </c>
      <c r="B11" s="196">
        <f t="shared" ref="B11:E11" si="5">+B22+B33+B44+B54+B64+B74+B84</f>
        <v>2400450.7000000002</v>
      </c>
      <c r="C11" s="196">
        <f t="shared" si="5"/>
        <v>394893.28</v>
      </c>
      <c r="D11" s="196">
        <f t="shared" si="5"/>
        <v>-42963.699999999975</v>
      </c>
      <c r="E11" s="196">
        <f t="shared" si="5"/>
        <v>29785.539999999997</v>
      </c>
      <c r="F11" s="196">
        <f t="shared" ref="F11:F13" si="6">SUM(B11:E11)</f>
        <v>2782165.8200000003</v>
      </c>
      <c r="G11" s="196">
        <f t="shared" ref="G11:G13" si="7">+G22+G33+G44+G54+G64+G74+G84</f>
        <v>29.58</v>
      </c>
    </row>
    <row r="12" spans="1:7" s="45" customFormat="1" x14ac:dyDescent="0.35">
      <c r="A12" s="19" t="s">
        <v>95</v>
      </c>
      <c r="B12" s="196">
        <f t="shared" ref="B12:E12" si="8">+B23+B34+B45+B55+B65+B75+B85</f>
        <v>2683377.23</v>
      </c>
      <c r="C12" s="196">
        <f t="shared" si="8"/>
        <v>480798.51</v>
      </c>
      <c r="D12" s="196">
        <f t="shared" si="8"/>
        <v>-107219.15</v>
      </c>
      <c r="E12" s="196">
        <f t="shared" si="8"/>
        <v>31959.200000000001</v>
      </c>
      <c r="F12" s="196">
        <f t="shared" si="6"/>
        <v>3088915.7900000005</v>
      </c>
      <c r="G12" s="196">
        <f t="shared" si="7"/>
        <v>-5.97</v>
      </c>
    </row>
    <row r="13" spans="1:7" s="45" customFormat="1" x14ac:dyDescent="0.35">
      <c r="A13" s="19" t="s">
        <v>96</v>
      </c>
      <c r="B13" s="196">
        <f t="shared" ref="B13:E13" si="9">+B24+B35+B46+B56+B66+B76+B86</f>
        <v>1057661.06</v>
      </c>
      <c r="C13" s="196">
        <f t="shared" si="9"/>
        <v>41897.640000000007</v>
      </c>
      <c r="D13" s="196">
        <f t="shared" si="9"/>
        <v>-10362.630000000001</v>
      </c>
      <c r="E13" s="196">
        <f t="shared" si="9"/>
        <v>3866.7900000000004</v>
      </c>
      <c r="F13" s="196">
        <f t="shared" si="6"/>
        <v>1093062.8600000001</v>
      </c>
      <c r="G13" s="196">
        <f t="shared" si="7"/>
        <v>-19.78</v>
      </c>
    </row>
    <row r="14" spans="1:7" s="45" customFormat="1" x14ac:dyDescent="0.35">
      <c r="A14" s="29" t="s">
        <v>97</v>
      </c>
      <c r="B14" s="196">
        <f t="shared" ref="B14:E14" si="10">SUM(B11:B13)</f>
        <v>6141488.9900000002</v>
      </c>
      <c r="C14" s="196">
        <f t="shared" si="10"/>
        <v>917589.43</v>
      </c>
      <c r="D14" s="196">
        <f t="shared" si="10"/>
        <v>-160545.47999999998</v>
      </c>
      <c r="E14" s="196">
        <f t="shared" si="10"/>
        <v>65611.53</v>
      </c>
      <c r="F14" s="196">
        <f t="shared" ref="F14:G14" si="11">SUM(F11:F13)</f>
        <v>6964144.4700000016</v>
      </c>
      <c r="G14" s="196">
        <f t="shared" si="11"/>
        <v>3.8299999999999983</v>
      </c>
    </row>
    <row r="15" spans="1:7" s="45" customFormat="1" x14ac:dyDescent="0.35">
      <c r="A15" s="19"/>
      <c r="B15" s="69"/>
      <c r="C15" s="69"/>
      <c r="D15" s="141"/>
    </row>
    <row r="16" spans="1:7" s="45" customFormat="1" x14ac:dyDescent="0.35">
      <c r="A16" s="19"/>
      <c r="B16" s="69"/>
      <c r="C16" s="69"/>
      <c r="D16" s="141"/>
    </row>
    <row r="17" spans="1:11" s="45" customFormat="1" x14ac:dyDescent="0.35">
      <c r="A17" s="220" t="s">
        <v>144</v>
      </c>
      <c r="B17" s="69"/>
      <c r="C17" s="69"/>
      <c r="D17" s="141"/>
    </row>
    <row r="18" spans="1:11" s="45" customFormat="1" x14ac:dyDescent="0.35">
      <c r="A18" s="19" t="s">
        <v>22</v>
      </c>
      <c r="B18" s="24">
        <v>5181939.6500000004</v>
      </c>
      <c r="C18" s="24">
        <v>-722286.33</v>
      </c>
      <c r="D18" s="24">
        <v>574414.55000000005</v>
      </c>
      <c r="E18" s="213">
        <v>2229.4899999999998</v>
      </c>
      <c r="F18" s="202">
        <f>SUM(B18:E18)</f>
        <v>5036297.3600000003</v>
      </c>
      <c r="G18" s="214">
        <f>ROUND(F18/24*0,2)</f>
        <v>0</v>
      </c>
    </row>
    <row r="19" spans="1:11" s="45" customFormat="1" x14ac:dyDescent="0.35">
      <c r="A19" s="19" t="s">
        <v>23</v>
      </c>
      <c r="B19" s="195">
        <v>5060008.6900000004</v>
      </c>
      <c r="C19" s="195">
        <v>194085.35</v>
      </c>
      <c r="D19" s="195">
        <v>562321.14</v>
      </c>
      <c r="E19" s="215">
        <v>20418.36</v>
      </c>
      <c r="F19" s="202">
        <f>SUM(B19:E19)</f>
        <v>5836833.54</v>
      </c>
      <c r="G19" s="214">
        <f>ROUND(F19/24*0,2)</f>
        <v>0</v>
      </c>
    </row>
    <row r="20" spans="1:11" s="45" customFormat="1" x14ac:dyDescent="0.35">
      <c r="A20" s="19" t="s">
        <v>3</v>
      </c>
      <c r="B20" s="196">
        <f t="shared" ref="B20:G20" si="12">SUM(B18:B19)</f>
        <v>10241948.34</v>
      </c>
      <c r="C20" s="196">
        <f t="shared" si="12"/>
        <v>-528200.98</v>
      </c>
      <c r="D20" s="196">
        <f t="shared" si="12"/>
        <v>1136735.69</v>
      </c>
      <c r="E20" s="216">
        <f t="shared" si="12"/>
        <v>22647.85</v>
      </c>
      <c r="F20" s="196">
        <f t="shared" si="12"/>
        <v>10873130.9</v>
      </c>
      <c r="G20" s="217">
        <f t="shared" si="12"/>
        <v>0</v>
      </c>
    </row>
    <row r="21" spans="1:11" s="45" customFormat="1" x14ac:dyDescent="0.35">
      <c r="B21" s="193"/>
      <c r="C21" s="193"/>
      <c r="D21" s="194"/>
    </row>
    <row r="22" spans="1:11" x14ac:dyDescent="0.35">
      <c r="A22" s="19" t="s">
        <v>94</v>
      </c>
      <c r="B22" s="24">
        <v>1943830.05</v>
      </c>
      <c r="C22" s="24">
        <v>62654.27</v>
      </c>
      <c r="D22" s="24">
        <v>289519.26</v>
      </c>
      <c r="E22" s="195">
        <v>9487.83</v>
      </c>
      <c r="F22" s="196">
        <f t="shared" ref="F22:F24" si="13">SUM(B22:E22)</f>
        <v>2305491.41</v>
      </c>
      <c r="G22" s="222">
        <f>ROUND(F22/24*0,2)</f>
        <v>0</v>
      </c>
      <c r="J22" s="45"/>
      <c r="K22" s="45"/>
    </row>
    <row r="23" spans="1:11" x14ac:dyDescent="0.35">
      <c r="A23" s="19" t="s">
        <v>95</v>
      </c>
      <c r="B23" s="24">
        <v>2196160.91</v>
      </c>
      <c r="C23" s="24">
        <v>122990.05</v>
      </c>
      <c r="D23" s="24">
        <v>233118.96</v>
      </c>
      <c r="E23" s="24">
        <v>9593.31</v>
      </c>
      <c r="F23" s="196">
        <f t="shared" si="13"/>
        <v>2561863.23</v>
      </c>
      <c r="G23" s="222">
        <f>ROUND(F23/24*0,2)</f>
        <v>0</v>
      </c>
      <c r="J23" s="45"/>
      <c r="K23" s="45"/>
    </row>
    <row r="24" spans="1:11" x14ac:dyDescent="0.35">
      <c r="A24" s="19" t="s">
        <v>96</v>
      </c>
      <c r="B24" s="195">
        <v>920017.71</v>
      </c>
      <c r="C24" s="195">
        <v>8441.0300000000007</v>
      </c>
      <c r="D24" s="195">
        <v>39682.92</v>
      </c>
      <c r="E24" s="195">
        <v>1337.22</v>
      </c>
      <c r="F24" s="196">
        <f t="shared" si="13"/>
        <v>969478.88</v>
      </c>
      <c r="G24" s="222">
        <f>ROUND(F24/24*0,2)</f>
        <v>0</v>
      </c>
      <c r="J24" s="45"/>
      <c r="K24" s="45"/>
    </row>
    <row r="25" spans="1:11" x14ac:dyDescent="0.35">
      <c r="A25" s="29" t="s">
        <v>97</v>
      </c>
      <c r="B25" s="196">
        <f>SUM(B22:B24)</f>
        <v>5060008.67</v>
      </c>
      <c r="C25" s="196">
        <f>SUM(C22:C24)</f>
        <v>194085.35</v>
      </c>
      <c r="D25" s="196">
        <f t="shared" ref="D25:G25" si="14">SUM(D22:D24)</f>
        <v>562321.14</v>
      </c>
      <c r="E25" s="196">
        <f t="shared" si="14"/>
        <v>20418.36</v>
      </c>
      <c r="F25" s="196">
        <f t="shared" si="14"/>
        <v>5836833.5200000005</v>
      </c>
      <c r="G25" s="196">
        <f t="shared" si="14"/>
        <v>0</v>
      </c>
      <c r="J25" s="45"/>
      <c r="K25" s="45"/>
    </row>
    <row r="26" spans="1:11" s="38" customFormat="1" x14ac:dyDescent="0.35">
      <c r="A26" s="29"/>
      <c r="B26" s="221"/>
      <c r="C26" s="221"/>
      <c r="D26" s="221"/>
      <c r="E26" s="221"/>
      <c r="F26" s="221"/>
      <c r="G26" s="221"/>
      <c r="J26" s="45"/>
      <c r="K26" s="45"/>
    </row>
    <row r="27" spans="1:11" s="38" customFormat="1" x14ac:dyDescent="0.35">
      <c r="A27" s="29"/>
      <c r="B27" s="221"/>
      <c r="C27" s="221"/>
      <c r="D27" s="221"/>
      <c r="E27" s="221"/>
      <c r="F27" s="221"/>
      <c r="G27" s="221"/>
      <c r="J27" s="45"/>
      <c r="K27" s="45"/>
    </row>
    <row r="28" spans="1:11" s="45" customFormat="1" x14ac:dyDescent="0.35">
      <c r="A28" s="220" t="s">
        <v>145</v>
      </c>
      <c r="B28" s="69"/>
      <c r="C28" s="69"/>
      <c r="D28" s="141"/>
    </row>
    <row r="29" spans="1:11" s="45" customFormat="1" x14ac:dyDescent="0.35">
      <c r="A29" s="19" t="s">
        <v>22</v>
      </c>
      <c r="B29" s="24">
        <v>1398635.91</v>
      </c>
      <c r="C29" s="24">
        <v>-801107.23</v>
      </c>
      <c r="D29" s="24">
        <v>-1374859.37</v>
      </c>
      <c r="E29" s="213">
        <v>-42421.68</v>
      </c>
      <c r="F29" s="202">
        <f>SUM(B29:E29)</f>
        <v>-819752.37000000023</v>
      </c>
      <c r="G29" s="214">
        <f>ROUND(F29/24*0,2)</f>
        <v>0</v>
      </c>
    </row>
    <row r="30" spans="1:11" s="45" customFormat="1" x14ac:dyDescent="0.35">
      <c r="A30" s="19" t="s">
        <v>23</v>
      </c>
      <c r="B30" s="195">
        <v>1081480.32</v>
      </c>
      <c r="C30" s="195">
        <v>524350.93999999994</v>
      </c>
      <c r="D30" s="195">
        <v>-536449.89</v>
      </c>
      <c r="E30" s="215">
        <v>37990.920000000006</v>
      </c>
      <c r="F30" s="202">
        <f>SUM(B30:E30)</f>
        <v>1107372.29</v>
      </c>
      <c r="G30" s="214">
        <f>ROUND(F30/24*0,2)</f>
        <v>0</v>
      </c>
    </row>
    <row r="31" spans="1:11" s="45" customFormat="1" x14ac:dyDescent="0.35">
      <c r="A31" s="19" t="s">
        <v>3</v>
      </c>
      <c r="B31" s="196">
        <f t="shared" ref="B31:G31" si="15">SUM(B29:B30)</f>
        <v>2480116.23</v>
      </c>
      <c r="C31" s="196">
        <f t="shared" si="15"/>
        <v>-276756.29000000004</v>
      </c>
      <c r="D31" s="196">
        <f t="shared" si="15"/>
        <v>-1911309.2600000002</v>
      </c>
      <c r="E31" s="216">
        <f t="shared" si="15"/>
        <v>-4430.7599999999948</v>
      </c>
      <c r="F31" s="196">
        <f t="shared" si="15"/>
        <v>287619.91999999981</v>
      </c>
      <c r="G31" s="217">
        <f t="shared" si="15"/>
        <v>0</v>
      </c>
    </row>
    <row r="32" spans="1:11" s="45" customFormat="1" x14ac:dyDescent="0.35">
      <c r="B32" s="193"/>
      <c r="C32" s="193"/>
      <c r="D32" s="194"/>
    </row>
    <row r="33" spans="1:11" s="45" customFormat="1" x14ac:dyDescent="0.35">
      <c r="A33" s="19" t="s">
        <v>94</v>
      </c>
      <c r="B33" s="24">
        <v>456620.65</v>
      </c>
      <c r="C33" s="24">
        <v>238713.51</v>
      </c>
      <c r="D33" s="24">
        <v>-250839.18</v>
      </c>
      <c r="E33" s="195">
        <v>16987.560000000001</v>
      </c>
      <c r="F33" s="196">
        <f t="shared" ref="F33:F35" si="16">SUM(B33:E33)</f>
        <v>461482.54000000004</v>
      </c>
      <c r="G33" s="222">
        <f>ROUND(F33/24*0,2)</f>
        <v>0</v>
      </c>
    </row>
    <row r="34" spans="1:11" s="45" customFormat="1" x14ac:dyDescent="0.35">
      <c r="A34" s="19" t="s">
        <v>95</v>
      </c>
      <c r="B34" s="24">
        <v>487216.32</v>
      </c>
      <c r="C34" s="24">
        <v>261085.55</v>
      </c>
      <c r="D34" s="24">
        <v>-248789.11</v>
      </c>
      <c r="E34" s="24">
        <v>18676.650000000001</v>
      </c>
      <c r="F34" s="196">
        <f t="shared" si="16"/>
        <v>518189.41000000003</v>
      </c>
      <c r="G34" s="222">
        <f>ROUND(F34/24*0,2)</f>
        <v>0</v>
      </c>
    </row>
    <row r="35" spans="1:11" s="45" customFormat="1" x14ac:dyDescent="0.35">
      <c r="A35" s="19" t="s">
        <v>96</v>
      </c>
      <c r="B35" s="195">
        <v>137643.35</v>
      </c>
      <c r="C35" s="195">
        <v>24551.88</v>
      </c>
      <c r="D35" s="195">
        <v>-36821.599999999999</v>
      </c>
      <c r="E35" s="195">
        <v>2326.71</v>
      </c>
      <c r="F35" s="196">
        <f t="shared" si="16"/>
        <v>127700.34000000001</v>
      </c>
      <c r="G35" s="222">
        <f>ROUND(F35/24*0,2)</f>
        <v>0</v>
      </c>
    </row>
    <row r="36" spans="1:11" s="45" customFormat="1" x14ac:dyDescent="0.35">
      <c r="A36" s="29" t="s">
        <v>97</v>
      </c>
      <c r="B36" s="196">
        <f>SUM(B33:B35)</f>
        <v>1081480.32</v>
      </c>
      <c r="C36" s="196">
        <f>SUM(C33:C35)</f>
        <v>524350.93999999994</v>
      </c>
      <c r="D36" s="196">
        <f t="shared" ref="D36:G36" si="17">SUM(D33:D35)</f>
        <v>-536449.89</v>
      </c>
      <c r="E36" s="196">
        <f t="shared" si="17"/>
        <v>37990.920000000006</v>
      </c>
      <c r="F36" s="196">
        <f t="shared" si="17"/>
        <v>1107372.29</v>
      </c>
      <c r="G36" s="196">
        <f t="shared" si="17"/>
        <v>0</v>
      </c>
    </row>
    <row r="37" spans="1:11" x14ac:dyDescent="0.35">
      <c r="A37" s="29"/>
      <c r="B37" s="221"/>
      <c r="C37" s="221"/>
      <c r="D37" s="221"/>
      <c r="E37" s="221"/>
      <c r="F37" s="221"/>
      <c r="G37" s="221"/>
      <c r="J37" s="45"/>
      <c r="K37" s="45"/>
    </row>
    <row r="38" spans="1:11" s="38" customFormat="1" x14ac:dyDescent="0.35">
      <c r="A38" s="29"/>
      <c r="B38" s="221"/>
      <c r="C38" s="221"/>
      <c r="D38" s="221"/>
      <c r="E38" s="221"/>
      <c r="F38" s="221"/>
      <c r="G38" s="221"/>
      <c r="J38" s="45"/>
      <c r="K38" s="45"/>
    </row>
    <row r="39" spans="1:11" s="45" customFormat="1" x14ac:dyDescent="0.35">
      <c r="A39" s="220" t="s">
        <v>146</v>
      </c>
      <c r="B39" s="69"/>
      <c r="C39" s="69"/>
      <c r="D39" s="141"/>
    </row>
    <row r="40" spans="1:11" s="45" customFormat="1" x14ac:dyDescent="0.35">
      <c r="A40" s="19" t="s">
        <v>22</v>
      </c>
      <c r="B40" s="24">
        <v>0</v>
      </c>
      <c r="C40" s="24">
        <v>-188195.82</v>
      </c>
      <c r="D40" s="24">
        <v>-520190.41</v>
      </c>
      <c r="E40" s="213">
        <v>-19391.330000000002</v>
      </c>
      <c r="F40" s="202">
        <f>SUM(B40:E40)</f>
        <v>-727777.55999999994</v>
      </c>
      <c r="G40" s="214">
        <f>ROUND(F40/24*0,2)</f>
        <v>0</v>
      </c>
    </row>
    <row r="41" spans="1:11" s="45" customFormat="1" x14ac:dyDescent="0.35">
      <c r="A41" s="19" t="s">
        <v>23</v>
      </c>
      <c r="B41" s="195">
        <v>0</v>
      </c>
      <c r="C41" s="195">
        <v>185348.24</v>
      </c>
      <c r="D41" s="195">
        <v>-173130.57</v>
      </c>
      <c r="E41" s="215">
        <v>5685.3399999999992</v>
      </c>
      <c r="F41" s="202">
        <f>SUM(B41:E41)</f>
        <v>17903.009999999984</v>
      </c>
      <c r="G41" s="214">
        <f>ROUND(F41/24*0,2)</f>
        <v>0</v>
      </c>
    </row>
    <row r="42" spans="1:11" s="45" customFormat="1" x14ac:dyDescent="0.35">
      <c r="A42" s="19" t="s">
        <v>3</v>
      </c>
      <c r="B42" s="196">
        <f t="shared" ref="B42:G42" si="18">SUM(B40:B41)</f>
        <v>0</v>
      </c>
      <c r="C42" s="196">
        <f t="shared" si="18"/>
        <v>-2847.5800000000163</v>
      </c>
      <c r="D42" s="196">
        <f t="shared" si="18"/>
        <v>-693320.98</v>
      </c>
      <c r="E42" s="216">
        <f t="shared" si="18"/>
        <v>-13705.990000000002</v>
      </c>
      <c r="F42" s="196">
        <f t="shared" si="18"/>
        <v>-709874.54999999993</v>
      </c>
      <c r="G42" s="217">
        <f t="shared" si="18"/>
        <v>0</v>
      </c>
    </row>
    <row r="43" spans="1:11" s="45" customFormat="1" x14ac:dyDescent="0.35">
      <c r="B43" s="193"/>
      <c r="C43" s="193"/>
      <c r="D43" s="194"/>
    </row>
    <row r="44" spans="1:11" s="45" customFormat="1" x14ac:dyDescent="0.35">
      <c r="A44" s="19" t="s">
        <v>94</v>
      </c>
      <c r="B44" s="24">
        <v>0</v>
      </c>
      <c r="C44" s="24">
        <v>87398.02</v>
      </c>
      <c r="D44" s="24">
        <v>-76386.149999999994</v>
      </c>
      <c r="E44" s="195">
        <v>2490.44</v>
      </c>
      <c r="F44" s="196">
        <f t="shared" ref="F44:F46" si="19">SUM(B44:E44)</f>
        <v>13502.31000000001</v>
      </c>
      <c r="G44" s="222">
        <f>ROUND(F44/24*0,2)</f>
        <v>0</v>
      </c>
    </row>
    <row r="45" spans="1:11" s="45" customFormat="1" x14ac:dyDescent="0.35">
      <c r="A45" s="19" t="s">
        <v>95</v>
      </c>
      <c r="B45" s="24">
        <v>0</v>
      </c>
      <c r="C45" s="24">
        <v>89708.28</v>
      </c>
      <c r="D45" s="24">
        <v>-84622.720000000001</v>
      </c>
      <c r="E45" s="24">
        <v>2915.7</v>
      </c>
      <c r="F45" s="196">
        <f t="shared" si="19"/>
        <v>8001.2599999999975</v>
      </c>
      <c r="G45" s="222">
        <f>ROUND(F45/24*0,2)</f>
        <v>0</v>
      </c>
    </row>
    <row r="46" spans="1:11" s="45" customFormat="1" x14ac:dyDescent="0.35">
      <c r="A46" s="19" t="s">
        <v>96</v>
      </c>
      <c r="B46" s="195">
        <v>0</v>
      </c>
      <c r="C46" s="24">
        <v>8241.94</v>
      </c>
      <c r="D46" s="195">
        <v>-12121.7</v>
      </c>
      <c r="E46" s="195">
        <v>279.2</v>
      </c>
      <c r="F46" s="196">
        <f t="shared" si="19"/>
        <v>-3600.5600000000004</v>
      </c>
      <c r="G46" s="222">
        <f>ROUND(F46/24*0,2)</f>
        <v>0</v>
      </c>
    </row>
    <row r="47" spans="1:11" s="45" customFormat="1" x14ac:dyDescent="0.35">
      <c r="A47" s="29" t="s">
        <v>97</v>
      </c>
      <c r="B47" s="196">
        <f>SUM(B44:B46)</f>
        <v>0</v>
      </c>
      <c r="C47" s="196">
        <f>SUM(C44:C46)</f>
        <v>185348.24</v>
      </c>
      <c r="D47" s="196">
        <f t="shared" ref="D47:G47" si="20">SUM(D44:D46)</f>
        <v>-173130.57</v>
      </c>
      <c r="E47" s="196">
        <f t="shared" si="20"/>
        <v>5685.3399999999992</v>
      </c>
      <c r="F47" s="196">
        <f t="shared" si="20"/>
        <v>17903.010000000006</v>
      </c>
      <c r="G47" s="196">
        <f t="shared" si="20"/>
        <v>0</v>
      </c>
    </row>
    <row r="48" spans="1:11" s="45" customFormat="1" x14ac:dyDescent="0.35">
      <c r="A48" s="29"/>
      <c r="B48" s="218"/>
      <c r="C48" s="218"/>
      <c r="D48" s="218"/>
      <c r="E48" s="218"/>
      <c r="F48" s="218"/>
      <c r="G48" s="218"/>
    </row>
    <row r="49" spans="1:7" s="45" customFormat="1" x14ac:dyDescent="0.35">
      <c r="A49" s="220" t="s">
        <v>148</v>
      </c>
      <c r="B49" s="69"/>
      <c r="C49" s="69"/>
      <c r="D49" s="141"/>
    </row>
    <row r="50" spans="1:7" s="45" customFormat="1" x14ac:dyDescent="0.35">
      <c r="A50" s="19" t="s">
        <v>22</v>
      </c>
      <c r="B50" s="24">
        <v>0</v>
      </c>
      <c r="C50" s="24">
        <v>0</v>
      </c>
      <c r="D50" s="24">
        <v>0</v>
      </c>
      <c r="E50" s="213">
        <v>-10950.18</v>
      </c>
      <c r="F50" s="202">
        <f>SUM(B50:E50)</f>
        <v>-10950.18</v>
      </c>
      <c r="G50" s="214">
        <f>ROUND(F50/24*0,2)</f>
        <v>0</v>
      </c>
    </row>
    <row r="51" spans="1:7" s="45" customFormat="1" x14ac:dyDescent="0.35">
      <c r="A51" s="19" t="s">
        <v>23</v>
      </c>
      <c r="B51" s="195">
        <v>0</v>
      </c>
      <c r="C51" s="195">
        <v>0</v>
      </c>
      <c r="D51" s="195">
        <v>0</v>
      </c>
      <c r="E51" s="215">
        <v>1989.22</v>
      </c>
      <c r="F51" s="202">
        <f>SUM(B51:E51)</f>
        <v>1989.22</v>
      </c>
      <c r="G51" s="214">
        <f>SUM(G54:G56)</f>
        <v>0</v>
      </c>
    </row>
    <row r="52" spans="1:7" s="45" customFormat="1" x14ac:dyDescent="0.35">
      <c r="A52" s="19" t="s">
        <v>3</v>
      </c>
      <c r="B52" s="196">
        <f t="shared" ref="B52:G52" si="21">SUM(B50:B51)</f>
        <v>0</v>
      </c>
      <c r="C52" s="196">
        <f t="shared" si="21"/>
        <v>0</v>
      </c>
      <c r="D52" s="196">
        <f t="shared" si="21"/>
        <v>0</v>
      </c>
      <c r="E52" s="216">
        <f t="shared" si="21"/>
        <v>-8960.9600000000009</v>
      </c>
      <c r="F52" s="196">
        <f t="shared" si="21"/>
        <v>-8960.9600000000009</v>
      </c>
      <c r="G52" s="217">
        <f t="shared" si="21"/>
        <v>0</v>
      </c>
    </row>
    <row r="53" spans="1:7" s="45" customFormat="1" x14ac:dyDescent="0.35">
      <c r="B53" s="193"/>
      <c r="C53" s="193"/>
      <c r="D53" s="194"/>
    </row>
    <row r="54" spans="1:7" s="45" customFormat="1" x14ac:dyDescent="0.35">
      <c r="A54" s="19" t="s">
        <v>94</v>
      </c>
      <c r="B54" s="24">
        <v>0</v>
      </c>
      <c r="C54" s="24">
        <v>0</v>
      </c>
      <c r="D54" s="24">
        <v>0</v>
      </c>
      <c r="E54" s="195">
        <v>869.87</v>
      </c>
      <c r="F54" s="196">
        <f t="shared" ref="F54:F56" si="22">SUM(B54:E54)</f>
        <v>869.87</v>
      </c>
      <c r="G54" s="222">
        <f>ROUND(F54/24*0,2)</f>
        <v>0</v>
      </c>
    </row>
    <row r="55" spans="1:7" s="45" customFormat="1" x14ac:dyDescent="0.35">
      <c r="A55" s="19" t="s">
        <v>95</v>
      </c>
      <c r="B55" s="24">
        <v>0</v>
      </c>
      <c r="C55" s="24">
        <v>0</v>
      </c>
      <c r="D55" s="24">
        <v>0</v>
      </c>
      <c r="E55" s="24">
        <v>1045.55</v>
      </c>
      <c r="F55" s="196">
        <f t="shared" si="22"/>
        <v>1045.55</v>
      </c>
      <c r="G55" s="222">
        <f>ROUND(F55/24*0,2)</f>
        <v>0</v>
      </c>
    </row>
    <row r="56" spans="1:7" s="45" customFormat="1" x14ac:dyDescent="0.35">
      <c r="A56" s="19" t="s">
        <v>96</v>
      </c>
      <c r="B56" s="195">
        <v>0</v>
      </c>
      <c r="C56" s="24">
        <v>0</v>
      </c>
      <c r="D56" s="195">
        <v>0</v>
      </c>
      <c r="E56" s="195">
        <v>73.8</v>
      </c>
      <c r="F56" s="196">
        <f t="shared" si="22"/>
        <v>73.8</v>
      </c>
      <c r="G56" s="222">
        <f>ROUND(F56/24*0,2)</f>
        <v>0</v>
      </c>
    </row>
    <row r="57" spans="1:7" s="45" customFormat="1" x14ac:dyDescent="0.35">
      <c r="A57" s="29" t="s">
        <v>97</v>
      </c>
      <c r="B57" s="196">
        <f>SUM(B54:B56)</f>
        <v>0</v>
      </c>
      <c r="C57" s="196">
        <f>SUM(C54:C56)</f>
        <v>0</v>
      </c>
      <c r="D57" s="196">
        <f t="shared" ref="D57:G57" si="23">SUM(D54:D56)</f>
        <v>0</v>
      </c>
      <c r="E57" s="196">
        <f t="shared" si="23"/>
        <v>1989.22</v>
      </c>
      <c r="F57" s="196">
        <f t="shared" si="23"/>
        <v>1989.22</v>
      </c>
      <c r="G57" s="196">
        <f t="shared" si="23"/>
        <v>0</v>
      </c>
    </row>
    <row r="58" spans="1:7" s="45" customFormat="1" x14ac:dyDescent="0.35">
      <c r="A58" s="29"/>
      <c r="B58" s="218"/>
      <c r="C58" s="218"/>
      <c r="D58" s="218"/>
      <c r="E58" s="218"/>
      <c r="F58" s="218"/>
      <c r="G58" s="218"/>
    </row>
    <row r="59" spans="1:7" s="45" customFormat="1" x14ac:dyDescent="0.35">
      <c r="A59" s="220" t="s">
        <v>150</v>
      </c>
      <c r="B59" s="69"/>
      <c r="C59" s="69"/>
      <c r="D59" s="141"/>
    </row>
    <row r="60" spans="1:7" s="45" customFormat="1" x14ac:dyDescent="0.35">
      <c r="A60" s="19" t="s">
        <v>22</v>
      </c>
      <c r="B60" s="24">
        <v>0</v>
      </c>
      <c r="C60" s="24">
        <v>0</v>
      </c>
      <c r="D60" s="24">
        <v>0</v>
      </c>
      <c r="E60" s="213">
        <v>-12711.64</v>
      </c>
      <c r="F60" s="202">
        <f>SUM(B60:E60)</f>
        <v>-12711.64</v>
      </c>
      <c r="G60" s="214">
        <f>ROUND(F60/24*0,2)</f>
        <v>0</v>
      </c>
    </row>
    <row r="61" spans="1:7" s="45" customFormat="1" x14ac:dyDescent="0.35">
      <c r="A61" s="19" t="s">
        <v>23</v>
      </c>
      <c r="B61" s="195">
        <v>0</v>
      </c>
      <c r="C61" s="195">
        <v>0</v>
      </c>
      <c r="D61" s="195">
        <v>0</v>
      </c>
      <c r="E61" s="215">
        <v>935.53000000000009</v>
      </c>
      <c r="F61" s="202">
        <f>SUM(B61:E61)</f>
        <v>935.53000000000009</v>
      </c>
      <c r="G61" s="214">
        <f>SUM(G64:G66)</f>
        <v>0</v>
      </c>
    </row>
    <row r="62" spans="1:7" s="45" customFormat="1" x14ac:dyDescent="0.35">
      <c r="A62" s="19" t="s">
        <v>3</v>
      </c>
      <c r="B62" s="196">
        <f t="shared" ref="B62:G62" si="24">SUM(B60:B61)</f>
        <v>0</v>
      </c>
      <c r="C62" s="196">
        <f t="shared" si="24"/>
        <v>0</v>
      </c>
      <c r="D62" s="196">
        <f t="shared" si="24"/>
        <v>0</v>
      </c>
      <c r="E62" s="216">
        <f t="shared" si="24"/>
        <v>-11776.109999999999</v>
      </c>
      <c r="F62" s="196">
        <f t="shared" si="24"/>
        <v>-11776.109999999999</v>
      </c>
      <c r="G62" s="217">
        <f t="shared" si="24"/>
        <v>0</v>
      </c>
    </row>
    <row r="63" spans="1:7" s="45" customFormat="1" x14ac:dyDescent="0.35">
      <c r="B63" s="193"/>
      <c r="C63" s="193"/>
      <c r="D63" s="194"/>
    </row>
    <row r="64" spans="1:7" s="45" customFormat="1" x14ac:dyDescent="0.35">
      <c r="A64" s="19" t="s">
        <v>94</v>
      </c>
      <c r="B64" s="24">
        <v>0</v>
      </c>
      <c r="C64" s="24">
        <v>0</v>
      </c>
      <c r="D64" s="24">
        <v>0</v>
      </c>
      <c r="E64" s="195">
        <v>463.05</v>
      </c>
      <c r="F64" s="196">
        <f t="shared" ref="F64:F66" si="25">SUM(B64:E64)</f>
        <v>463.05</v>
      </c>
      <c r="G64" s="214">
        <f>ROUND(F64/24*0,2)</f>
        <v>0</v>
      </c>
    </row>
    <row r="65" spans="1:7" s="45" customFormat="1" x14ac:dyDescent="0.35">
      <c r="A65" s="19" t="s">
        <v>95</v>
      </c>
      <c r="B65" s="24">
        <v>0</v>
      </c>
      <c r="C65" s="24">
        <v>0</v>
      </c>
      <c r="D65" s="24">
        <v>0</v>
      </c>
      <c r="E65" s="24">
        <v>489.36</v>
      </c>
      <c r="F65" s="196">
        <f t="shared" si="25"/>
        <v>489.36</v>
      </c>
      <c r="G65" s="214">
        <f>ROUND(F65/24*0,2)</f>
        <v>0</v>
      </c>
    </row>
    <row r="66" spans="1:7" s="45" customFormat="1" x14ac:dyDescent="0.35">
      <c r="A66" s="19" t="s">
        <v>96</v>
      </c>
      <c r="B66" s="195">
        <v>0</v>
      </c>
      <c r="C66" s="24">
        <v>0</v>
      </c>
      <c r="D66" s="195">
        <v>0</v>
      </c>
      <c r="E66" s="195">
        <v>-16.88</v>
      </c>
      <c r="F66" s="196">
        <f t="shared" si="25"/>
        <v>-16.88</v>
      </c>
      <c r="G66" s="214">
        <f>ROUND(F66/24*0,2)</f>
        <v>0</v>
      </c>
    </row>
    <row r="67" spans="1:7" s="45" customFormat="1" x14ac:dyDescent="0.35">
      <c r="A67" s="29" t="s">
        <v>97</v>
      </c>
      <c r="B67" s="196">
        <f>SUM(B64:B66)</f>
        <v>0</v>
      </c>
      <c r="C67" s="196">
        <f>SUM(C64:C66)</f>
        <v>0</v>
      </c>
      <c r="D67" s="196">
        <f t="shared" ref="D67:G67" si="26">SUM(D64:D66)</f>
        <v>0</v>
      </c>
      <c r="E67" s="196">
        <f t="shared" si="26"/>
        <v>935.53000000000009</v>
      </c>
      <c r="F67" s="196">
        <f t="shared" si="26"/>
        <v>935.53000000000009</v>
      </c>
      <c r="G67" s="196">
        <f t="shared" si="26"/>
        <v>0</v>
      </c>
    </row>
    <row r="68" spans="1:7" s="45" customFormat="1" x14ac:dyDescent="0.35">
      <c r="A68" s="29"/>
      <c r="B68" s="218"/>
      <c r="C68" s="218"/>
      <c r="D68" s="218"/>
      <c r="E68" s="218"/>
      <c r="F68" s="218"/>
      <c r="G68" s="218"/>
    </row>
    <row r="69" spans="1:7" s="45" customFormat="1" x14ac:dyDescent="0.35">
      <c r="A69" s="260" t="s">
        <v>160</v>
      </c>
      <c r="B69" s="69"/>
      <c r="C69" s="69"/>
      <c r="D69" s="141"/>
    </row>
    <row r="70" spans="1:7" s="45" customFormat="1" x14ac:dyDescent="0.35">
      <c r="A70" s="19" t="s">
        <v>22</v>
      </c>
      <c r="B70" s="24">
        <v>0</v>
      </c>
      <c r="C70" s="24">
        <v>0</v>
      </c>
      <c r="D70" s="24">
        <v>0</v>
      </c>
      <c r="E70" s="213">
        <v>-3947.6</v>
      </c>
      <c r="F70" s="202">
        <f>SUM(B70:E70)</f>
        <v>-3947.6</v>
      </c>
      <c r="G70" s="214">
        <f>ROUND(F70/24*0,2)</f>
        <v>0</v>
      </c>
    </row>
    <row r="71" spans="1:7" s="45" customFormat="1" x14ac:dyDescent="0.35">
      <c r="A71" s="19" t="s">
        <v>23</v>
      </c>
      <c r="B71" s="195">
        <v>0</v>
      </c>
      <c r="C71" s="195">
        <v>0</v>
      </c>
      <c r="D71" s="195">
        <v>0</v>
      </c>
      <c r="E71" s="215">
        <v>-980.94</v>
      </c>
      <c r="F71" s="202">
        <f>SUM(B71:E71)</f>
        <v>-980.94</v>
      </c>
      <c r="G71" s="214">
        <f>SUM(G74:G76)</f>
        <v>0</v>
      </c>
    </row>
    <row r="72" spans="1:7" s="45" customFormat="1" x14ac:dyDescent="0.35">
      <c r="A72" s="19" t="s">
        <v>3</v>
      </c>
      <c r="B72" s="196">
        <f t="shared" ref="B72:G72" si="27">SUM(B70:B71)</f>
        <v>0</v>
      </c>
      <c r="C72" s="196">
        <f t="shared" si="27"/>
        <v>0</v>
      </c>
      <c r="D72" s="196">
        <f t="shared" si="27"/>
        <v>0</v>
      </c>
      <c r="E72" s="216">
        <f t="shared" si="27"/>
        <v>-4928.54</v>
      </c>
      <c r="F72" s="196">
        <f t="shared" si="27"/>
        <v>-4928.54</v>
      </c>
      <c r="G72" s="217">
        <f t="shared" si="27"/>
        <v>0</v>
      </c>
    </row>
    <row r="73" spans="1:7" s="45" customFormat="1" x14ac:dyDescent="0.35">
      <c r="B73" s="193"/>
      <c r="C73" s="193"/>
      <c r="D73" s="194"/>
    </row>
    <row r="74" spans="1:7" s="45" customFormat="1" x14ac:dyDescent="0.35">
      <c r="A74" s="19" t="s">
        <v>94</v>
      </c>
      <c r="B74" s="24">
        <v>0</v>
      </c>
      <c r="C74" s="24">
        <v>0</v>
      </c>
      <c r="D74" s="24">
        <v>0</v>
      </c>
      <c r="E74" s="195">
        <v>-353.19</v>
      </c>
      <c r="F74" s="196">
        <f t="shared" ref="F74:F76" si="28">SUM(B74:E74)</f>
        <v>-353.19</v>
      </c>
      <c r="G74" s="214">
        <f>ROUND(F74/24*0,2)</f>
        <v>0</v>
      </c>
    </row>
    <row r="75" spans="1:7" s="45" customFormat="1" x14ac:dyDescent="0.35">
      <c r="A75" s="19" t="s">
        <v>95</v>
      </c>
      <c r="B75" s="24">
        <v>0</v>
      </c>
      <c r="C75" s="24">
        <v>0</v>
      </c>
      <c r="D75" s="24">
        <v>0</v>
      </c>
      <c r="E75" s="24">
        <v>-529.69000000000005</v>
      </c>
      <c r="F75" s="196">
        <f t="shared" si="28"/>
        <v>-529.69000000000005</v>
      </c>
      <c r="G75" s="214">
        <f>ROUND(F75/24*0,2)</f>
        <v>0</v>
      </c>
    </row>
    <row r="76" spans="1:7" s="45" customFormat="1" x14ac:dyDescent="0.35">
      <c r="A76" s="19" t="s">
        <v>96</v>
      </c>
      <c r="B76" s="195">
        <v>0</v>
      </c>
      <c r="C76" s="24">
        <v>0</v>
      </c>
      <c r="D76" s="195">
        <v>0</v>
      </c>
      <c r="E76" s="195">
        <v>-98.06</v>
      </c>
      <c r="F76" s="196">
        <f t="shared" si="28"/>
        <v>-98.06</v>
      </c>
      <c r="G76" s="214">
        <f>ROUND(F76/24*0,2)</f>
        <v>0</v>
      </c>
    </row>
    <row r="77" spans="1:7" s="45" customFormat="1" x14ac:dyDescent="0.35">
      <c r="A77" s="29" t="s">
        <v>97</v>
      </c>
      <c r="B77" s="196">
        <f>SUM(B74:B76)</f>
        <v>0</v>
      </c>
      <c r="C77" s="196">
        <f>SUM(C74:C76)</f>
        <v>0</v>
      </c>
      <c r="D77" s="196">
        <f t="shared" ref="D77:G77" si="29">SUM(D74:D76)</f>
        <v>0</v>
      </c>
      <c r="E77" s="196">
        <f t="shared" si="29"/>
        <v>-980.94</v>
      </c>
      <c r="F77" s="196">
        <f t="shared" si="29"/>
        <v>-980.94</v>
      </c>
      <c r="G77" s="196">
        <f t="shared" si="29"/>
        <v>0</v>
      </c>
    </row>
    <row r="78" spans="1:7" s="45" customFormat="1" x14ac:dyDescent="0.35">
      <c r="A78" s="29"/>
      <c r="B78" s="218"/>
      <c r="C78" s="218"/>
      <c r="D78" s="218"/>
      <c r="E78" s="218"/>
      <c r="F78" s="218"/>
      <c r="G78" s="218"/>
    </row>
    <row r="79" spans="1:7" s="45" customFormat="1" x14ac:dyDescent="0.35">
      <c r="A79" s="263" t="s">
        <v>161</v>
      </c>
      <c r="B79" s="69"/>
      <c r="C79" s="69"/>
      <c r="D79" s="141"/>
    </row>
    <row r="80" spans="1:7" s="45" customFormat="1" x14ac:dyDescent="0.35">
      <c r="A80" s="19" t="s">
        <v>22</v>
      </c>
      <c r="B80" s="24">
        <v>0</v>
      </c>
      <c r="C80" s="24">
        <v>16223.57</v>
      </c>
      <c r="D80" s="24">
        <v>-40786.449999999997</v>
      </c>
      <c r="E80" s="213">
        <v>-582.32000000000005</v>
      </c>
      <c r="F80" s="202">
        <f>SUM(B80:E80)</f>
        <v>-25145.199999999997</v>
      </c>
      <c r="G80" s="214">
        <f>ROUND(F80/24*1,2)</f>
        <v>-1047.72</v>
      </c>
    </row>
    <row r="81" spans="1:12" s="45" customFormat="1" x14ac:dyDescent="0.35">
      <c r="A81" s="19" t="s">
        <v>23</v>
      </c>
      <c r="B81" s="195">
        <f>SUM(B84:B86)</f>
        <v>0</v>
      </c>
      <c r="C81" s="195">
        <f t="shared" ref="C81:E81" si="30">SUM(C84:C86)</f>
        <v>13804.900000000001</v>
      </c>
      <c r="D81" s="195">
        <f t="shared" si="30"/>
        <v>-13286.16</v>
      </c>
      <c r="E81" s="215">
        <f t="shared" si="30"/>
        <v>-426.90000000000003</v>
      </c>
      <c r="F81" s="202">
        <f>SUM(B81:E81)</f>
        <v>91.840000000001567</v>
      </c>
      <c r="G81" s="214">
        <f>SUM(G84:G86)</f>
        <v>3.8299999999999983</v>
      </c>
    </row>
    <row r="82" spans="1:12" s="45" customFormat="1" x14ac:dyDescent="0.35">
      <c r="A82" s="19" t="s">
        <v>3</v>
      </c>
      <c r="B82" s="196">
        <f t="shared" ref="B82:G82" si="31">SUM(B80:B81)</f>
        <v>0</v>
      </c>
      <c r="C82" s="196">
        <f t="shared" si="31"/>
        <v>30028.47</v>
      </c>
      <c r="D82" s="196">
        <f t="shared" si="31"/>
        <v>-54072.61</v>
      </c>
      <c r="E82" s="216">
        <f t="shared" si="31"/>
        <v>-1009.22</v>
      </c>
      <c r="F82" s="196">
        <f t="shared" si="31"/>
        <v>-25053.359999999997</v>
      </c>
      <c r="G82" s="217">
        <f t="shared" si="31"/>
        <v>-1043.8900000000001</v>
      </c>
    </row>
    <row r="83" spans="1:12" s="45" customFormat="1" x14ac:dyDescent="0.35">
      <c r="B83" s="193"/>
      <c r="C83" s="193"/>
      <c r="D83" s="194"/>
    </row>
    <row r="84" spans="1:12" s="45" customFormat="1" x14ac:dyDescent="0.35">
      <c r="A84" s="19" t="s">
        <v>94</v>
      </c>
      <c r="B84" s="24">
        <v>0</v>
      </c>
      <c r="C84" s="24">
        <v>6127.48</v>
      </c>
      <c r="D84" s="24">
        <v>-5257.63</v>
      </c>
      <c r="E84" s="195">
        <v>-160.02000000000001</v>
      </c>
      <c r="F84" s="196">
        <f t="shared" ref="F84:F86" si="32">SUM(B84:E84)</f>
        <v>709.82999999999947</v>
      </c>
      <c r="G84" s="222">
        <f>ROUND(F84/24*1,2)</f>
        <v>29.58</v>
      </c>
    </row>
    <row r="85" spans="1:12" s="45" customFormat="1" x14ac:dyDescent="0.35">
      <c r="A85" s="19" t="s">
        <v>95</v>
      </c>
      <c r="B85" s="24">
        <v>0</v>
      </c>
      <c r="C85" s="24">
        <v>7014.63</v>
      </c>
      <c r="D85" s="24">
        <v>-6926.28</v>
      </c>
      <c r="E85" s="195">
        <v>-231.68</v>
      </c>
      <c r="F85" s="196">
        <f t="shared" si="32"/>
        <v>-143.32999999999964</v>
      </c>
      <c r="G85" s="222">
        <f>ROUND(F85/24*1,2)</f>
        <v>-5.97</v>
      </c>
    </row>
    <row r="86" spans="1:12" s="45" customFormat="1" x14ac:dyDescent="0.35">
      <c r="A86" s="19" t="s">
        <v>96</v>
      </c>
      <c r="B86" s="195">
        <v>0</v>
      </c>
      <c r="C86" s="24">
        <v>662.79</v>
      </c>
      <c r="D86" s="195">
        <v>-1102.25</v>
      </c>
      <c r="E86" s="195">
        <v>-35.200000000000003</v>
      </c>
      <c r="F86" s="196">
        <f t="shared" si="32"/>
        <v>-474.66</v>
      </c>
      <c r="G86" s="222">
        <f>ROUND(F86/24*1,2)</f>
        <v>-19.78</v>
      </c>
    </row>
    <row r="87" spans="1:12" s="45" customFormat="1" x14ac:dyDescent="0.35">
      <c r="A87" s="29" t="s">
        <v>97</v>
      </c>
      <c r="B87" s="196">
        <f>SUM(B84:B86)</f>
        <v>0</v>
      </c>
      <c r="C87" s="196">
        <f>SUM(C84:C86)</f>
        <v>13804.900000000001</v>
      </c>
      <c r="D87" s="196">
        <f t="shared" ref="D87:G87" si="33">SUM(D84:D86)</f>
        <v>-13286.16</v>
      </c>
      <c r="E87" s="196">
        <f t="shared" si="33"/>
        <v>-426.90000000000003</v>
      </c>
      <c r="F87" s="196">
        <f t="shared" si="33"/>
        <v>91.839999999999748</v>
      </c>
      <c r="G87" s="196">
        <f t="shared" si="33"/>
        <v>3.8299999999999983</v>
      </c>
    </row>
    <row r="88" spans="1:12" s="45" customFormat="1" x14ac:dyDescent="0.35">
      <c r="A88" s="29"/>
      <c r="B88" s="218"/>
      <c r="C88" s="218"/>
      <c r="D88" s="218"/>
      <c r="E88" s="218"/>
      <c r="F88" s="218"/>
      <c r="G88" s="218"/>
    </row>
    <row r="89" spans="1:12" x14ac:dyDescent="0.35">
      <c r="A89" s="3" t="s">
        <v>199</v>
      </c>
      <c r="B89" s="45"/>
      <c r="D89" s="45"/>
      <c r="E89" s="45"/>
      <c r="F89" s="45"/>
      <c r="G89" s="45"/>
      <c r="J89" s="45"/>
      <c r="K89" s="45"/>
    </row>
    <row r="90" spans="1:12" x14ac:dyDescent="0.35">
      <c r="A90" s="3" t="s">
        <v>200</v>
      </c>
      <c r="B90" s="45"/>
      <c r="D90" s="45"/>
      <c r="E90" s="45"/>
      <c r="F90" s="45"/>
      <c r="G90" s="45"/>
    </row>
    <row r="91" spans="1:12" x14ac:dyDescent="0.35">
      <c r="A91" s="3" t="s">
        <v>201</v>
      </c>
      <c r="B91" s="45"/>
      <c r="D91" s="45"/>
      <c r="E91" s="45"/>
      <c r="F91" s="45"/>
      <c r="G91" s="45"/>
    </row>
    <row r="92" spans="1:12" x14ac:dyDescent="0.35">
      <c r="A92" s="412" t="s">
        <v>202</v>
      </c>
      <c r="B92" s="392"/>
      <c r="C92" s="392"/>
      <c r="D92" s="392"/>
      <c r="E92" s="392"/>
      <c r="F92" s="392"/>
      <c r="G92" s="392"/>
      <c r="H92" s="392"/>
      <c r="I92" s="392"/>
      <c r="J92" s="392"/>
      <c r="K92" s="392"/>
      <c r="L92" s="392"/>
    </row>
    <row r="93" spans="1:12" s="45" customFormat="1" x14ac:dyDescent="0.35">
      <c r="A93" s="412" t="s">
        <v>139</v>
      </c>
      <c r="B93" s="392"/>
      <c r="C93" s="392"/>
      <c r="D93" s="392"/>
      <c r="E93" s="392"/>
      <c r="F93" s="392"/>
      <c r="G93" s="392"/>
      <c r="H93" s="392"/>
      <c r="I93" s="392"/>
      <c r="J93" s="392"/>
      <c r="K93" s="392"/>
      <c r="L93" s="392"/>
    </row>
    <row r="94" spans="1:12" s="45" customFormat="1" ht="63" customHeight="1" x14ac:dyDescent="0.35">
      <c r="A94" s="548" t="s">
        <v>265</v>
      </c>
      <c r="B94" s="548"/>
      <c r="C94" s="548"/>
      <c r="D94" s="548"/>
      <c r="E94" s="548"/>
      <c r="F94" s="548"/>
      <c r="G94" s="548"/>
      <c r="H94" s="548"/>
      <c r="I94" s="548"/>
      <c r="J94" s="548"/>
      <c r="K94" s="548"/>
      <c r="L94" s="548"/>
    </row>
    <row r="95" spans="1:12" x14ac:dyDescent="0.35">
      <c r="A95" s="3"/>
      <c r="B95" s="45"/>
      <c r="D95" s="45"/>
      <c r="E95" s="45"/>
    </row>
    <row r="96" spans="1:12" s="45" customFormat="1" x14ac:dyDescent="0.35">
      <c r="A96" s="3"/>
    </row>
    <row r="97" spans="1:1" x14ac:dyDescent="0.35">
      <c r="A97" s="3"/>
    </row>
  </sheetData>
  <mergeCells count="2">
    <mergeCell ref="B3:D3"/>
    <mergeCell ref="A94:L94"/>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475B-D546-4319-B398-EF50E74D6379}">
  <sheetPr>
    <pageSetUpPr fitToPage="1"/>
  </sheetPr>
  <dimension ref="A1:P147"/>
  <sheetViews>
    <sheetView zoomScale="85" zoomScaleNormal="85" workbookViewId="0">
      <pane ySplit="5" topLeftCell="A6" activePane="bottomLeft" state="frozen"/>
      <selection activeCell="E77" sqref="E77"/>
      <selection pane="bottomLeft" activeCell="A6" sqref="A6"/>
    </sheetView>
  </sheetViews>
  <sheetFormatPr defaultColWidth="8.7265625" defaultRowHeight="14.5" x14ac:dyDescent="0.35"/>
  <cols>
    <col min="1" max="1" width="23.7265625" style="45" customWidth="1"/>
    <col min="2" max="2" width="15.26953125" style="45" bestFit="1" customWidth="1"/>
    <col min="3" max="3" width="14.26953125" style="45" customWidth="1"/>
    <col min="4" max="4" width="13.26953125" style="45" bestFit="1" customWidth="1"/>
    <col min="5" max="5" width="9.7265625" style="45" bestFit="1" customWidth="1"/>
    <col min="6" max="6" width="12.54296875" style="45" bestFit="1" customWidth="1"/>
    <col min="7" max="7" width="13.1796875" style="45" customWidth="1"/>
    <col min="8" max="10" width="8.7265625" style="45"/>
    <col min="11" max="11" width="12.7265625" style="45" bestFit="1" customWidth="1"/>
    <col min="12" max="12" width="12.453125" style="45" bestFit="1" customWidth="1"/>
    <col min="13" max="13" width="10.81640625" style="45" bestFit="1" customWidth="1"/>
    <col min="14" max="14" width="9.81640625" style="45" bestFit="1" customWidth="1"/>
    <col min="15" max="15" width="12.7265625" style="45" bestFit="1" customWidth="1"/>
    <col min="16" max="16" width="11.7265625" style="45" bestFit="1" customWidth="1"/>
    <col min="17" max="16384" width="8.7265625" style="45"/>
  </cols>
  <sheetData>
    <row r="1" spans="1:16" x14ac:dyDescent="0.35">
      <c r="A1" s="62" t="str">
        <f>+'PTD Cycle 3'!A1</f>
        <v>Evergy Missouri West, Inc. - DSIM Rider Update Filed 06/02/2025</v>
      </c>
    </row>
    <row r="2" spans="1:16" x14ac:dyDescent="0.35">
      <c r="A2" s="8" t="str">
        <f>+'PTD Cycle 3'!A2</f>
        <v>Projections for Cycle 3 July 2025 - June 2026 DSIM</v>
      </c>
    </row>
    <row r="3" spans="1:16" x14ac:dyDescent="0.35">
      <c r="A3" s="8"/>
    </row>
    <row r="4" spans="1:16" ht="45.75" customHeight="1" x14ac:dyDescent="0.35">
      <c r="B4" s="527" t="s">
        <v>141</v>
      </c>
      <c r="C4" s="527"/>
      <c r="D4" s="527"/>
    </row>
    <row r="5" spans="1:16" ht="87" x14ac:dyDescent="0.35">
      <c r="B5" s="69" t="s">
        <v>87</v>
      </c>
      <c r="C5" s="69" t="s">
        <v>88</v>
      </c>
      <c r="D5" s="69" t="s">
        <v>91</v>
      </c>
      <c r="E5" s="69" t="s">
        <v>89</v>
      </c>
      <c r="F5" s="69" t="s">
        <v>86</v>
      </c>
      <c r="G5" s="69" t="s">
        <v>143</v>
      </c>
      <c r="H5" s="515"/>
      <c r="I5" s="515"/>
      <c r="J5" s="515"/>
      <c r="K5" s="515"/>
    </row>
    <row r="6" spans="1:16" x14ac:dyDescent="0.35">
      <c r="A6" s="19"/>
      <c r="B6" s="69"/>
      <c r="C6" s="69"/>
      <c r="D6" s="142"/>
      <c r="H6" s="515"/>
      <c r="I6" s="515"/>
      <c r="J6" s="515"/>
      <c r="K6" s="515"/>
    </row>
    <row r="7" spans="1:16" x14ac:dyDescent="0.35">
      <c r="A7" s="220" t="s">
        <v>142</v>
      </c>
      <c r="B7" s="69"/>
      <c r="C7" s="69"/>
      <c r="D7" s="141"/>
      <c r="H7" s="515"/>
      <c r="I7" s="515"/>
      <c r="J7" s="515"/>
      <c r="K7" s="515"/>
    </row>
    <row r="8" spans="1:16" x14ac:dyDescent="0.35">
      <c r="A8" s="19" t="s">
        <v>22</v>
      </c>
      <c r="B8" s="202">
        <f>SUMIFS(B$18:B$159,$A$18:$A$159,$A8)</f>
        <v>8155603.7199999997</v>
      </c>
      <c r="C8" s="202">
        <f>SUMIFS(C$18:C$159,$A$18:$A$159,$A8)</f>
        <v>324871.06999999995</v>
      </c>
      <c r="D8" s="202">
        <f>SUMIFS(D$18:D$159,$A$18:$A$159,$A8)</f>
        <v>-806427.95</v>
      </c>
      <c r="E8" s="202">
        <f>SUMIFS(E$18:E$159,$A$18:$A$159,$A8)</f>
        <v>-12691.189999999999</v>
      </c>
      <c r="F8" s="202">
        <f>SUM(B8:E8)</f>
        <v>7661355.6499999985</v>
      </c>
      <c r="G8" s="202">
        <f>SUMIFS(G$18:G$159,$A$18:$A$159,$A8)</f>
        <v>1201014.81</v>
      </c>
      <c r="H8" s="515"/>
      <c r="I8" s="515"/>
      <c r="J8" s="515"/>
      <c r="K8" s="515"/>
      <c r="L8" s="515"/>
      <c r="M8" s="515"/>
      <c r="N8" s="515"/>
      <c r="O8" s="515"/>
      <c r="P8" s="515"/>
    </row>
    <row r="9" spans="1:16" x14ac:dyDescent="0.35">
      <c r="A9" s="19" t="s">
        <v>23</v>
      </c>
      <c r="B9" s="202">
        <f>B15</f>
        <v>5499493.6999999993</v>
      </c>
      <c r="C9" s="202">
        <f>C15</f>
        <v>-18178.539999999997</v>
      </c>
      <c r="D9" s="202">
        <f>D15</f>
        <v>-67355.109999999986</v>
      </c>
      <c r="E9" s="202">
        <f>E15</f>
        <v>-1988.07</v>
      </c>
      <c r="F9" s="202">
        <f>SUM(B9:E9)</f>
        <v>5411971.9799999986</v>
      </c>
      <c r="G9" s="202">
        <f>G15</f>
        <v>1106450.3500000001</v>
      </c>
      <c r="H9" s="515"/>
      <c r="I9" s="515"/>
      <c r="J9" s="515"/>
      <c r="K9" s="515"/>
      <c r="L9" s="515"/>
      <c r="M9" s="515"/>
      <c r="N9" s="515"/>
      <c r="O9" s="515"/>
      <c r="P9" s="515"/>
    </row>
    <row r="10" spans="1:16" x14ac:dyDescent="0.35">
      <c r="A10" s="19" t="s">
        <v>3</v>
      </c>
      <c r="B10" s="196">
        <f t="shared" ref="B10" si="0">SUM(B8:B9)</f>
        <v>13655097.419999998</v>
      </c>
      <c r="C10" s="196">
        <f t="shared" ref="C10:E10" si="1">SUM(C8:C9)</f>
        <v>306692.52999999997</v>
      </c>
      <c r="D10" s="196">
        <f t="shared" si="1"/>
        <v>-873783.05999999994</v>
      </c>
      <c r="E10" s="196">
        <f t="shared" si="1"/>
        <v>-14679.259999999998</v>
      </c>
      <c r="F10" s="196">
        <f t="shared" ref="F10" si="2">SUM(F8:F9)</f>
        <v>13073327.629999997</v>
      </c>
      <c r="G10" s="196">
        <f t="shared" ref="G10" si="3">SUM(G8:G9)</f>
        <v>2307465.16</v>
      </c>
      <c r="H10" s="515"/>
      <c r="I10" s="515"/>
      <c r="J10" s="515"/>
      <c r="K10" s="515"/>
      <c r="L10" s="515"/>
      <c r="M10" s="515"/>
      <c r="N10" s="515"/>
      <c r="O10" s="515"/>
      <c r="P10" s="515"/>
    </row>
    <row r="11" spans="1:16" x14ac:dyDescent="0.35">
      <c r="B11" s="193"/>
      <c r="C11" s="193"/>
      <c r="D11" s="193"/>
      <c r="E11" s="193"/>
      <c r="G11" s="193"/>
      <c r="H11" s="515"/>
      <c r="I11" s="515"/>
      <c r="J11" s="515"/>
      <c r="K11" s="515"/>
      <c r="L11" s="515"/>
      <c r="M11" s="515"/>
      <c r="N11" s="515"/>
      <c r="O11" s="515"/>
      <c r="P11" s="515"/>
    </row>
    <row r="12" spans="1:16" x14ac:dyDescent="0.35">
      <c r="A12" s="19" t="s">
        <v>94</v>
      </c>
      <c r="B12" s="202">
        <f t="shared" ref="B12:E14" si="4">SUMIFS(B$18:B$159,$A$18:$A$159,$A12)</f>
        <v>1683059.1199999999</v>
      </c>
      <c r="C12" s="202">
        <f t="shared" si="4"/>
        <v>-15253.399999999996</v>
      </c>
      <c r="D12" s="202">
        <f t="shared" si="4"/>
        <v>-16679.259999999998</v>
      </c>
      <c r="E12" s="202">
        <f t="shared" si="4"/>
        <v>-1238.8600000000001</v>
      </c>
      <c r="F12" s="196">
        <f t="shared" ref="F12:F14" si="5">SUM(B12:E12)</f>
        <v>1649887.5999999999</v>
      </c>
      <c r="G12" s="202">
        <f>SUMIFS(G$18:G$159,$A$18:$A$159,$A12)</f>
        <v>408558.53</v>
      </c>
      <c r="H12" s="515"/>
      <c r="I12" s="515"/>
      <c r="J12" s="515"/>
      <c r="K12" s="515"/>
      <c r="L12" s="515"/>
      <c r="M12" s="515"/>
      <c r="N12" s="515"/>
      <c r="O12" s="515"/>
      <c r="P12" s="515"/>
    </row>
    <row r="13" spans="1:16" x14ac:dyDescent="0.35">
      <c r="A13" s="19" t="s">
        <v>95</v>
      </c>
      <c r="B13" s="202">
        <f t="shared" si="4"/>
        <v>2295628.02</v>
      </c>
      <c r="C13" s="202">
        <f t="shared" si="4"/>
        <v>-2963.96</v>
      </c>
      <c r="D13" s="202">
        <f t="shared" si="4"/>
        <v>-41665.86</v>
      </c>
      <c r="E13" s="202">
        <f t="shared" si="4"/>
        <v>-647.83000000000004</v>
      </c>
      <c r="F13" s="196">
        <f t="shared" si="5"/>
        <v>2250350.37</v>
      </c>
      <c r="G13" s="202">
        <f>SUMIFS(G$18:G$159,$A$18:$A$159,$A13)</f>
        <v>416883.99</v>
      </c>
      <c r="H13" s="515"/>
      <c r="I13" s="515"/>
      <c r="J13" s="515"/>
      <c r="K13" s="515"/>
      <c r="L13" s="515"/>
      <c r="M13" s="515"/>
      <c r="N13" s="515"/>
      <c r="O13" s="515"/>
      <c r="P13" s="515"/>
    </row>
    <row r="14" spans="1:16" x14ac:dyDescent="0.35">
      <c r="A14" s="19" t="s">
        <v>96</v>
      </c>
      <c r="B14" s="202">
        <f t="shared" si="4"/>
        <v>1520806.56</v>
      </c>
      <c r="C14" s="202">
        <f t="shared" si="4"/>
        <v>38.819999999999624</v>
      </c>
      <c r="D14" s="202">
        <f t="shared" si="4"/>
        <v>-9009.989999999998</v>
      </c>
      <c r="E14" s="202">
        <f t="shared" si="4"/>
        <v>-101.37999999999998</v>
      </c>
      <c r="F14" s="196">
        <f t="shared" si="5"/>
        <v>1511734.0100000002</v>
      </c>
      <c r="G14" s="202">
        <f>SUMIFS(G$18:G$159,$A$18:$A$159,$A14)</f>
        <v>281007.83</v>
      </c>
      <c r="H14" s="515"/>
      <c r="I14" s="515"/>
      <c r="J14" s="515"/>
      <c r="K14" s="515"/>
      <c r="L14" s="515"/>
      <c r="M14" s="515"/>
      <c r="N14" s="515"/>
      <c r="O14" s="515"/>
      <c r="P14" s="515"/>
    </row>
    <row r="15" spans="1:16" x14ac:dyDescent="0.35">
      <c r="A15" s="29" t="s">
        <v>97</v>
      </c>
      <c r="B15" s="196">
        <f t="shared" ref="B15" si="6">SUM(B12:B14)</f>
        <v>5499493.6999999993</v>
      </c>
      <c r="C15" s="196">
        <f t="shared" ref="C15:E15" si="7">SUM(C12:C14)</f>
        <v>-18178.539999999997</v>
      </c>
      <c r="D15" s="196">
        <f t="shared" si="7"/>
        <v>-67355.109999999986</v>
      </c>
      <c r="E15" s="196">
        <f t="shared" si="7"/>
        <v>-1988.07</v>
      </c>
      <c r="F15" s="196">
        <f t="shared" ref="F15" si="8">SUM(F12:F14)</f>
        <v>5411971.9800000004</v>
      </c>
      <c r="G15" s="196">
        <f t="shared" ref="G15" si="9">SUM(G12:G14)</f>
        <v>1106450.3500000001</v>
      </c>
      <c r="H15" s="515"/>
      <c r="I15" s="515"/>
      <c r="J15" s="515"/>
      <c r="K15" s="515"/>
      <c r="L15" s="515"/>
      <c r="M15" s="515"/>
      <c r="N15" s="515"/>
      <c r="O15" s="515"/>
      <c r="P15" s="515"/>
    </row>
    <row r="16" spans="1:16" x14ac:dyDescent="0.35">
      <c r="A16" s="19"/>
      <c r="B16" s="69"/>
      <c r="C16" s="69"/>
      <c r="D16" s="141"/>
      <c r="H16" s="515"/>
      <c r="I16" s="515"/>
      <c r="J16" s="515"/>
      <c r="K16" s="515"/>
      <c r="L16" s="515"/>
      <c r="M16" s="515"/>
      <c r="N16" s="515"/>
      <c r="O16" s="515"/>
      <c r="P16" s="515"/>
    </row>
    <row r="17" spans="1:16" x14ac:dyDescent="0.35">
      <c r="A17" s="19"/>
      <c r="B17" s="69"/>
      <c r="C17" s="69"/>
      <c r="D17" s="141"/>
      <c r="H17" s="515"/>
      <c r="I17" s="515"/>
      <c r="J17" s="515"/>
      <c r="K17" s="515"/>
      <c r="L17" s="515"/>
      <c r="M17" s="515"/>
      <c r="N17" s="515"/>
      <c r="O17" s="515"/>
      <c r="P17" s="515"/>
    </row>
    <row r="18" spans="1:16" x14ac:dyDescent="0.35">
      <c r="A18" s="220" t="s">
        <v>147</v>
      </c>
      <c r="B18" s="69"/>
      <c r="C18" s="69"/>
      <c r="D18" s="141"/>
      <c r="H18" s="515"/>
      <c r="I18" s="515"/>
      <c r="J18" s="515"/>
      <c r="K18" s="515"/>
      <c r="L18" s="515"/>
      <c r="M18" s="515"/>
      <c r="N18" s="515"/>
      <c r="O18" s="515"/>
      <c r="P18" s="515"/>
    </row>
    <row r="19" spans="1:16" x14ac:dyDescent="0.35">
      <c r="A19" s="19" t="s">
        <v>22</v>
      </c>
      <c r="B19" s="24">
        <f>ROUND('[19]EO Matrix @Meter'!$R$20,2)</f>
        <v>1600473.26</v>
      </c>
      <c r="C19" s="24">
        <f>ROUND(SUM('[20]Ex Post Gross TD Calc'!$E$571:$Z$571),2)</f>
        <v>575236.4</v>
      </c>
      <c r="D19" s="24">
        <f>ROUND(SUM('[20]NTG TD Calc'!$E$436:$Z$436),2)</f>
        <v>-545792.23</v>
      </c>
      <c r="E19" s="213">
        <f>ROUND(SUM('[20]EO TD Carrying Costs'!$C$55:$X$55),2)</f>
        <v>6704.6</v>
      </c>
      <c r="F19" s="202">
        <f>SUM(B19:E19)</f>
        <v>1636622.0300000003</v>
      </c>
      <c r="G19" s="214">
        <f>ROUND(F19/12*0,2)</f>
        <v>0</v>
      </c>
      <c r="H19" s="515"/>
      <c r="I19" s="515"/>
      <c r="J19" s="515"/>
      <c r="K19" s="515"/>
      <c r="L19" s="317"/>
      <c r="M19" s="317"/>
    </row>
    <row r="20" spans="1:16" x14ac:dyDescent="0.35">
      <c r="A20" s="19" t="s">
        <v>23</v>
      </c>
      <c r="B20" s="195">
        <f>SUM(B23:B25)</f>
        <v>893810.55</v>
      </c>
      <c r="C20" s="195">
        <f t="shared" ref="C20:E20" si="10">SUM(C23:C25)</f>
        <v>48777.71</v>
      </c>
      <c r="D20" s="195">
        <f t="shared" si="10"/>
        <v>-18883.82</v>
      </c>
      <c r="E20" s="215">
        <f t="shared" si="10"/>
        <v>299.14999999999998</v>
      </c>
      <c r="F20" s="202">
        <f>SUM(B20:E20)</f>
        <v>924003.59000000008</v>
      </c>
      <c r="G20" s="214">
        <f>ROUND(F20/12*0,2)</f>
        <v>0</v>
      </c>
      <c r="H20" s="515"/>
      <c r="I20" s="515"/>
      <c r="J20" s="515"/>
      <c r="K20" s="515"/>
      <c r="L20" s="317"/>
      <c r="M20" s="317"/>
    </row>
    <row r="21" spans="1:16" x14ac:dyDescent="0.35">
      <c r="A21" s="19" t="s">
        <v>3</v>
      </c>
      <c r="B21" s="196">
        <f t="shared" ref="B21:G21" si="11">SUM(B19:B20)</f>
        <v>2494283.81</v>
      </c>
      <c r="C21" s="196">
        <f t="shared" si="11"/>
        <v>624014.11</v>
      </c>
      <c r="D21" s="196">
        <f t="shared" si="11"/>
        <v>-564676.04999999993</v>
      </c>
      <c r="E21" s="216">
        <f t="shared" si="11"/>
        <v>7003.75</v>
      </c>
      <c r="F21" s="196">
        <f t="shared" si="11"/>
        <v>2560625.62</v>
      </c>
      <c r="G21" s="217">
        <f t="shared" si="11"/>
        <v>0</v>
      </c>
      <c r="H21" s="515"/>
      <c r="I21" s="515"/>
      <c r="J21" s="515"/>
      <c r="K21" s="515"/>
    </row>
    <row r="22" spans="1:16" x14ac:dyDescent="0.35">
      <c r="B22" s="193"/>
      <c r="C22" s="193"/>
      <c r="D22" s="194"/>
      <c r="H22" s="515"/>
      <c r="I22" s="515"/>
      <c r="J22" s="515"/>
      <c r="K22" s="515"/>
    </row>
    <row r="23" spans="1:16" x14ac:dyDescent="0.35">
      <c r="A23" s="19" t="s">
        <v>94</v>
      </c>
      <c r="B23" s="24">
        <f>ROUND('[19]EO Matrix @Meter'!$V$20,2)</f>
        <v>310910.24</v>
      </c>
      <c r="C23" s="24">
        <f>ROUND(SUM('[20]Ex Post Gross TD Calc'!$E$572:$Z$572),2)</f>
        <v>31691.65</v>
      </c>
      <c r="D23" s="24">
        <f>ROUND(SUM('[20]NTG TD Calc'!$E$437:$Z$437),2)</f>
        <v>-8282.43</v>
      </c>
      <c r="E23" s="213">
        <f>ROUND(SUM('[20]EO TD Carrying Costs'!$C$56:$X$56),2)</f>
        <v>207.66</v>
      </c>
      <c r="F23" s="196">
        <f t="shared" ref="F23:F25" si="12">SUM(B23:E23)</f>
        <v>334527.12</v>
      </c>
      <c r="G23" s="222">
        <f>ROUND(F23/12*0,2)</f>
        <v>0</v>
      </c>
      <c r="H23" s="515"/>
      <c r="I23" s="515"/>
      <c r="J23" s="515"/>
      <c r="K23" s="515"/>
      <c r="L23" s="317"/>
      <c r="M23" s="317"/>
    </row>
    <row r="24" spans="1:16" x14ac:dyDescent="0.35">
      <c r="A24" s="19" t="s">
        <v>95</v>
      </c>
      <c r="B24" s="24">
        <f>ROUND('[19]EO Matrix @Meter'!$X$20,2)</f>
        <v>318131.55</v>
      </c>
      <c r="C24" s="24">
        <f>ROUND(SUM('[20]Ex Post Gross TD Calc'!$E$574:$Z$574),2)</f>
        <v>14779.57</v>
      </c>
      <c r="D24" s="24">
        <f>ROUND(SUM('[20]NTG TD Calc'!$E$439:$Z$439),2)</f>
        <v>-5434.16</v>
      </c>
      <c r="E24" s="213">
        <f>ROUND(SUM('[20]EO TD Carrying Costs'!$C$58:$X$58),2)</f>
        <v>118.71</v>
      </c>
      <c r="F24" s="196">
        <f t="shared" si="12"/>
        <v>327595.67000000004</v>
      </c>
      <c r="G24" s="222">
        <f>ROUND(F24/12*0,2)</f>
        <v>0</v>
      </c>
      <c r="H24" s="515"/>
      <c r="I24" s="515"/>
      <c r="J24" s="515"/>
      <c r="K24" s="515"/>
      <c r="L24" s="317"/>
      <c r="M24" s="317"/>
    </row>
    <row r="25" spans="1:16" x14ac:dyDescent="0.35">
      <c r="A25" s="19" t="s">
        <v>96</v>
      </c>
      <c r="B25" s="24">
        <f>ROUND('[19]EO Matrix @Meter'!$Y$20,2)</f>
        <v>264768.76</v>
      </c>
      <c r="C25" s="24">
        <f>ROUND(SUM('[20]Ex Post Gross TD Calc'!$E$575:$Z$575),2)</f>
        <v>2306.4899999999998</v>
      </c>
      <c r="D25" s="24">
        <f>ROUND(SUM('[20]NTG TD Calc'!$E$440:$Z$440),2)</f>
        <v>-5167.2299999999996</v>
      </c>
      <c r="E25" s="213">
        <f>ROUND(SUM('[20]EO TD Carrying Costs'!$C$59:$X$59),2)</f>
        <v>-27.22</v>
      </c>
      <c r="F25" s="196">
        <f t="shared" si="12"/>
        <v>261880.8</v>
      </c>
      <c r="G25" s="222">
        <f>ROUND(F25/12*0,2)</f>
        <v>0</v>
      </c>
      <c r="H25" s="515"/>
      <c r="I25" s="515"/>
      <c r="J25" s="515"/>
      <c r="K25" s="515"/>
      <c r="L25" s="317"/>
      <c r="M25" s="317"/>
    </row>
    <row r="26" spans="1:16" x14ac:dyDescent="0.35">
      <c r="A26" s="29" t="s">
        <v>97</v>
      </c>
      <c r="B26" s="196">
        <f>SUM(B23:B25)</f>
        <v>893810.55</v>
      </c>
      <c r="C26" s="196">
        <f>SUM(C23:C25)</f>
        <v>48777.71</v>
      </c>
      <c r="D26" s="196">
        <f t="shared" ref="D26:G26" si="13">SUM(D23:D25)</f>
        <v>-18883.82</v>
      </c>
      <c r="E26" s="196">
        <f t="shared" si="13"/>
        <v>299.14999999999998</v>
      </c>
      <c r="F26" s="196">
        <f t="shared" si="13"/>
        <v>924003.59000000008</v>
      </c>
      <c r="G26" s="196">
        <f t="shared" si="13"/>
        <v>0</v>
      </c>
      <c r="H26" s="515"/>
      <c r="I26" s="515"/>
      <c r="J26" s="515"/>
      <c r="K26" s="515"/>
    </row>
    <row r="27" spans="1:16" s="38" customFormat="1" x14ac:dyDescent="0.35">
      <c r="A27" s="29"/>
      <c r="B27" s="221"/>
      <c r="C27" s="221"/>
      <c r="D27" s="221"/>
      <c r="E27" s="221"/>
      <c r="F27" s="221"/>
      <c r="G27" s="221"/>
      <c r="H27" s="515"/>
      <c r="I27" s="515"/>
      <c r="J27" s="515"/>
      <c r="K27" s="515"/>
    </row>
    <row r="28" spans="1:16" s="38" customFormat="1" x14ac:dyDescent="0.35">
      <c r="A28" s="29"/>
      <c r="B28" s="221"/>
      <c r="C28" s="221"/>
      <c r="D28" s="221"/>
      <c r="E28" s="221"/>
      <c r="F28" s="221"/>
      <c r="G28" s="221"/>
      <c r="H28" s="515"/>
      <c r="I28" s="515"/>
      <c r="J28" s="515"/>
      <c r="K28" s="515"/>
    </row>
    <row r="29" spans="1:16" x14ac:dyDescent="0.35">
      <c r="A29" s="257" t="s">
        <v>152</v>
      </c>
      <c r="B29" s="69"/>
      <c r="C29" s="69"/>
      <c r="D29" s="141"/>
      <c r="H29" s="515"/>
      <c r="I29" s="515"/>
      <c r="J29" s="515"/>
      <c r="K29" s="515"/>
    </row>
    <row r="30" spans="1:16" x14ac:dyDescent="0.35">
      <c r="A30" s="19" t="s">
        <v>22</v>
      </c>
      <c r="B30" s="24"/>
      <c r="C30" s="24">
        <f>ROUND(SUM('[20]Ex Post Gross TD Calc'!$AA$571:$AF$571),2)</f>
        <v>62492.85</v>
      </c>
      <c r="D30" s="24">
        <f>ROUND(SUM('[20]NTG TD Calc'!$AA$436:$AF$436),2)</f>
        <v>-64533.46</v>
      </c>
      <c r="E30" s="213">
        <f>ROUND(SUM('[20]EO TD Carrying Costs'!$Y$55:$AD$55),2)</f>
        <v>183.74</v>
      </c>
      <c r="F30" s="202">
        <f>SUM(B30:E30)</f>
        <v>-1856.8700000000006</v>
      </c>
      <c r="G30" s="214">
        <f>ROUND(F30/12*0,2)</f>
        <v>0</v>
      </c>
      <c r="H30" s="515"/>
      <c r="I30" s="515"/>
      <c r="J30" s="515"/>
      <c r="K30" s="515"/>
      <c r="L30" s="317"/>
      <c r="M30" s="317"/>
    </row>
    <row r="31" spans="1:16" x14ac:dyDescent="0.35">
      <c r="A31" s="19" t="s">
        <v>23</v>
      </c>
      <c r="B31" s="195"/>
      <c r="C31" s="195">
        <f t="shared" ref="C31:E31" si="14">SUM(C34:C36)</f>
        <v>16556.97</v>
      </c>
      <c r="D31" s="195">
        <f t="shared" si="14"/>
        <v>-2227.92</v>
      </c>
      <c r="E31" s="215">
        <f t="shared" si="14"/>
        <v>448.56</v>
      </c>
      <c r="F31" s="202">
        <f>SUM(B31:E31)</f>
        <v>14777.61</v>
      </c>
      <c r="G31" s="214">
        <f>ROUND(F31/12*0,2)</f>
        <v>0</v>
      </c>
      <c r="H31" s="515"/>
      <c r="I31" s="515"/>
      <c r="J31" s="515"/>
      <c r="K31" s="515"/>
      <c r="L31" s="317"/>
      <c r="M31" s="317"/>
    </row>
    <row r="32" spans="1:16" x14ac:dyDescent="0.35">
      <c r="A32" s="19" t="s">
        <v>3</v>
      </c>
      <c r="B32" s="196">
        <f t="shared" ref="B32:G32" si="15">SUM(B30:B31)</f>
        <v>0</v>
      </c>
      <c r="C32" s="196">
        <f t="shared" si="15"/>
        <v>79049.820000000007</v>
      </c>
      <c r="D32" s="196">
        <f t="shared" si="15"/>
        <v>-66761.38</v>
      </c>
      <c r="E32" s="216">
        <f t="shared" si="15"/>
        <v>632.29999999999995</v>
      </c>
      <c r="F32" s="196">
        <f t="shared" si="15"/>
        <v>12920.74</v>
      </c>
      <c r="G32" s="217">
        <f t="shared" si="15"/>
        <v>0</v>
      </c>
      <c r="H32" s="515"/>
      <c r="I32" s="515"/>
      <c r="J32" s="515"/>
      <c r="K32" s="515"/>
      <c r="L32" s="317"/>
      <c r="M32" s="317"/>
    </row>
    <row r="33" spans="1:15" x14ac:dyDescent="0.35">
      <c r="B33" s="193"/>
      <c r="C33" s="193"/>
      <c r="D33" s="194"/>
      <c r="H33" s="515"/>
      <c r="I33" s="515"/>
      <c r="J33" s="515"/>
      <c r="K33" s="515"/>
      <c r="L33" s="317"/>
      <c r="M33" s="317"/>
    </row>
    <row r="34" spans="1:15" x14ac:dyDescent="0.35">
      <c r="A34" s="19" t="s">
        <v>94</v>
      </c>
      <c r="B34" s="24"/>
      <c r="C34" s="24">
        <f>ROUND(SUM('[20]Ex Post Gross TD Calc'!$AA$572:$AF$572),2)</f>
        <v>10068.67</v>
      </c>
      <c r="D34" s="24">
        <f>ROUND(SUM('[20]NTG TD Calc'!$AA$437:$AF$437),2)</f>
        <v>-753.09</v>
      </c>
      <c r="E34" s="213">
        <f>ROUND(SUM('[20]EO TD Carrying Costs'!$Y$56:$AD$56),2)</f>
        <v>344.55</v>
      </c>
      <c r="F34" s="196">
        <f t="shared" ref="F34:F36" si="16">SUM(B34:E34)</f>
        <v>9660.1299999999992</v>
      </c>
      <c r="G34" s="214">
        <f t="shared" ref="G34:G36" si="17">ROUND(F34/12*0,2)</f>
        <v>0</v>
      </c>
      <c r="H34" s="515"/>
      <c r="I34" s="515"/>
      <c r="J34" s="515"/>
      <c r="K34" s="515"/>
      <c r="L34" s="317"/>
      <c r="M34" s="317"/>
    </row>
    <row r="35" spans="1:15" x14ac:dyDescent="0.35">
      <c r="A35" s="19" t="s">
        <v>95</v>
      </c>
      <c r="B35" s="24"/>
      <c r="C35" s="24">
        <f>ROUND(SUM('[20]Ex Post Gross TD Calc'!$AA$574:$AF$574),2)</f>
        <v>5538.26</v>
      </c>
      <c r="D35" s="24">
        <f>ROUND(SUM('[20]NTG TD Calc'!$AA$439:$AF$439),2)</f>
        <v>-759.03</v>
      </c>
      <c r="E35" s="213">
        <f>ROUND(SUM('[20]EO TD Carrying Costs'!$Y$58:$AD$58),2)</f>
        <v>142</v>
      </c>
      <c r="F35" s="196">
        <f t="shared" si="16"/>
        <v>4921.2300000000005</v>
      </c>
      <c r="G35" s="214">
        <f t="shared" si="17"/>
        <v>0</v>
      </c>
      <c r="H35" s="515"/>
      <c r="I35" s="515"/>
      <c r="J35" s="515"/>
      <c r="K35" s="515"/>
      <c r="L35" s="317"/>
      <c r="M35" s="317"/>
    </row>
    <row r="36" spans="1:15" x14ac:dyDescent="0.35">
      <c r="A36" s="19" t="s">
        <v>96</v>
      </c>
      <c r="B36" s="195"/>
      <c r="C36" s="24">
        <f>ROUND(SUM('[20]Ex Post Gross TD Calc'!$AA$575:$AF$575),2)</f>
        <v>950.04</v>
      </c>
      <c r="D36" s="24">
        <f>ROUND(SUM('[20]NTG TD Calc'!$AA$440:$AF$440),2)</f>
        <v>-715.8</v>
      </c>
      <c r="E36" s="213">
        <f>ROUND(SUM('[20]EO TD Carrying Costs'!$Y$59:$AD$59),2)</f>
        <v>-37.99</v>
      </c>
      <c r="F36" s="196">
        <f t="shared" si="16"/>
        <v>196.25</v>
      </c>
      <c r="G36" s="214">
        <f t="shared" si="17"/>
        <v>0</v>
      </c>
      <c r="H36" s="515"/>
      <c r="I36" s="515"/>
      <c r="J36" s="515"/>
      <c r="K36" s="515"/>
      <c r="L36" s="317"/>
      <c r="M36" s="317"/>
    </row>
    <row r="37" spans="1:15" x14ac:dyDescent="0.35">
      <c r="A37" s="29" t="s">
        <v>97</v>
      </c>
      <c r="B37" s="196">
        <f>SUM(B34:B36)</f>
        <v>0</v>
      </c>
      <c r="C37" s="196">
        <f>SUM(C34:C36)</f>
        <v>16556.97</v>
      </c>
      <c r="D37" s="196">
        <f t="shared" ref="D37:G37" si="18">SUM(D34:D36)</f>
        <v>-2227.92</v>
      </c>
      <c r="E37" s="196">
        <f t="shared" si="18"/>
        <v>448.56</v>
      </c>
      <c r="F37" s="196">
        <f t="shared" si="18"/>
        <v>14777.61</v>
      </c>
      <c r="G37" s="196">
        <f t="shared" si="18"/>
        <v>0</v>
      </c>
      <c r="H37" s="515"/>
      <c r="I37" s="515"/>
      <c r="J37" s="515"/>
      <c r="K37" s="515"/>
    </row>
    <row r="38" spans="1:15" x14ac:dyDescent="0.35">
      <c r="A38" s="29"/>
      <c r="B38" s="218"/>
      <c r="C38" s="218"/>
      <c r="D38" s="218"/>
      <c r="E38" s="218"/>
      <c r="F38" s="218"/>
      <c r="G38" s="218"/>
      <c r="H38" s="515"/>
      <c r="I38" s="515"/>
      <c r="J38" s="515"/>
      <c r="K38" s="515"/>
    </row>
    <row r="39" spans="1:15" s="38" customFormat="1" x14ac:dyDescent="0.35">
      <c r="A39" s="29"/>
      <c r="B39" s="221"/>
      <c r="C39" s="221"/>
      <c r="D39" s="221"/>
      <c r="E39" s="221"/>
      <c r="F39" s="221"/>
      <c r="G39" s="221"/>
      <c r="H39" s="515"/>
      <c r="I39" s="515"/>
      <c r="J39" s="515"/>
      <c r="K39" s="515"/>
    </row>
    <row r="40" spans="1:15" x14ac:dyDescent="0.35">
      <c r="A40" s="261" t="s">
        <v>158</v>
      </c>
      <c r="B40" s="69"/>
      <c r="C40" s="69"/>
      <c r="D40" s="141"/>
      <c r="H40" s="515"/>
      <c r="I40" s="515"/>
      <c r="J40" s="515"/>
      <c r="K40" s="515"/>
    </row>
    <row r="41" spans="1:15" x14ac:dyDescent="0.35">
      <c r="A41" s="19" t="s">
        <v>22</v>
      </c>
      <c r="B41" s="24">
        <v>0</v>
      </c>
      <c r="C41" s="24">
        <f>ROUND(SUM('[20]Ex Post Gross TD Calc'!$AG$571:$AM$571),2)</f>
        <v>71150.52</v>
      </c>
      <c r="D41" s="24">
        <f>ROUND(SUM('[20]NTG TD Calc'!$AG$436:$AM$436),2)</f>
        <v>-0.01</v>
      </c>
      <c r="E41" s="213">
        <f>ROUND(SUM('[20]EO TD Carrying Costs'!$AE$55:$AK$55),2)</f>
        <v>548.88</v>
      </c>
      <c r="F41" s="202">
        <f>SUM(B41:E41)</f>
        <v>71699.390000000014</v>
      </c>
      <c r="G41" s="214">
        <f>ROUND(F41/12*0,2)</f>
        <v>0</v>
      </c>
      <c r="H41" s="515"/>
      <c r="I41" s="515"/>
      <c r="J41" s="515"/>
      <c r="K41" s="515"/>
      <c r="L41" s="317"/>
      <c r="M41" s="317"/>
      <c r="O41" s="303"/>
    </row>
    <row r="42" spans="1:15" x14ac:dyDescent="0.35">
      <c r="A42" s="19" t="s">
        <v>23</v>
      </c>
      <c r="B42" s="195">
        <v>0</v>
      </c>
      <c r="C42" s="195">
        <f t="shared" ref="C42:G42" si="19">SUM(C45:C47)</f>
        <v>28197.040000000001</v>
      </c>
      <c r="D42" s="195">
        <f t="shared" si="19"/>
        <v>-0.02</v>
      </c>
      <c r="E42" s="215">
        <f t="shared" si="19"/>
        <v>443.20999999999992</v>
      </c>
      <c r="F42" s="202">
        <f>SUM(B42:E42)</f>
        <v>28640.23</v>
      </c>
      <c r="G42" s="214">
        <f t="shared" si="19"/>
        <v>0</v>
      </c>
      <c r="H42" s="515"/>
      <c r="I42" s="515"/>
      <c r="J42" s="515"/>
      <c r="K42" s="515"/>
      <c r="L42" s="317"/>
      <c r="M42" s="317"/>
      <c r="O42" s="303"/>
    </row>
    <row r="43" spans="1:15" x14ac:dyDescent="0.35">
      <c r="A43" s="19" t="s">
        <v>3</v>
      </c>
      <c r="B43" s="196">
        <f t="shared" ref="B43:G43" si="20">SUM(B41:B42)</f>
        <v>0</v>
      </c>
      <c r="C43" s="196">
        <f t="shared" si="20"/>
        <v>99347.56</v>
      </c>
      <c r="D43" s="196">
        <f t="shared" si="20"/>
        <v>-0.03</v>
      </c>
      <c r="E43" s="216">
        <f t="shared" si="20"/>
        <v>992.08999999999992</v>
      </c>
      <c r="F43" s="196">
        <f t="shared" si="20"/>
        <v>100339.62000000001</v>
      </c>
      <c r="G43" s="217">
        <f t="shared" si="20"/>
        <v>0</v>
      </c>
      <c r="H43" s="515"/>
      <c r="I43" s="515"/>
      <c r="J43" s="515"/>
      <c r="K43" s="515"/>
      <c r="L43" s="317"/>
      <c r="M43" s="317"/>
    </row>
    <row r="44" spans="1:15" x14ac:dyDescent="0.35">
      <c r="B44" s="193"/>
      <c r="C44" s="193"/>
      <c r="D44" s="194"/>
      <c r="H44" s="515"/>
      <c r="I44" s="515"/>
      <c r="J44" s="515"/>
      <c r="K44" s="515"/>
      <c r="L44" s="317"/>
      <c r="M44" s="317"/>
    </row>
    <row r="45" spans="1:15" x14ac:dyDescent="0.35">
      <c r="A45" s="19" t="s">
        <v>94</v>
      </c>
      <c r="B45" s="24">
        <v>0</v>
      </c>
      <c r="C45" s="24">
        <f>ROUND(SUM('[20]Ex Post Gross TD Calc'!$AG$572:$AM$572),2)</f>
        <v>19392.560000000001</v>
      </c>
      <c r="D45" s="24">
        <f>ROUND(SUM('[20]NTG TD Calc'!$AG$437:$AM$437),2)</f>
        <v>0</v>
      </c>
      <c r="E45" s="213">
        <f>ROUND(SUM('[20]EO TD Carrying Costs'!$AE$56:$AK$56),2)</f>
        <v>322.51</v>
      </c>
      <c r="F45" s="196">
        <f t="shared" ref="F45:F47" si="21">SUM(B45:E45)</f>
        <v>19715.07</v>
      </c>
      <c r="G45" s="214">
        <f t="shared" ref="G45:G47" si="22">ROUND(F45/12*0,2)</f>
        <v>0</v>
      </c>
      <c r="H45" s="515"/>
      <c r="I45" s="515"/>
      <c r="J45" s="515"/>
      <c r="K45" s="515"/>
      <c r="L45" s="317"/>
      <c r="M45" s="317"/>
    </row>
    <row r="46" spans="1:15" x14ac:dyDescent="0.35">
      <c r="A46" s="19" t="s">
        <v>95</v>
      </c>
      <c r="B46" s="24">
        <v>0</v>
      </c>
      <c r="C46" s="24">
        <f>ROUND(SUM('[20]Ex Post Gross TD Calc'!$AG$574:$AM$574),2)</f>
        <v>7522.72</v>
      </c>
      <c r="D46" s="24">
        <f>ROUND(SUM('[20]NTG TD Calc'!$AG$439:$AM$439),2)</f>
        <v>-0.02</v>
      </c>
      <c r="E46" s="213">
        <f>ROUND(SUM('[20]EO TD Carrying Costs'!$AE$58:$AK$58),2)</f>
        <v>134.16999999999999</v>
      </c>
      <c r="F46" s="196">
        <f t="shared" si="21"/>
        <v>7656.87</v>
      </c>
      <c r="G46" s="214">
        <f t="shared" si="22"/>
        <v>0</v>
      </c>
      <c r="H46" s="515"/>
      <c r="I46" s="515"/>
      <c r="J46" s="515"/>
      <c r="K46" s="515"/>
      <c r="L46" s="317"/>
      <c r="M46" s="317"/>
    </row>
    <row r="47" spans="1:15" x14ac:dyDescent="0.35">
      <c r="A47" s="19" t="s">
        <v>96</v>
      </c>
      <c r="B47" s="195">
        <v>0</v>
      </c>
      <c r="C47" s="24">
        <f>ROUND(SUM('[20]Ex Post Gross TD Calc'!$AG$575:$AM$575),2)</f>
        <v>1281.76</v>
      </c>
      <c r="D47" s="24">
        <f>ROUND(SUM('[20]NTG TD Calc'!$AG$440:$AM$440),2)</f>
        <v>0</v>
      </c>
      <c r="E47" s="213">
        <f>ROUND(SUM('[20]EO TD Carrying Costs'!$AE$59:$AK$59),2)</f>
        <v>-13.47</v>
      </c>
      <c r="F47" s="196">
        <f t="shared" si="21"/>
        <v>1268.29</v>
      </c>
      <c r="G47" s="214">
        <f t="shared" si="22"/>
        <v>0</v>
      </c>
      <c r="H47" s="515"/>
      <c r="I47" s="515"/>
      <c r="J47" s="515"/>
      <c r="K47" s="515"/>
      <c r="L47" s="317"/>
      <c r="M47" s="317"/>
    </row>
    <row r="48" spans="1:15" x14ac:dyDescent="0.35">
      <c r="A48" s="29" t="s">
        <v>97</v>
      </c>
      <c r="B48" s="196">
        <f>SUM(B45:B47)</f>
        <v>0</v>
      </c>
      <c r="C48" s="196">
        <f>SUM(C45:C47)</f>
        <v>28197.040000000001</v>
      </c>
      <c r="D48" s="196">
        <f t="shared" ref="D48:G48" si="23">SUM(D45:D47)</f>
        <v>-0.02</v>
      </c>
      <c r="E48" s="196">
        <f t="shared" si="23"/>
        <v>443.20999999999992</v>
      </c>
      <c r="F48" s="196">
        <f t="shared" si="23"/>
        <v>28640.23</v>
      </c>
      <c r="G48" s="196">
        <f t="shared" si="23"/>
        <v>0</v>
      </c>
      <c r="H48" s="515"/>
      <c r="I48" s="515"/>
      <c r="J48" s="515"/>
      <c r="K48" s="515"/>
    </row>
    <row r="49" spans="1:11" x14ac:dyDescent="0.35">
      <c r="A49" s="29"/>
      <c r="B49" s="221"/>
      <c r="C49" s="221"/>
      <c r="D49" s="221"/>
      <c r="E49" s="221"/>
      <c r="F49" s="221"/>
      <c r="G49" s="221"/>
      <c r="H49" s="515"/>
      <c r="I49" s="515"/>
      <c r="J49" s="515"/>
      <c r="K49" s="515"/>
    </row>
    <row r="50" spans="1:11" s="38" customFormat="1" x14ac:dyDescent="0.35">
      <c r="A50" s="29"/>
      <c r="B50" s="221"/>
      <c r="C50" s="221"/>
      <c r="D50" s="221"/>
      <c r="E50" s="221"/>
      <c r="F50" s="221"/>
      <c r="G50" s="221"/>
      <c r="H50" s="515"/>
      <c r="I50" s="515"/>
      <c r="J50" s="515"/>
      <c r="K50" s="515"/>
    </row>
    <row r="51" spans="1:11" s="38" customFormat="1" x14ac:dyDescent="0.35">
      <c r="A51" s="296" t="s">
        <v>205</v>
      </c>
      <c r="B51" s="139"/>
      <c r="C51" s="139"/>
      <c r="D51" s="306"/>
      <c r="H51" s="515"/>
      <c r="I51" s="515"/>
      <c r="J51" s="515"/>
      <c r="K51" s="515"/>
    </row>
    <row r="52" spans="1:11" s="38" customFormat="1" x14ac:dyDescent="0.35">
      <c r="A52" s="19" t="s">
        <v>22</v>
      </c>
      <c r="B52" s="24">
        <v>0</v>
      </c>
      <c r="C52" s="24">
        <f>ROUND(SUM('[20]Ex Post Gross TD Calc'!$AN$571:$AN$571),2)</f>
        <v>10271.9</v>
      </c>
      <c r="D52" s="24">
        <f>ROUND(SUM('[20]NTG TD Calc'!$AN$436:$AN$436),2)</f>
        <v>0</v>
      </c>
      <c r="E52" s="213">
        <f>ROUND(SUM('[20]EO TD Carrying Costs'!$AL$55:$AL$55),2)</f>
        <v>195.78</v>
      </c>
      <c r="F52" s="202">
        <f>SUM(B52:E52)</f>
        <v>10467.68</v>
      </c>
      <c r="G52" s="307">
        <f>ROUND(F52/12*0,2)</f>
        <v>0</v>
      </c>
      <c r="H52" s="515"/>
      <c r="I52" s="515"/>
      <c r="J52" s="515"/>
      <c r="K52" s="515"/>
    </row>
    <row r="53" spans="1:11" s="38" customFormat="1" x14ac:dyDescent="0.35">
      <c r="A53" s="19" t="s">
        <v>23</v>
      </c>
      <c r="B53" s="195">
        <f>SUM(B56:B58)</f>
        <v>0</v>
      </c>
      <c r="C53" s="195">
        <f t="shared" ref="C53:G53" si="24">SUM(C56:C58)</f>
        <v>2693.56</v>
      </c>
      <c r="D53" s="195">
        <f t="shared" si="24"/>
        <v>-0.01</v>
      </c>
      <c r="E53" s="215">
        <f t="shared" si="24"/>
        <v>132.03</v>
      </c>
      <c r="F53" s="202">
        <f>SUM(B53:E53)</f>
        <v>2825.58</v>
      </c>
      <c r="G53" s="307">
        <f t="shared" si="24"/>
        <v>0</v>
      </c>
      <c r="H53" s="515"/>
      <c r="I53" s="515"/>
      <c r="J53" s="515"/>
      <c r="K53" s="515"/>
    </row>
    <row r="54" spans="1:11" s="38" customFormat="1" x14ac:dyDescent="0.35">
      <c r="A54" s="19" t="s">
        <v>3</v>
      </c>
      <c r="B54" s="196">
        <f t="shared" ref="B54:G54" si="25">SUM(B52:B53)</f>
        <v>0</v>
      </c>
      <c r="C54" s="196">
        <f t="shared" si="25"/>
        <v>12965.46</v>
      </c>
      <c r="D54" s="196">
        <f t="shared" si="25"/>
        <v>-0.01</v>
      </c>
      <c r="E54" s="216">
        <f t="shared" si="25"/>
        <v>327.81</v>
      </c>
      <c r="F54" s="196">
        <f t="shared" si="25"/>
        <v>13293.26</v>
      </c>
      <c r="G54" s="217">
        <f t="shared" si="25"/>
        <v>0</v>
      </c>
      <c r="H54" s="515"/>
      <c r="I54" s="515"/>
      <c r="J54" s="515"/>
      <c r="K54" s="515"/>
    </row>
    <row r="55" spans="1:11" s="38" customFormat="1" x14ac:dyDescent="0.35">
      <c r="A55" s="45"/>
      <c r="B55" s="193"/>
      <c r="C55" s="193"/>
      <c r="D55" s="194"/>
      <c r="E55" s="45"/>
      <c r="F55" s="45"/>
      <c r="G55" s="45"/>
      <c r="H55" s="515"/>
      <c r="I55" s="515"/>
      <c r="J55" s="515"/>
      <c r="K55" s="515"/>
    </row>
    <row r="56" spans="1:11" s="38" customFormat="1" x14ac:dyDescent="0.35">
      <c r="A56" s="19" t="s">
        <v>94</v>
      </c>
      <c r="B56" s="24">
        <v>0</v>
      </c>
      <c r="C56" s="24">
        <f>ROUND(SUM('[20]Ex Post Gross TD Calc'!$AN$572:$AN$572),2)</f>
        <v>1616.23</v>
      </c>
      <c r="D56" s="24">
        <f>ROUND(SUM('[20]NTG TD Calc'!$AN$437:$AN$437),2)</f>
        <v>0</v>
      </c>
      <c r="E56" s="213">
        <f>ROUND(SUM('[20]EO TD Carrying Costs'!$AL$56:$AL$56),2)</f>
        <v>94.76</v>
      </c>
      <c r="F56" s="196">
        <f t="shared" ref="F56:F58" si="26">SUM(B56:E56)</f>
        <v>1710.99</v>
      </c>
      <c r="G56" s="307">
        <f>ROUND(F56/12*0,2)</f>
        <v>0</v>
      </c>
      <c r="H56" s="515"/>
      <c r="I56" s="515"/>
      <c r="J56" s="515"/>
      <c r="K56" s="515"/>
    </row>
    <row r="57" spans="1:11" s="38" customFormat="1" x14ac:dyDescent="0.35">
      <c r="A57" s="19" t="s">
        <v>95</v>
      </c>
      <c r="B57" s="24">
        <v>0</v>
      </c>
      <c r="C57" s="24">
        <f>ROUND(SUM('[20]Ex Post Gross TD Calc'!$AN$574:$AN$574),2)</f>
        <v>912.42</v>
      </c>
      <c r="D57" s="24">
        <f>ROUND(SUM('[20]NTG TD Calc'!$AN$439:$AN$439),2)</f>
        <v>-0.01</v>
      </c>
      <c r="E57" s="213">
        <f>ROUND(SUM('[20]EO TD Carrying Costs'!$AL$58:$AL$58),2)</f>
        <v>39.630000000000003</v>
      </c>
      <c r="F57" s="196">
        <f t="shared" si="26"/>
        <v>952.04</v>
      </c>
      <c r="G57" s="307">
        <f>ROUND(F57/12*0,2)</f>
        <v>0</v>
      </c>
      <c r="H57" s="515"/>
      <c r="I57" s="515"/>
      <c r="J57" s="515"/>
      <c r="K57" s="515"/>
    </row>
    <row r="58" spans="1:11" s="38" customFormat="1" x14ac:dyDescent="0.35">
      <c r="A58" s="19" t="s">
        <v>96</v>
      </c>
      <c r="B58" s="195">
        <v>0</v>
      </c>
      <c r="C58" s="24">
        <f>ROUND(SUM('[20]Ex Post Gross TD Calc'!$AN$575:$AN$575),2)</f>
        <v>164.91</v>
      </c>
      <c r="D58" s="24">
        <f>ROUND(SUM('[20]NTG TD Calc'!$AN$440:$AN$440),2)</f>
        <v>0</v>
      </c>
      <c r="E58" s="213">
        <f>ROUND(SUM('[20]EO TD Carrying Costs'!$AL$59:$AL$59),2)</f>
        <v>-2.36</v>
      </c>
      <c r="F58" s="196">
        <f t="shared" si="26"/>
        <v>162.54999999999998</v>
      </c>
      <c r="G58" s="307">
        <f>ROUND(F58/12*0,2)</f>
        <v>0</v>
      </c>
      <c r="H58" s="515"/>
      <c r="I58" s="515"/>
      <c r="J58" s="515"/>
      <c r="K58" s="515"/>
    </row>
    <row r="59" spans="1:11" s="38" customFormat="1" x14ac:dyDescent="0.35">
      <c r="A59" s="19" t="s">
        <v>97</v>
      </c>
      <c r="B59" s="196">
        <f>SUM(B56:B58)</f>
        <v>0</v>
      </c>
      <c r="C59" s="196">
        <f>SUM(C56:C58)</f>
        <v>2693.56</v>
      </c>
      <c r="D59" s="196">
        <f t="shared" ref="D59:G59" si="27">SUM(D56:D58)</f>
        <v>-0.01</v>
      </c>
      <c r="E59" s="196">
        <f t="shared" si="27"/>
        <v>132.03</v>
      </c>
      <c r="F59" s="196">
        <f t="shared" si="27"/>
        <v>2825.58</v>
      </c>
      <c r="G59" s="196">
        <f t="shared" si="27"/>
        <v>0</v>
      </c>
      <c r="H59" s="515"/>
      <c r="I59" s="515"/>
      <c r="J59" s="515"/>
      <c r="K59" s="515"/>
    </row>
    <row r="60" spans="1:11" s="38" customFormat="1" x14ac:dyDescent="0.35">
      <c r="A60" s="29"/>
      <c r="B60" s="221"/>
      <c r="C60" s="221"/>
      <c r="D60" s="221"/>
      <c r="E60" s="221"/>
      <c r="F60" s="221"/>
      <c r="G60" s="221"/>
      <c r="H60" s="515"/>
      <c r="I60" s="515"/>
      <c r="J60" s="515"/>
      <c r="K60" s="515"/>
    </row>
    <row r="61" spans="1:11" s="38" customFormat="1" x14ac:dyDescent="0.35">
      <c r="A61" s="29"/>
      <c r="B61" s="221"/>
      <c r="C61" s="221"/>
      <c r="D61" s="221"/>
      <c r="E61" s="221"/>
      <c r="F61" s="221"/>
      <c r="G61" s="221"/>
      <c r="H61" s="515"/>
      <c r="I61" s="515"/>
      <c r="J61" s="515"/>
      <c r="K61" s="515"/>
    </row>
    <row r="62" spans="1:11" x14ac:dyDescent="0.35">
      <c r="A62" s="261" t="s">
        <v>162</v>
      </c>
      <c r="B62" s="69"/>
      <c r="C62" s="69"/>
      <c r="D62" s="141"/>
      <c r="H62" s="515"/>
      <c r="I62" s="515"/>
      <c r="J62" s="515"/>
      <c r="K62" s="515"/>
    </row>
    <row r="63" spans="1:11" x14ac:dyDescent="0.35">
      <c r="A63" s="19" t="s">
        <v>22</v>
      </c>
      <c r="B63" s="24">
        <f>ROUND('[21]EO Matrix @Meter'!$AL$20,2)</f>
        <v>2070956.04</v>
      </c>
      <c r="C63" s="24">
        <f>ROUND(SUM('[22]Ex Post Gross TD Calc'!$Q$571:$AN$571),2)</f>
        <v>-195811.16</v>
      </c>
      <c r="D63" s="24">
        <f>ROUND(SUM('[22]NTG TD Calc'!$Q$436:$AN$436),2)</f>
        <v>-174531.88</v>
      </c>
      <c r="E63" s="213">
        <f>ROUND(SUM('[22]EO TD Carrying Costs'!$O$55:$AL$55),2)</f>
        <v>-8257.98</v>
      </c>
      <c r="F63" s="202">
        <f>SUM(B63:E63)</f>
        <v>1692355.02</v>
      </c>
      <c r="G63" s="214">
        <f>ROUND(F63/12*0,2)</f>
        <v>0</v>
      </c>
      <c r="H63" s="515"/>
      <c r="I63" s="515"/>
      <c r="J63" s="515"/>
      <c r="K63" s="515"/>
    </row>
    <row r="64" spans="1:11" x14ac:dyDescent="0.35">
      <c r="A64" s="19" t="s">
        <v>23</v>
      </c>
      <c r="B64" s="195">
        <f>SUM(B67:B69)</f>
        <v>1072812.1200000001</v>
      </c>
      <c r="C64" s="195">
        <f t="shared" ref="C64:E64" si="28">SUM(C67:C69)</f>
        <v>1131.53</v>
      </c>
      <c r="D64" s="195">
        <f t="shared" si="28"/>
        <v>-105892.22</v>
      </c>
      <c r="E64" s="215">
        <f t="shared" si="28"/>
        <v>-1408.09</v>
      </c>
      <c r="F64" s="202">
        <f>SUM(B64:E64)</f>
        <v>966643.3400000002</v>
      </c>
      <c r="G64" s="307">
        <f t="shared" ref="G64" si="29">SUM(G67:G69)</f>
        <v>0</v>
      </c>
      <c r="H64" s="515"/>
      <c r="I64" s="515"/>
      <c r="J64" s="515"/>
      <c r="K64" s="515"/>
    </row>
    <row r="65" spans="1:11" x14ac:dyDescent="0.35">
      <c r="A65" s="19" t="s">
        <v>3</v>
      </c>
      <c r="B65" s="196">
        <f t="shared" ref="B65:G65" si="30">SUM(B63:B64)</f>
        <v>3143768.16</v>
      </c>
      <c r="C65" s="196">
        <f t="shared" si="30"/>
        <v>-194679.63</v>
      </c>
      <c r="D65" s="196">
        <f t="shared" si="30"/>
        <v>-280424.09999999998</v>
      </c>
      <c r="E65" s="216">
        <f t="shared" si="30"/>
        <v>-9666.07</v>
      </c>
      <c r="F65" s="196">
        <f t="shared" si="30"/>
        <v>2658998.3600000003</v>
      </c>
      <c r="G65" s="217">
        <f t="shared" si="30"/>
        <v>0</v>
      </c>
      <c r="H65" s="515"/>
      <c r="I65" s="515"/>
      <c r="J65" s="515"/>
      <c r="K65" s="515"/>
    </row>
    <row r="66" spans="1:11" x14ac:dyDescent="0.35">
      <c r="B66" s="193"/>
      <c r="C66" s="193"/>
      <c r="D66" s="194"/>
      <c r="H66" s="515"/>
      <c r="I66" s="515"/>
      <c r="J66" s="515"/>
      <c r="K66" s="515"/>
    </row>
    <row r="67" spans="1:11" x14ac:dyDescent="0.35">
      <c r="A67" s="19" t="s">
        <v>94</v>
      </c>
      <c r="B67" s="24">
        <f>ROUND('[21]EO Matrix @Meter'!$AP$20,2)</f>
        <v>283722.18</v>
      </c>
      <c r="C67" s="24">
        <f>ROUND(SUM('[22]Ex Post Gross TD Calc'!$Q$572:$AN$572),2)</f>
        <v>6564.41</v>
      </c>
      <c r="D67" s="24">
        <f>ROUND(SUM('[22]NTG TD Calc'!$Q$437:$AN$437),2)</f>
        <v>-47566.93</v>
      </c>
      <c r="E67" s="213">
        <f>ROUND(SUM('[22]EO TD Carrying Costs'!$O$56:$AL$56),2)</f>
        <v>-523.69000000000005</v>
      </c>
      <c r="F67" s="196">
        <f t="shared" ref="F67:F69" si="31">SUM(B67:E67)</f>
        <v>242195.96999999997</v>
      </c>
      <c r="G67" s="214">
        <f>ROUND(F67/12*0,2)</f>
        <v>0</v>
      </c>
      <c r="H67" s="515"/>
      <c r="I67" s="515"/>
      <c r="J67" s="515"/>
      <c r="K67" s="515"/>
    </row>
    <row r="68" spans="1:11" x14ac:dyDescent="0.35">
      <c r="A68" s="19" t="s">
        <v>95</v>
      </c>
      <c r="B68" s="24">
        <f>ROUND('[21]EO Matrix @Meter'!$AR$20,2)</f>
        <v>576681.62</v>
      </c>
      <c r="C68" s="24">
        <f>ROUND(SUM('[22]Ex Post Gross TD Calc'!$Q$574:$AN$574),2)</f>
        <v>-3904.58</v>
      </c>
      <c r="D68" s="24">
        <f>ROUND(SUM('[22]NTG TD Calc'!$Q$439:$AN$439),2)</f>
        <v>-52350.95</v>
      </c>
      <c r="E68" s="213">
        <f>ROUND(SUM('[22]EO TD Carrying Costs'!$O$58:$AL$58),2)</f>
        <v>-794.87</v>
      </c>
      <c r="F68" s="196">
        <f t="shared" si="31"/>
        <v>519631.22000000003</v>
      </c>
      <c r="G68" s="214">
        <f>ROUND(F68/12*0,2)</f>
        <v>0</v>
      </c>
      <c r="H68" s="515"/>
      <c r="I68" s="515"/>
      <c r="J68" s="515"/>
      <c r="K68" s="515"/>
    </row>
    <row r="69" spans="1:11" x14ac:dyDescent="0.35">
      <c r="A69" s="19" t="s">
        <v>96</v>
      </c>
      <c r="B69" s="24">
        <f>ROUND('[21]EO Matrix @Meter'!$AS$20,2)</f>
        <v>212408.32000000001</v>
      </c>
      <c r="C69" s="24">
        <f>ROUND(SUM('[22]Ex Post Gross TD Calc'!$Q$575:$AN$575),2)</f>
        <v>-1528.3</v>
      </c>
      <c r="D69" s="24">
        <f>ROUND(SUM('[22]NTG TD Calc'!$Q$440:$AN$440),2)</f>
        <v>-5974.34</v>
      </c>
      <c r="E69" s="213">
        <f>ROUND(SUM('[22]EO TD Carrying Costs'!$O$59:$AL$59),2)</f>
        <v>-89.53</v>
      </c>
      <c r="F69" s="196">
        <f t="shared" si="31"/>
        <v>204816.15000000002</v>
      </c>
      <c r="G69" s="214">
        <f>ROUND(F69/12*0,2)</f>
        <v>0</v>
      </c>
      <c r="H69" s="515"/>
      <c r="I69" s="515"/>
      <c r="J69" s="515"/>
      <c r="K69" s="515"/>
    </row>
    <row r="70" spans="1:11" x14ac:dyDescent="0.35">
      <c r="A70" s="29" t="s">
        <v>97</v>
      </c>
      <c r="B70" s="196">
        <f>SUM(B67:B69)</f>
        <v>1072812.1200000001</v>
      </c>
      <c r="C70" s="196">
        <f>SUM(C67:C69)</f>
        <v>1131.53</v>
      </c>
      <c r="D70" s="196">
        <f t="shared" ref="D70:G70" si="32">SUM(D67:D69)</f>
        <v>-105892.22</v>
      </c>
      <c r="E70" s="196">
        <f t="shared" si="32"/>
        <v>-1408.09</v>
      </c>
      <c r="F70" s="196">
        <f t="shared" si="32"/>
        <v>966643.34</v>
      </c>
      <c r="G70" s="196">
        <f t="shared" si="32"/>
        <v>0</v>
      </c>
      <c r="H70" s="515"/>
      <c r="I70" s="515"/>
      <c r="J70" s="515"/>
      <c r="K70" s="515"/>
    </row>
    <row r="71" spans="1:11" x14ac:dyDescent="0.35">
      <c r="A71" s="29"/>
      <c r="B71" s="221"/>
      <c r="C71" s="221"/>
      <c r="D71" s="221"/>
      <c r="E71" s="221"/>
      <c r="F71" s="221"/>
      <c r="G71" s="221"/>
      <c r="H71" s="515"/>
      <c r="I71" s="515"/>
      <c r="J71" s="515"/>
      <c r="K71" s="515"/>
    </row>
    <row r="72" spans="1:11" s="38" customFormat="1" x14ac:dyDescent="0.35">
      <c r="A72" s="316"/>
      <c r="B72" s="221"/>
      <c r="C72" s="221"/>
      <c r="D72" s="221"/>
      <c r="E72" s="221"/>
      <c r="F72" s="221"/>
      <c r="G72" s="221"/>
      <c r="H72" s="515"/>
      <c r="I72" s="515"/>
      <c r="J72" s="515"/>
      <c r="K72" s="515"/>
    </row>
    <row r="73" spans="1:11" x14ac:dyDescent="0.35">
      <c r="A73" s="316" t="s">
        <v>203</v>
      </c>
      <c r="B73" s="69"/>
      <c r="C73" s="69"/>
      <c r="D73" s="141"/>
      <c r="H73" s="515"/>
      <c r="I73" s="515"/>
      <c r="J73" s="515"/>
      <c r="K73" s="515"/>
    </row>
    <row r="74" spans="1:11" x14ac:dyDescent="0.35">
      <c r="A74" s="19" t="s">
        <v>22</v>
      </c>
      <c r="B74" s="24">
        <f>ROUND('[23]EO Matrix @Meter'!$AL$22,2)</f>
        <v>1831459.69</v>
      </c>
      <c r="C74" s="24">
        <f>ROUND(SUM('[24]Ex Post Gross TD Calc'!$AC$572:$AX$572),2)</f>
        <v>-87916.71</v>
      </c>
      <c r="D74" s="24">
        <f>ROUND(SUM('[24]NTG TD Calc'!$AC$437:$AX$437),2)</f>
        <v>-17755.330000000002</v>
      </c>
      <c r="E74" s="213">
        <f>ROUND(SUM('[24]EO TD Carrying Costs'!$AA$55:$AV$55),2)</f>
        <v>-1711.57</v>
      </c>
      <c r="F74" s="202">
        <f>SUM(B74:E74)</f>
        <v>1724076.0799999998</v>
      </c>
      <c r="G74" s="214">
        <f>ROUND(F74/12*0,2)</f>
        <v>0</v>
      </c>
      <c r="H74" s="515"/>
      <c r="I74" s="515"/>
      <c r="J74" s="515"/>
      <c r="K74" s="515"/>
    </row>
    <row r="75" spans="1:11" x14ac:dyDescent="0.35">
      <c r="A75" s="19" t="s">
        <v>23</v>
      </c>
      <c r="B75" s="195">
        <f>SUM(B78:B80)</f>
        <v>1406145.85</v>
      </c>
      <c r="C75" s="195">
        <f t="shared" ref="C75:G75" si="33">SUM(C78:C80)</f>
        <v>-53711.969999999994</v>
      </c>
      <c r="D75" s="195">
        <f t="shared" si="33"/>
        <v>50995.289999999994</v>
      </c>
      <c r="E75" s="195">
        <f t="shared" si="33"/>
        <v>-425.78000000000003</v>
      </c>
      <c r="F75" s="202">
        <f>SUM(B75:E75)</f>
        <v>1403003.3900000001</v>
      </c>
      <c r="G75" s="214">
        <f t="shared" si="33"/>
        <v>0</v>
      </c>
      <c r="H75" s="515"/>
      <c r="I75" s="515"/>
      <c r="J75" s="515"/>
      <c r="K75" s="515"/>
    </row>
    <row r="76" spans="1:11" x14ac:dyDescent="0.35">
      <c r="A76" s="19" t="s">
        <v>3</v>
      </c>
      <c r="B76" s="196">
        <f t="shared" ref="B76:G76" si="34">SUM(B74:B75)</f>
        <v>3237605.54</v>
      </c>
      <c r="C76" s="196">
        <f t="shared" si="34"/>
        <v>-141628.68</v>
      </c>
      <c r="D76" s="196">
        <f t="shared" si="34"/>
        <v>33239.959999999992</v>
      </c>
      <c r="E76" s="216">
        <f t="shared" si="34"/>
        <v>-2137.35</v>
      </c>
      <c r="F76" s="196">
        <f t="shared" si="34"/>
        <v>3127079.4699999997</v>
      </c>
      <c r="G76" s="217">
        <f t="shared" si="34"/>
        <v>0</v>
      </c>
      <c r="H76" s="515"/>
      <c r="I76" s="515"/>
      <c r="J76" s="515"/>
      <c r="K76" s="515"/>
    </row>
    <row r="77" spans="1:11" x14ac:dyDescent="0.35">
      <c r="B77" s="193"/>
      <c r="C77" s="193"/>
      <c r="D77" s="194"/>
      <c r="H77" s="515"/>
      <c r="I77" s="515"/>
      <c r="J77" s="515"/>
      <c r="K77" s="515"/>
    </row>
    <row r="78" spans="1:11" x14ac:dyDescent="0.35">
      <c r="A78" s="19" t="s">
        <v>94</v>
      </c>
      <c r="B78" s="24">
        <f>ROUND('[23]EO Matrix @Meter'!$AP$22,2)</f>
        <v>286244.42</v>
      </c>
      <c r="C78" s="24">
        <f>ROUND(SUM('[24]Ex Post Gross TD Calc'!$AC$573:$AX$573),2)</f>
        <v>-39368.74</v>
      </c>
      <c r="D78" s="24">
        <f>ROUND(SUM('[24]NTG TD Calc'!$AC$438:$AX$438),2)</f>
        <v>34141.919999999998</v>
      </c>
      <c r="E78" s="213">
        <f>ROUND(SUM('[24]EO TD Carrying Costs'!$AA$56:$AV$56),2)</f>
        <v>-375.54</v>
      </c>
      <c r="F78" s="196">
        <f t="shared" ref="F78:F80" si="35">SUM(B78:E78)</f>
        <v>280642.06</v>
      </c>
      <c r="G78" s="214">
        <f>ROUND(F78/12*0,2)</f>
        <v>0</v>
      </c>
      <c r="H78" s="515"/>
      <c r="I78" s="515"/>
      <c r="J78" s="515"/>
      <c r="K78" s="515"/>
    </row>
    <row r="79" spans="1:11" x14ac:dyDescent="0.35">
      <c r="A79" s="19" t="s">
        <v>95</v>
      </c>
      <c r="B79" s="24">
        <f>ROUND('[23]EO Matrix @Meter'!$AR$22,2)</f>
        <v>619125.67000000004</v>
      </c>
      <c r="C79" s="24">
        <f>ROUND(SUM('[24]Ex Post Gross TD Calc'!$AC$575:$AX$575),2)</f>
        <v>-13044.06</v>
      </c>
      <c r="D79" s="24">
        <f>ROUND(SUM('[24]NTG TD Calc'!$AC$440:$AX$440),2)</f>
        <v>14350.67</v>
      </c>
      <c r="E79" s="213">
        <f>ROUND(SUM('[24]EO TD Carrying Costs'!$AA$58:$AV$58),2)</f>
        <v>-72.91</v>
      </c>
      <c r="F79" s="196">
        <f t="shared" si="35"/>
        <v>620359.37</v>
      </c>
      <c r="G79" s="214">
        <f>ROUND(F79/12*0,2)</f>
        <v>0</v>
      </c>
      <c r="H79" s="515"/>
      <c r="I79" s="515"/>
      <c r="J79" s="515"/>
      <c r="K79" s="515"/>
    </row>
    <row r="80" spans="1:11" x14ac:dyDescent="0.35">
      <c r="A80" s="19" t="s">
        <v>96</v>
      </c>
      <c r="B80" s="195">
        <f>ROUND('[23]EO Matrix @Meter'!$AS$22,2)</f>
        <v>500775.76</v>
      </c>
      <c r="C80" s="24">
        <f>ROUND(SUM('[24]Ex Post Gross TD Calc'!$AC$576:$AX$576),2)</f>
        <v>-1299.17</v>
      </c>
      <c r="D80" s="24">
        <f>ROUND(SUM('[24]NTG TD Calc'!$AC$441:$AX$441),2)</f>
        <v>2502.6999999999998</v>
      </c>
      <c r="E80" s="213">
        <f>ROUND(SUM('[24]EO TD Carrying Costs'!$AA$59:$AV$59),2)</f>
        <v>22.67</v>
      </c>
      <c r="F80" s="196">
        <f t="shared" si="35"/>
        <v>502001.96</v>
      </c>
      <c r="G80" s="214">
        <f>ROUND(F80/12*0,2)</f>
        <v>0</v>
      </c>
      <c r="H80" s="515"/>
      <c r="I80" s="515"/>
      <c r="J80" s="515"/>
      <c r="K80" s="515"/>
    </row>
    <row r="81" spans="1:11" x14ac:dyDescent="0.35">
      <c r="A81" s="29" t="s">
        <v>97</v>
      </c>
      <c r="B81" s="196">
        <f>SUM(B78:B80)</f>
        <v>1406145.85</v>
      </c>
      <c r="C81" s="196">
        <f>SUM(C78:C80)</f>
        <v>-53711.969999999994</v>
      </c>
      <c r="D81" s="196">
        <f t="shared" ref="D81:G81" si="36">SUM(D78:D80)</f>
        <v>50995.289999999994</v>
      </c>
      <c r="E81" s="196">
        <f t="shared" si="36"/>
        <v>-425.78000000000003</v>
      </c>
      <c r="F81" s="196">
        <f t="shared" si="36"/>
        <v>1403003.39</v>
      </c>
      <c r="G81" s="196">
        <f t="shared" si="36"/>
        <v>0</v>
      </c>
      <c r="H81" s="515"/>
      <c r="I81" s="515"/>
      <c r="J81" s="515"/>
      <c r="K81" s="515"/>
    </row>
    <row r="82" spans="1:11" x14ac:dyDescent="0.35">
      <c r="A82" s="29"/>
      <c r="B82" s="221"/>
      <c r="C82" s="221"/>
      <c r="D82" s="221"/>
      <c r="E82" s="221"/>
      <c r="F82" s="221"/>
      <c r="G82" s="221"/>
      <c r="H82" s="515"/>
      <c r="I82" s="515"/>
      <c r="J82" s="515"/>
      <c r="K82" s="515"/>
    </row>
    <row r="83" spans="1:11" s="38" customFormat="1" x14ac:dyDescent="0.35">
      <c r="A83" s="29"/>
      <c r="B83" s="221"/>
      <c r="C83" s="221"/>
      <c r="D83" s="221"/>
      <c r="E83" s="221"/>
      <c r="F83" s="221"/>
      <c r="G83" s="221"/>
      <c r="H83" s="515"/>
      <c r="I83" s="515"/>
      <c r="J83" s="515"/>
      <c r="K83" s="515"/>
    </row>
    <row r="84" spans="1:11" x14ac:dyDescent="0.35">
      <c r="A84" s="316" t="s">
        <v>217</v>
      </c>
      <c r="B84" s="69"/>
      <c r="C84" s="69"/>
      <c r="D84" s="141"/>
      <c r="H84" s="515"/>
      <c r="I84" s="515"/>
      <c r="J84" s="515"/>
      <c r="K84" s="515"/>
    </row>
    <row r="85" spans="1:11" x14ac:dyDescent="0.35">
      <c r="A85" s="19" t="s">
        <v>22</v>
      </c>
      <c r="B85" s="24">
        <v>0</v>
      </c>
      <c r="C85" s="24">
        <f>ROUND((SUM('[24]Ex Post Gross TD Calc'!$AY$572:$BD$572)),2)</f>
        <v>-34994.239999999998</v>
      </c>
      <c r="D85" s="24">
        <f>ROUND((SUM('[24]NTG TD Calc'!$AY$437:$BD$437)),2)</f>
        <v>-3815.04</v>
      </c>
      <c r="E85" s="213">
        <f>ROUND((SUM('[24]EO TD Carrying Costs'!$AW$55:$BB$55)),2)</f>
        <v>-3630.92</v>
      </c>
      <c r="F85" s="202">
        <f>SUM(B85:E85)</f>
        <v>-42440.2</v>
      </c>
      <c r="G85" s="214">
        <f>ROUND(F85/12*1,2)</f>
        <v>-3536.68</v>
      </c>
      <c r="H85" s="515"/>
      <c r="I85" s="515"/>
      <c r="J85" s="515"/>
      <c r="K85" s="515"/>
    </row>
    <row r="86" spans="1:11" x14ac:dyDescent="0.35">
      <c r="A86" s="19" t="s">
        <v>23</v>
      </c>
      <c r="B86" s="195">
        <f>SUM(B89:B91)</f>
        <v>0</v>
      </c>
      <c r="C86" s="195">
        <f t="shared" ref="C86:E86" si="37">SUM(C89:C91)</f>
        <v>-20672.789999999997</v>
      </c>
      <c r="D86" s="195">
        <f t="shared" si="37"/>
        <v>8653.61</v>
      </c>
      <c r="E86" s="195">
        <f t="shared" si="37"/>
        <v>-165.42000000000002</v>
      </c>
      <c r="F86" s="202">
        <f>SUM(B86:E86)</f>
        <v>-12184.599999999997</v>
      </c>
      <c r="G86" s="214">
        <f>ROUND(F86/12*1,2)</f>
        <v>-1015.38</v>
      </c>
      <c r="H86" s="515"/>
      <c r="I86" s="515"/>
      <c r="J86" s="515"/>
      <c r="K86" s="515"/>
    </row>
    <row r="87" spans="1:11" x14ac:dyDescent="0.35">
      <c r="A87" s="19" t="s">
        <v>3</v>
      </c>
      <c r="B87" s="196">
        <f t="shared" ref="B87:G87" si="38">SUM(B85:B86)</f>
        <v>0</v>
      </c>
      <c r="C87" s="196">
        <f t="shared" si="38"/>
        <v>-55667.03</v>
      </c>
      <c r="D87" s="196">
        <f t="shared" si="38"/>
        <v>4838.5700000000006</v>
      </c>
      <c r="E87" s="216">
        <f t="shared" si="38"/>
        <v>-3796.34</v>
      </c>
      <c r="F87" s="196">
        <f t="shared" si="38"/>
        <v>-54624.799999999996</v>
      </c>
      <c r="G87" s="217">
        <f t="shared" si="38"/>
        <v>-4552.0599999999995</v>
      </c>
      <c r="H87" s="515"/>
      <c r="I87" s="515"/>
      <c r="J87" s="515"/>
      <c r="K87" s="515"/>
    </row>
    <row r="88" spans="1:11" x14ac:dyDescent="0.35">
      <c r="B88" s="193"/>
      <c r="C88" s="193"/>
      <c r="D88" s="194"/>
      <c r="H88" s="515"/>
      <c r="I88" s="515"/>
      <c r="J88" s="515"/>
      <c r="K88" s="515"/>
    </row>
    <row r="89" spans="1:11" x14ac:dyDescent="0.35">
      <c r="A89" s="19" t="s">
        <v>94</v>
      </c>
      <c r="B89" s="24">
        <v>0</v>
      </c>
      <c r="C89" s="24">
        <f>ROUND((SUM('[24]Ex Post Gross TD Calc'!$AY573:$BD573)),2)</f>
        <v>-14358.12</v>
      </c>
      <c r="D89" s="24">
        <f>ROUND((SUM('[24]NTG TD Calc'!$AY438:$BD438)),2)</f>
        <v>5781.29</v>
      </c>
      <c r="E89" s="213">
        <f>ROUND((SUM('[24]EO TD Carrying Costs'!$AW56:$BB56)),2)</f>
        <v>-217.83</v>
      </c>
      <c r="F89" s="196">
        <f t="shared" ref="F89:F91" si="39">SUM(B89:E89)</f>
        <v>-8794.6600000000017</v>
      </c>
      <c r="G89" s="222">
        <f>ROUND(F89/12*1,2)</f>
        <v>-732.89</v>
      </c>
      <c r="H89" s="515"/>
      <c r="I89" s="515"/>
      <c r="J89" s="515"/>
      <c r="K89" s="515"/>
    </row>
    <row r="90" spans="1:11" x14ac:dyDescent="0.35">
      <c r="A90" s="19" t="s">
        <v>95</v>
      </c>
      <c r="B90" s="24">
        <v>0</v>
      </c>
      <c r="C90" s="24">
        <f>ROUND((SUM('[24]Ex Post Gross TD Calc'!$AY575:$BD575)),2)</f>
        <v>-5704.41</v>
      </c>
      <c r="D90" s="24">
        <f>ROUND((SUM('[24]NTG TD Calc'!$AY440:$BD440)),2)</f>
        <v>2527.65</v>
      </c>
      <c r="E90" s="213">
        <f>ROUND((SUM('[24]EO TD Carrying Costs'!$AW58:$BB58)),2)</f>
        <v>17.940000000000001</v>
      </c>
      <c r="F90" s="196">
        <f t="shared" si="39"/>
        <v>-3158.8199999999997</v>
      </c>
      <c r="G90" s="222">
        <f>ROUND(F90/12*1,2)</f>
        <v>-263.24</v>
      </c>
      <c r="H90" s="515"/>
      <c r="I90" s="515"/>
      <c r="J90" s="515"/>
      <c r="K90" s="515"/>
    </row>
    <row r="91" spans="1:11" x14ac:dyDescent="0.35">
      <c r="A91" s="19" t="s">
        <v>96</v>
      </c>
      <c r="B91" s="24">
        <v>0</v>
      </c>
      <c r="C91" s="24">
        <f>ROUND((SUM('[24]Ex Post Gross TD Calc'!$AY576:$BD576)),2)</f>
        <v>-610.26</v>
      </c>
      <c r="D91" s="24">
        <f>ROUND((SUM('[24]NTG TD Calc'!$AY441:$BD441)),2)</f>
        <v>344.67</v>
      </c>
      <c r="E91" s="213">
        <f>ROUND((SUM('[24]EO TD Carrying Costs'!$AW59:$BB59)),2)</f>
        <v>34.47</v>
      </c>
      <c r="F91" s="196">
        <f t="shared" si="39"/>
        <v>-231.11999999999998</v>
      </c>
      <c r="G91" s="222">
        <f>ROUND(F91/12*1,2)</f>
        <v>-19.260000000000002</v>
      </c>
      <c r="H91" s="515"/>
      <c r="I91" s="515"/>
      <c r="J91" s="515"/>
      <c r="K91" s="515"/>
    </row>
    <row r="92" spans="1:11" x14ac:dyDescent="0.35">
      <c r="A92" s="29" t="s">
        <v>97</v>
      </c>
      <c r="B92" s="196">
        <f>SUM(B89:B91)</f>
        <v>0</v>
      </c>
      <c r="C92" s="196">
        <f>SUM(C89:C91)</f>
        <v>-20672.789999999997</v>
      </c>
      <c r="D92" s="196">
        <f t="shared" ref="D92:G92" si="40">SUM(D89:D91)</f>
        <v>8653.61</v>
      </c>
      <c r="E92" s="196">
        <f t="shared" si="40"/>
        <v>-165.42000000000002</v>
      </c>
      <c r="F92" s="196">
        <f t="shared" si="40"/>
        <v>-12184.600000000002</v>
      </c>
      <c r="G92" s="196">
        <f t="shared" si="40"/>
        <v>-1015.39</v>
      </c>
      <c r="H92" s="515"/>
      <c r="I92" s="515"/>
      <c r="J92" s="515"/>
      <c r="K92" s="515"/>
    </row>
    <row r="93" spans="1:11" x14ac:dyDescent="0.35">
      <c r="A93" s="29"/>
      <c r="B93" s="221"/>
      <c r="C93" s="221"/>
      <c r="D93" s="221"/>
      <c r="E93" s="221"/>
      <c r="F93" s="221"/>
      <c r="G93" s="221"/>
      <c r="H93" s="515"/>
      <c r="I93" s="515"/>
      <c r="J93" s="515"/>
      <c r="K93" s="515"/>
    </row>
    <row r="94" spans="1:11" s="38" customFormat="1" x14ac:dyDescent="0.35">
      <c r="A94" s="29"/>
      <c r="B94" s="221"/>
      <c r="C94" s="221"/>
      <c r="D94" s="221"/>
      <c r="E94" s="221"/>
      <c r="F94" s="221"/>
      <c r="G94" s="221"/>
      <c r="H94" s="515"/>
      <c r="I94" s="515"/>
      <c r="J94" s="515"/>
      <c r="K94" s="515"/>
    </row>
    <row r="95" spans="1:11" x14ac:dyDescent="0.35">
      <c r="A95" s="316" t="s">
        <v>224</v>
      </c>
      <c r="B95" s="69"/>
      <c r="C95" s="69"/>
      <c r="D95" s="141"/>
      <c r="H95" s="515"/>
      <c r="I95" s="515"/>
      <c r="J95" s="515"/>
      <c r="K95" s="515"/>
    </row>
    <row r="96" spans="1:11" x14ac:dyDescent="0.35">
      <c r="A96" s="19" t="s">
        <v>22</v>
      </c>
      <c r="B96" s="24">
        <v>0</v>
      </c>
      <c r="C96" s="24">
        <f>ROUND((SUM('[24]Ex Post Gross TD Calc'!$BE$572:$BJ$572)),2)</f>
        <v>-63276.46</v>
      </c>
      <c r="D96" s="24">
        <f>ROUND((SUM('[24]NTG TD Calc'!$BE$437:$BJ$437)),2)</f>
        <v>0</v>
      </c>
      <c r="E96" s="213">
        <f>ROUND((SUM('[24]EO TD Carrying Costs'!$BC$55:$BH$55)),2)</f>
        <v>-4803.1000000000004</v>
      </c>
      <c r="F96" s="202">
        <f>SUM(B96:E96)</f>
        <v>-68079.56</v>
      </c>
      <c r="G96" s="214">
        <f>ROUND(F96/12*7,2)</f>
        <v>-39713.08</v>
      </c>
      <c r="H96" s="515"/>
      <c r="I96" s="515"/>
      <c r="J96" s="515"/>
      <c r="K96" s="515"/>
    </row>
    <row r="97" spans="1:11" x14ac:dyDescent="0.35">
      <c r="A97" s="19" t="s">
        <v>23</v>
      </c>
      <c r="B97" s="195">
        <f>B103</f>
        <v>0</v>
      </c>
      <c r="C97" s="195">
        <f t="shared" ref="C97:E97" si="41">C103</f>
        <v>-33721.83</v>
      </c>
      <c r="D97" s="195">
        <f t="shared" si="41"/>
        <v>-1.9999999999999997E-2</v>
      </c>
      <c r="E97" s="195">
        <f t="shared" si="41"/>
        <v>-851.76</v>
      </c>
      <c r="F97" s="202">
        <f>SUM(B97:E97)</f>
        <v>-34573.61</v>
      </c>
      <c r="G97" s="214">
        <f>ROUND(F97/12*7,2)</f>
        <v>-20167.939999999999</v>
      </c>
      <c r="H97" s="515"/>
      <c r="I97" s="515"/>
      <c r="J97" s="515"/>
      <c r="K97" s="515"/>
    </row>
    <row r="98" spans="1:11" x14ac:dyDescent="0.35">
      <c r="A98" s="19" t="s">
        <v>3</v>
      </c>
      <c r="B98" s="196">
        <f t="shared" ref="B98:E98" si="42">SUM(B96:B97)</f>
        <v>0</v>
      </c>
      <c r="C98" s="196">
        <f t="shared" si="42"/>
        <v>-96998.290000000008</v>
      </c>
      <c r="D98" s="196">
        <f t="shared" si="42"/>
        <v>-1.9999999999999997E-2</v>
      </c>
      <c r="E98" s="216">
        <f t="shared" si="42"/>
        <v>-5654.8600000000006</v>
      </c>
      <c r="F98" s="196">
        <f t="shared" ref="F98:G98" si="43">SUM(F96:F97)</f>
        <v>-102653.17</v>
      </c>
      <c r="G98" s="217">
        <f t="shared" si="43"/>
        <v>-59881.020000000004</v>
      </c>
      <c r="H98" s="515"/>
      <c r="I98" s="515"/>
      <c r="J98" s="515"/>
      <c r="K98" s="515"/>
    </row>
    <row r="99" spans="1:11" x14ac:dyDescent="0.35">
      <c r="B99" s="193"/>
      <c r="C99" s="193"/>
      <c r="D99" s="194"/>
      <c r="H99" s="515"/>
      <c r="I99" s="515"/>
      <c r="J99" s="515"/>
      <c r="K99" s="515"/>
    </row>
    <row r="100" spans="1:11" x14ac:dyDescent="0.35">
      <c r="A100" s="19" t="s">
        <v>94</v>
      </c>
      <c r="B100" s="24">
        <v>0</v>
      </c>
      <c r="C100" s="24">
        <f>ROUND((SUM('[24]Ex Post Gross TD Calc'!$BE573:$BJ573)),2)</f>
        <v>-25692.560000000001</v>
      </c>
      <c r="D100" s="24">
        <f>ROUND((SUM('[24]NTG TD Calc'!$BE438:$BJ438)),2)</f>
        <v>-0.02</v>
      </c>
      <c r="E100" s="213">
        <f>ROUND((SUM('[24]EO TD Carrying Costs'!$BC56:$BH56)),2)</f>
        <v>-719.09</v>
      </c>
      <c r="F100" s="196">
        <f t="shared" ref="F100:F102" si="44">SUM(B100:E100)</f>
        <v>-26411.670000000002</v>
      </c>
      <c r="G100" s="222">
        <f>ROUND(F100/12*7,2)</f>
        <v>-15406.81</v>
      </c>
      <c r="H100" s="515"/>
      <c r="I100" s="515"/>
      <c r="J100" s="515"/>
      <c r="K100" s="515"/>
    </row>
    <row r="101" spans="1:11" x14ac:dyDescent="0.35">
      <c r="A101" s="19" t="s">
        <v>95</v>
      </c>
      <c r="B101" s="24">
        <v>0</v>
      </c>
      <c r="C101" s="24">
        <f>ROUND((SUM('[24]Ex Post Gross TD Calc'!$BE575:$BJ575)),2)</f>
        <v>-7023.35</v>
      </c>
      <c r="D101" s="24">
        <f>ROUND((SUM('[24]NTG TD Calc'!$BE440:$BJ440)),2)</f>
        <v>-0.01</v>
      </c>
      <c r="E101" s="213">
        <f>ROUND((SUM('[24]EO TD Carrying Costs'!$BC58:$BH58)),2)</f>
        <v>-145.62</v>
      </c>
      <c r="F101" s="196">
        <f t="shared" si="44"/>
        <v>-7168.9800000000005</v>
      </c>
      <c r="G101" s="222">
        <f>ROUND(F101/12*7,2)</f>
        <v>-4181.91</v>
      </c>
      <c r="H101" s="515"/>
      <c r="I101" s="515"/>
      <c r="J101" s="515"/>
      <c r="K101" s="515"/>
    </row>
    <row r="102" spans="1:11" x14ac:dyDescent="0.35">
      <c r="A102" s="19" t="s">
        <v>96</v>
      </c>
      <c r="B102" s="24">
        <v>0</v>
      </c>
      <c r="C102" s="24">
        <f>ROUND((SUM('[24]Ex Post Gross TD Calc'!$BE576:$BJ576)),2)</f>
        <v>-1005.92</v>
      </c>
      <c r="D102" s="24">
        <f>ROUND((SUM('[24]NTG TD Calc'!$BE441:$BJ441)),2)</f>
        <v>0.01</v>
      </c>
      <c r="E102" s="213">
        <f>ROUND((SUM('[24]EO TD Carrying Costs'!$BC59:$BH59)),2)</f>
        <v>12.95</v>
      </c>
      <c r="F102" s="196">
        <f t="shared" si="44"/>
        <v>-992.95999999999992</v>
      </c>
      <c r="G102" s="222">
        <f>ROUND(F102/12*7,2)</f>
        <v>-579.23</v>
      </c>
      <c r="H102" s="515"/>
      <c r="I102" s="515"/>
      <c r="J102" s="515"/>
      <c r="K102" s="515"/>
    </row>
    <row r="103" spans="1:11" x14ac:dyDescent="0.35">
      <c r="A103" s="29" t="s">
        <v>97</v>
      </c>
      <c r="B103" s="196">
        <f>SUM(B100:B102)</f>
        <v>0</v>
      </c>
      <c r="C103" s="196">
        <f>SUM(C100:C102)</f>
        <v>-33721.83</v>
      </c>
      <c r="D103" s="196">
        <f t="shared" ref="D103:E103" si="45">SUM(D100:D102)</f>
        <v>-1.9999999999999997E-2</v>
      </c>
      <c r="E103" s="196">
        <f t="shared" si="45"/>
        <v>-851.76</v>
      </c>
      <c r="F103" s="196">
        <f t="shared" ref="F103:G103" si="46">SUM(F100:F102)</f>
        <v>-34573.61</v>
      </c>
      <c r="G103" s="196">
        <f t="shared" si="46"/>
        <v>-20167.95</v>
      </c>
      <c r="H103" s="515"/>
      <c r="I103" s="515"/>
      <c r="J103" s="515"/>
      <c r="K103" s="515"/>
    </row>
    <row r="104" spans="1:11" s="363" customFormat="1" x14ac:dyDescent="0.35">
      <c r="A104" s="384"/>
      <c r="B104" s="221"/>
      <c r="C104" s="221"/>
      <c r="D104" s="221"/>
      <c r="E104" s="221"/>
      <c r="F104" s="221"/>
      <c r="G104" s="221"/>
      <c r="H104" s="515"/>
      <c r="I104" s="515"/>
      <c r="J104" s="515"/>
      <c r="K104" s="515"/>
    </row>
    <row r="105" spans="1:11" s="392" customFormat="1" x14ac:dyDescent="0.35">
      <c r="A105" s="384"/>
      <c r="B105" s="221"/>
      <c r="C105" s="221"/>
      <c r="D105" s="221"/>
      <c r="E105" s="221"/>
      <c r="F105" s="221"/>
      <c r="G105" s="221"/>
      <c r="H105" s="515"/>
      <c r="I105" s="515"/>
      <c r="J105" s="515"/>
      <c r="K105" s="515"/>
    </row>
    <row r="106" spans="1:11" s="363" customFormat="1" x14ac:dyDescent="0.35">
      <c r="A106" s="296" t="s">
        <v>289</v>
      </c>
      <c r="B106" s="419"/>
      <c r="C106" s="419"/>
      <c r="D106" s="454"/>
      <c r="H106" s="515"/>
      <c r="I106" s="515"/>
      <c r="J106" s="515"/>
      <c r="K106" s="515"/>
    </row>
    <row r="107" spans="1:11" s="363" customFormat="1" x14ac:dyDescent="0.35">
      <c r="A107" s="378" t="s">
        <v>22</v>
      </c>
      <c r="B107" s="380">
        <v>0</v>
      </c>
      <c r="C107" s="380">
        <f>ROUND((SUM('[24]Ex Post Gross TD Calc'!$BK$572:$BP$572)),2)</f>
        <v>-12282.03</v>
      </c>
      <c r="D107" s="380"/>
      <c r="E107" s="380">
        <f>ROUND((SUM('[24]EO TD Carrying Costs'!$BI$55:$BN$55)),2)</f>
        <v>-1920.62</v>
      </c>
      <c r="F107" s="495">
        <f>SUM(B107:E107)</f>
        <v>-14202.650000000001</v>
      </c>
      <c r="G107" s="214">
        <f>ROUND(F107/12*11,2)</f>
        <v>-13019.1</v>
      </c>
      <c r="H107" s="515"/>
      <c r="I107" s="515"/>
      <c r="J107" s="515"/>
      <c r="K107" s="515"/>
    </row>
    <row r="108" spans="1:11" s="363" customFormat="1" x14ac:dyDescent="0.35">
      <c r="A108" s="378" t="s">
        <v>23</v>
      </c>
      <c r="B108" s="492">
        <f>B114</f>
        <v>0</v>
      </c>
      <c r="C108" s="492">
        <f t="shared" ref="C108:E108" si="47">C114</f>
        <v>-7428.7599999999993</v>
      </c>
      <c r="D108" s="492">
        <f t="shared" si="47"/>
        <v>0</v>
      </c>
      <c r="E108" s="492">
        <f t="shared" si="47"/>
        <v>-459.96999999999997</v>
      </c>
      <c r="F108" s="495">
        <f>SUM(B108:E108)</f>
        <v>-7888.73</v>
      </c>
      <c r="G108" s="214">
        <f>ROUND(F108/12*11,2)</f>
        <v>-7231.34</v>
      </c>
      <c r="H108" s="515"/>
      <c r="I108" s="515"/>
      <c r="J108" s="515"/>
      <c r="K108" s="515"/>
    </row>
    <row r="109" spans="1:11" s="363" customFormat="1" x14ac:dyDescent="0.35">
      <c r="A109" s="378" t="s">
        <v>3</v>
      </c>
      <c r="B109" s="493">
        <f t="shared" ref="B109:E109" si="48">SUM(B107:B108)</f>
        <v>0</v>
      </c>
      <c r="C109" s="493">
        <f t="shared" si="48"/>
        <v>-19710.79</v>
      </c>
      <c r="D109" s="493">
        <f t="shared" si="48"/>
        <v>0</v>
      </c>
      <c r="E109" s="216">
        <f t="shared" si="48"/>
        <v>-2380.5899999999997</v>
      </c>
      <c r="F109" s="493">
        <f t="shared" ref="F109:G109" si="49">SUM(F107:F108)</f>
        <v>-22091.38</v>
      </c>
      <c r="G109" s="217">
        <f t="shared" si="49"/>
        <v>-20250.440000000002</v>
      </c>
      <c r="H109" s="515"/>
      <c r="I109" s="515"/>
      <c r="J109" s="515"/>
      <c r="K109" s="515"/>
    </row>
    <row r="110" spans="1:11" s="363" customFormat="1" x14ac:dyDescent="0.35">
      <c r="B110" s="490"/>
      <c r="C110" s="490"/>
      <c r="D110" s="491"/>
      <c r="H110" s="515"/>
      <c r="I110" s="515"/>
      <c r="J110" s="515"/>
      <c r="K110" s="515"/>
    </row>
    <row r="111" spans="1:11" s="363" customFormat="1" x14ac:dyDescent="0.35">
      <c r="A111" s="378" t="s">
        <v>94</v>
      </c>
      <c r="B111" s="380">
        <v>0</v>
      </c>
      <c r="C111" s="380">
        <f>ROUND((SUM('[24]Ex Post Gross TD Calc'!$BK573:$BP573)),2)</f>
        <v>-5167.5</v>
      </c>
      <c r="D111" s="380"/>
      <c r="E111" s="380">
        <f>ROUND((SUM('[24]EO TD Carrying Costs'!$BI56:$BN56)),2)</f>
        <v>-372.19</v>
      </c>
      <c r="F111" s="493">
        <f t="shared" ref="F111:F113" si="50">SUM(B111:E111)</f>
        <v>-5539.69</v>
      </c>
      <c r="G111" s="222">
        <f>ROUND(F111/12*11,2)</f>
        <v>-5078.05</v>
      </c>
      <c r="H111" s="515"/>
      <c r="I111" s="515"/>
      <c r="J111" s="515"/>
      <c r="K111" s="515"/>
    </row>
    <row r="112" spans="1:11" s="363" customFormat="1" x14ac:dyDescent="0.35">
      <c r="A112" s="378" t="s">
        <v>95</v>
      </c>
      <c r="B112" s="380">
        <v>0</v>
      </c>
      <c r="C112" s="380">
        <f>ROUND((SUM('[24]Ex Post Gross TD Calc'!$BK575:$BP575)),2)</f>
        <v>-2040.53</v>
      </c>
      <c r="D112" s="380"/>
      <c r="E112" s="380">
        <f>ROUND((SUM('[24]EO TD Carrying Costs'!$BI58:$BN58)),2)</f>
        <v>-86.88</v>
      </c>
      <c r="F112" s="493">
        <f t="shared" si="50"/>
        <v>-2127.41</v>
      </c>
      <c r="G112" s="222">
        <f>ROUND(F112/12*11,2)</f>
        <v>-1950.13</v>
      </c>
      <c r="H112" s="515"/>
      <c r="I112" s="515"/>
      <c r="J112" s="515"/>
      <c r="K112" s="515"/>
    </row>
    <row r="113" spans="1:11" s="363" customFormat="1" x14ac:dyDescent="0.35">
      <c r="A113" s="378" t="s">
        <v>96</v>
      </c>
      <c r="B113" s="380">
        <v>0</v>
      </c>
      <c r="C113" s="380">
        <f>ROUND((SUM('[24]Ex Post Gross TD Calc'!$BK576:$BP576)),2)</f>
        <v>-220.73</v>
      </c>
      <c r="D113" s="380"/>
      <c r="E113" s="380">
        <f>ROUND((SUM('[24]EO TD Carrying Costs'!$BI59:$BN59)),2)</f>
        <v>-0.9</v>
      </c>
      <c r="F113" s="493">
        <f t="shared" si="50"/>
        <v>-221.63</v>
      </c>
      <c r="G113" s="222">
        <f>ROUND(F113/12*11,2)</f>
        <v>-203.16</v>
      </c>
      <c r="H113" s="515"/>
      <c r="I113" s="515"/>
      <c r="J113" s="515"/>
      <c r="K113" s="515"/>
    </row>
    <row r="114" spans="1:11" s="363" customFormat="1" x14ac:dyDescent="0.35">
      <c r="A114" s="384" t="s">
        <v>97</v>
      </c>
      <c r="B114" s="493">
        <f>SUM(B111:B113)</f>
        <v>0</v>
      </c>
      <c r="C114" s="493">
        <f>SUM(C111:C113)</f>
        <v>-7428.7599999999993</v>
      </c>
      <c r="D114" s="493">
        <f t="shared" ref="D114:G114" si="51">SUM(D111:D113)</f>
        <v>0</v>
      </c>
      <c r="E114" s="493">
        <f t="shared" si="51"/>
        <v>-459.96999999999997</v>
      </c>
      <c r="F114" s="493">
        <f t="shared" si="51"/>
        <v>-7888.73</v>
      </c>
      <c r="G114" s="493">
        <f t="shared" si="51"/>
        <v>-7231.34</v>
      </c>
      <c r="H114" s="515"/>
      <c r="I114" s="515"/>
      <c r="J114" s="515"/>
      <c r="K114" s="515"/>
    </row>
    <row r="115" spans="1:11" x14ac:dyDescent="0.35">
      <c r="A115" s="29"/>
      <c r="B115" s="221"/>
      <c r="C115" s="221"/>
      <c r="D115" s="221"/>
      <c r="E115" s="221"/>
      <c r="F115" s="221"/>
      <c r="G115" s="221"/>
      <c r="H115" s="515"/>
      <c r="I115" s="515"/>
      <c r="J115" s="515"/>
      <c r="K115" s="515"/>
    </row>
    <row r="116" spans="1:11" s="38" customFormat="1" x14ac:dyDescent="0.35">
      <c r="A116" s="29"/>
      <c r="B116" s="221"/>
      <c r="C116" s="221"/>
      <c r="D116" s="221"/>
      <c r="E116" s="221"/>
      <c r="F116" s="221"/>
      <c r="G116" s="221"/>
      <c r="H116" s="515"/>
      <c r="I116" s="515"/>
      <c r="J116" s="515"/>
      <c r="K116" s="515"/>
    </row>
    <row r="117" spans="1:11" x14ac:dyDescent="0.35">
      <c r="A117" s="316" t="s">
        <v>218</v>
      </c>
      <c r="B117" s="69"/>
      <c r="C117" s="69"/>
      <c r="D117" s="141"/>
      <c r="H117" s="515"/>
      <c r="I117" s="515"/>
      <c r="J117" s="515"/>
      <c r="K117" s="515"/>
    </row>
    <row r="118" spans="1:11" x14ac:dyDescent="0.35">
      <c r="A118" s="19" t="s">
        <v>22</v>
      </c>
      <c r="B118" s="24">
        <f>ROUND('[25]PY4 2023 EO'!$E116,2)</f>
        <v>1409245.8</v>
      </c>
      <c r="C118" s="24">
        <v>0</v>
      </c>
      <c r="D118" s="24">
        <v>0</v>
      </c>
      <c r="E118" s="213">
        <v>0</v>
      </c>
      <c r="F118" s="202">
        <f>SUM(B118:E118)</f>
        <v>1409245.8</v>
      </c>
      <c r="G118" s="214">
        <f>ROUND(F118/12*1,2)</f>
        <v>117437.15</v>
      </c>
      <c r="H118" s="515"/>
      <c r="I118" s="515"/>
      <c r="J118" s="515"/>
      <c r="K118" s="515"/>
    </row>
    <row r="119" spans="1:11" x14ac:dyDescent="0.35">
      <c r="A119" s="19" t="s">
        <v>23</v>
      </c>
      <c r="B119" s="195">
        <f>SUM(B122:B124)</f>
        <v>977559.65999999992</v>
      </c>
      <c r="C119" s="195">
        <f t="shared" ref="C119:E119" si="52">SUM(C122:C124)</f>
        <v>0</v>
      </c>
      <c r="D119" s="195">
        <f t="shared" si="52"/>
        <v>0</v>
      </c>
      <c r="E119" s="195">
        <f t="shared" si="52"/>
        <v>0</v>
      </c>
      <c r="F119" s="202">
        <f>SUM(B119:E119)</f>
        <v>977559.65999999992</v>
      </c>
      <c r="G119" s="214">
        <f>ROUND(F119/12*1,2)</f>
        <v>81463.31</v>
      </c>
      <c r="H119" s="515"/>
      <c r="I119" s="515"/>
      <c r="J119" s="515"/>
      <c r="K119" s="515"/>
    </row>
    <row r="120" spans="1:11" x14ac:dyDescent="0.35">
      <c r="A120" s="19" t="s">
        <v>3</v>
      </c>
      <c r="B120" s="196">
        <f t="shared" ref="B120:G120" si="53">SUM(B118:B119)</f>
        <v>2386805.46</v>
      </c>
      <c r="C120" s="196">
        <f t="shared" si="53"/>
        <v>0</v>
      </c>
      <c r="D120" s="196">
        <f t="shared" si="53"/>
        <v>0</v>
      </c>
      <c r="E120" s="216">
        <f t="shared" si="53"/>
        <v>0</v>
      </c>
      <c r="F120" s="196">
        <f t="shared" si="53"/>
        <v>2386805.46</v>
      </c>
      <c r="G120" s="217">
        <f t="shared" si="53"/>
        <v>198900.46</v>
      </c>
      <c r="H120" s="515"/>
      <c r="I120" s="515"/>
      <c r="J120" s="515"/>
      <c r="K120" s="515"/>
    </row>
    <row r="121" spans="1:11" x14ac:dyDescent="0.35">
      <c r="B121" s="193"/>
      <c r="C121" s="193"/>
      <c r="D121" s="194"/>
      <c r="H121" s="515"/>
      <c r="I121" s="515"/>
      <c r="J121" s="515"/>
      <c r="K121" s="515"/>
    </row>
    <row r="122" spans="1:11" x14ac:dyDescent="0.35">
      <c r="A122" s="19" t="s">
        <v>94</v>
      </c>
      <c r="B122" s="24">
        <f>ROUND('[25]PY4 2023 EO'!$E117,2)</f>
        <v>366668.97</v>
      </c>
      <c r="C122" s="24">
        <v>0</v>
      </c>
      <c r="D122" s="24">
        <v>0</v>
      </c>
      <c r="E122" s="213">
        <v>0</v>
      </c>
      <c r="F122" s="196">
        <f t="shared" ref="F122:F124" si="54">SUM(B122:E122)</f>
        <v>366668.97</v>
      </c>
      <c r="G122" s="222">
        <f>ROUND(F122/12*1,2)</f>
        <v>30555.75</v>
      </c>
      <c r="H122" s="515"/>
      <c r="I122" s="515"/>
      <c r="J122" s="515"/>
      <c r="K122" s="515"/>
    </row>
    <row r="123" spans="1:11" x14ac:dyDescent="0.35">
      <c r="A123" s="19" t="s">
        <v>95</v>
      </c>
      <c r="B123" s="24">
        <f>ROUND('[25]PY4 2023 EO'!$E119,2)</f>
        <v>351922.98</v>
      </c>
      <c r="C123" s="24">
        <v>0</v>
      </c>
      <c r="D123" s="24">
        <v>0</v>
      </c>
      <c r="E123" s="213">
        <v>0</v>
      </c>
      <c r="F123" s="196">
        <f t="shared" si="54"/>
        <v>351922.98</v>
      </c>
      <c r="G123" s="222">
        <f>ROUND(F123/12*1,2)</f>
        <v>29326.92</v>
      </c>
      <c r="H123" s="515"/>
      <c r="I123" s="515"/>
      <c r="J123" s="515"/>
      <c r="K123" s="515"/>
    </row>
    <row r="124" spans="1:11" x14ac:dyDescent="0.35">
      <c r="A124" s="19" t="s">
        <v>96</v>
      </c>
      <c r="B124" s="24">
        <f>ROUND('[25]PY4 2023 EO'!$E120,2)</f>
        <v>258967.71</v>
      </c>
      <c r="C124" s="24">
        <v>0</v>
      </c>
      <c r="D124" s="24">
        <v>0</v>
      </c>
      <c r="E124" s="213">
        <v>0</v>
      </c>
      <c r="F124" s="196">
        <f t="shared" si="54"/>
        <v>258967.71</v>
      </c>
      <c r="G124" s="222">
        <f>ROUND(F124/12*1,2)</f>
        <v>21580.639999999999</v>
      </c>
      <c r="H124" s="515"/>
      <c r="I124" s="515"/>
      <c r="J124" s="515"/>
      <c r="K124" s="515"/>
    </row>
    <row r="125" spans="1:11" x14ac:dyDescent="0.35">
      <c r="A125" s="29" t="s">
        <v>97</v>
      </c>
      <c r="B125" s="196">
        <f>SUM(B122:B124)</f>
        <v>977559.65999999992</v>
      </c>
      <c r="C125" s="196">
        <f>SUM(C122:C124)</f>
        <v>0</v>
      </c>
      <c r="D125" s="196">
        <f t="shared" ref="D125:G125" si="55">SUM(D122:D124)</f>
        <v>0</v>
      </c>
      <c r="E125" s="196">
        <f t="shared" si="55"/>
        <v>0</v>
      </c>
      <c r="F125" s="196">
        <f t="shared" si="55"/>
        <v>977559.65999999992</v>
      </c>
      <c r="G125" s="196">
        <f t="shared" si="55"/>
        <v>81463.31</v>
      </c>
      <c r="H125" s="515"/>
      <c r="I125" s="515"/>
      <c r="J125" s="515"/>
      <c r="K125" s="515"/>
    </row>
    <row r="126" spans="1:11" s="363" customFormat="1" x14ac:dyDescent="0.35">
      <c r="A126" s="384"/>
      <c r="B126" s="221"/>
      <c r="C126" s="221"/>
      <c r="D126" s="221"/>
      <c r="E126" s="221"/>
      <c r="F126" s="221"/>
      <c r="G126" s="221"/>
      <c r="H126" s="515"/>
      <c r="I126" s="515"/>
      <c r="J126" s="515"/>
      <c r="K126" s="515"/>
    </row>
    <row r="127" spans="1:11" s="392" customFormat="1" x14ac:dyDescent="0.35">
      <c r="A127" s="384"/>
      <c r="B127" s="221"/>
      <c r="C127" s="221"/>
      <c r="D127" s="221"/>
      <c r="E127" s="221"/>
      <c r="F127" s="221"/>
      <c r="G127" s="221"/>
      <c r="H127" s="515"/>
      <c r="I127" s="515"/>
      <c r="J127" s="515"/>
      <c r="K127" s="515"/>
    </row>
    <row r="128" spans="1:11" s="363" customFormat="1" x14ac:dyDescent="0.35">
      <c r="A128" s="496" t="s">
        <v>266</v>
      </c>
      <c r="B128" s="419"/>
      <c r="C128" s="419"/>
      <c r="D128" s="454"/>
      <c r="H128" s="515"/>
      <c r="I128" s="515"/>
      <c r="J128" s="515"/>
      <c r="K128" s="515"/>
    </row>
    <row r="129" spans="1:13" s="363" customFormat="1" x14ac:dyDescent="0.35">
      <c r="A129" s="378" t="s">
        <v>22</v>
      </c>
      <c r="B129" s="380">
        <f>ROUND('[26]MEEIA 3 PY5 EO'!$E$278,2)</f>
        <v>1243468.93</v>
      </c>
      <c r="C129" s="380">
        <v>0</v>
      </c>
      <c r="D129" s="380">
        <v>0</v>
      </c>
      <c r="E129" s="213">
        <v>0</v>
      </c>
      <c r="F129" s="495">
        <f>SUM(B129:E129)</f>
        <v>1243468.93</v>
      </c>
      <c r="G129" s="214">
        <f>ROUND(F129/12*11,2)</f>
        <v>1139846.52</v>
      </c>
      <c r="H129" s="515"/>
      <c r="I129" s="515"/>
      <c r="J129" s="515"/>
      <c r="K129" s="515"/>
    </row>
    <row r="130" spans="1:13" s="363" customFormat="1" x14ac:dyDescent="0.35">
      <c r="A130" s="378" t="s">
        <v>23</v>
      </c>
      <c r="B130" s="492">
        <f>SUM(B133:B135)</f>
        <v>1149165.52</v>
      </c>
      <c r="C130" s="492">
        <f t="shared" ref="C130:E130" si="56">SUM(C133:C135)</f>
        <v>0</v>
      </c>
      <c r="D130" s="492">
        <f t="shared" si="56"/>
        <v>0</v>
      </c>
      <c r="E130" s="492">
        <f t="shared" si="56"/>
        <v>0</v>
      </c>
      <c r="F130" s="495">
        <f>SUM(B130:E130)</f>
        <v>1149165.52</v>
      </c>
      <c r="G130" s="214">
        <f>ROUND(F130/12*7,2)</f>
        <v>670346.55000000005</v>
      </c>
      <c r="H130" s="515"/>
      <c r="I130" s="515"/>
      <c r="J130" s="515"/>
      <c r="K130" s="515"/>
    </row>
    <row r="131" spans="1:13" s="363" customFormat="1" x14ac:dyDescent="0.35">
      <c r="A131" s="378" t="s">
        <v>3</v>
      </c>
      <c r="B131" s="493">
        <f t="shared" ref="B131:G131" si="57">SUM(B129:B130)</f>
        <v>2392634.4500000002</v>
      </c>
      <c r="C131" s="493">
        <f t="shared" si="57"/>
        <v>0</v>
      </c>
      <c r="D131" s="493">
        <f t="shared" si="57"/>
        <v>0</v>
      </c>
      <c r="E131" s="216">
        <f t="shared" si="57"/>
        <v>0</v>
      </c>
      <c r="F131" s="493">
        <f t="shared" si="57"/>
        <v>2392634.4500000002</v>
      </c>
      <c r="G131" s="217">
        <f t="shared" si="57"/>
        <v>1810193.07</v>
      </c>
      <c r="H131" s="515"/>
      <c r="I131" s="515"/>
      <c r="J131" s="515"/>
      <c r="K131" s="515"/>
    </row>
    <row r="132" spans="1:13" s="363" customFormat="1" x14ac:dyDescent="0.35">
      <c r="B132" s="490"/>
      <c r="C132" s="490"/>
      <c r="D132" s="491"/>
      <c r="H132" s="515"/>
      <c r="I132" s="515"/>
      <c r="J132" s="515"/>
      <c r="K132" s="515"/>
    </row>
    <row r="133" spans="1:13" s="363" customFormat="1" x14ac:dyDescent="0.35">
      <c r="A133" s="378" t="s">
        <v>94</v>
      </c>
      <c r="B133" s="380">
        <f>ROUND('[26]MEEIA 3 PY5 EO'!$E$279,2)</f>
        <v>435513.31</v>
      </c>
      <c r="C133" s="380">
        <v>0</v>
      </c>
      <c r="D133" s="380">
        <v>0</v>
      </c>
      <c r="E133" s="213">
        <v>0</v>
      </c>
      <c r="F133" s="493">
        <f t="shared" ref="F133:F135" si="58">SUM(B133:E133)</f>
        <v>435513.31</v>
      </c>
      <c r="G133" s="214">
        <f t="shared" ref="G133:G135" si="59">ROUND(F133/12*11,2)</f>
        <v>399220.53</v>
      </c>
      <c r="H133" s="515"/>
      <c r="I133" s="515"/>
      <c r="J133" s="515"/>
      <c r="K133" s="515"/>
    </row>
    <row r="134" spans="1:13" s="363" customFormat="1" x14ac:dyDescent="0.35">
      <c r="A134" s="378" t="s">
        <v>95</v>
      </c>
      <c r="B134" s="380">
        <f>ROUND('[26]MEEIA 3 PY5 EO'!$E$281,2)</f>
        <v>429766.2</v>
      </c>
      <c r="C134" s="380">
        <v>0</v>
      </c>
      <c r="D134" s="380">
        <v>0</v>
      </c>
      <c r="E134" s="213">
        <v>0</v>
      </c>
      <c r="F134" s="493">
        <f t="shared" si="58"/>
        <v>429766.2</v>
      </c>
      <c r="G134" s="214">
        <f t="shared" si="59"/>
        <v>393952.35</v>
      </c>
      <c r="H134" s="515"/>
      <c r="I134" s="515"/>
      <c r="J134" s="515"/>
      <c r="K134" s="515"/>
    </row>
    <row r="135" spans="1:13" s="363" customFormat="1" x14ac:dyDescent="0.35">
      <c r="A135" s="378" t="s">
        <v>96</v>
      </c>
      <c r="B135" s="380">
        <f>ROUND('[26]MEEIA 3 PY5 EO'!$E$282,2)</f>
        <v>283886.01</v>
      </c>
      <c r="C135" s="380">
        <v>0</v>
      </c>
      <c r="D135" s="380">
        <v>0</v>
      </c>
      <c r="E135" s="213">
        <v>0</v>
      </c>
      <c r="F135" s="493">
        <f t="shared" si="58"/>
        <v>283886.01</v>
      </c>
      <c r="G135" s="214">
        <f t="shared" si="59"/>
        <v>260228.84</v>
      </c>
      <c r="H135" s="515"/>
      <c r="I135" s="515"/>
      <c r="J135" s="515"/>
      <c r="K135" s="515"/>
    </row>
    <row r="136" spans="1:13" s="363" customFormat="1" x14ac:dyDescent="0.35">
      <c r="A136" s="384" t="s">
        <v>97</v>
      </c>
      <c r="B136" s="493">
        <f>SUM(B133:B135)</f>
        <v>1149165.52</v>
      </c>
      <c r="C136" s="493">
        <f>SUM(C133:C135)</f>
        <v>0</v>
      </c>
      <c r="D136" s="493">
        <f t="shared" ref="D136:G136" si="60">SUM(D133:D135)</f>
        <v>0</v>
      </c>
      <c r="E136" s="493">
        <f t="shared" si="60"/>
        <v>0</v>
      </c>
      <c r="F136" s="493">
        <f t="shared" si="60"/>
        <v>1149165.52</v>
      </c>
      <c r="G136" s="493">
        <f t="shared" si="60"/>
        <v>1053401.72</v>
      </c>
      <c r="H136" s="515"/>
      <c r="I136" s="515"/>
      <c r="J136" s="515"/>
      <c r="K136" s="515"/>
    </row>
    <row r="137" spans="1:13" x14ac:dyDescent="0.35">
      <c r="A137" s="29"/>
      <c r="B137" s="221"/>
      <c r="C137" s="221"/>
      <c r="D137" s="221"/>
      <c r="E137" s="221"/>
      <c r="F137" s="221"/>
      <c r="G137" s="221"/>
      <c r="H137" s="515"/>
      <c r="I137" s="515"/>
      <c r="J137" s="515"/>
      <c r="K137" s="515"/>
    </row>
    <row r="138" spans="1:13" x14ac:dyDescent="0.35">
      <c r="A138" s="29"/>
      <c r="B138" s="221"/>
      <c r="C138" s="221"/>
      <c r="D138" s="221"/>
      <c r="E138" s="221"/>
      <c r="F138" s="221"/>
      <c r="G138" s="221"/>
    </row>
    <row r="139" spans="1:13" x14ac:dyDescent="0.35">
      <c r="A139" s="412" t="s">
        <v>294</v>
      </c>
      <c r="B139" s="392"/>
      <c r="C139" s="392"/>
      <c r="D139" s="392"/>
      <c r="E139" s="392"/>
      <c r="F139" s="392"/>
      <c r="G139" s="392"/>
      <c r="H139" s="392"/>
      <c r="I139" s="392"/>
      <c r="J139" s="392"/>
      <c r="K139" s="392"/>
      <c r="L139" s="392"/>
      <c r="M139" s="392"/>
    </row>
    <row r="140" spans="1:13" x14ac:dyDescent="0.35">
      <c r="A140" s="412" t="s">
        <v>293</v>
      </c>
      <c r="B140" s="392"/>
      <c r="C140" s="392"/>
      <c r="D140" s="392"/>
      <c r="E140" s="392"/>
      <c r="F140" s="392"/>
      <c r="G140" s="392"/>
      <c r="H140" s="392"/>
      <c r="I140" s="392"/>
      <c r="J140" s="392"/>
      <c r="K140" s="392"/>
      <c r="L140" s="392"/>
      <c r="M140" s="392"/>
    </row>
    <row r="141" spans="1:13" x14ac:dyDescent="0.35">
      <c r="A141" s="412" t="s">
        <v>291</v>
      </c>
      <c r="B141" s="392"/>
      <c r="C141" s="392"/>
      <c r="D141" s="392"/>
      <c r="E141" s="392"/>
      <c r="F141" s="392"/>
      <c r="G141" s="392"/>
      <c r="H141" s="392"/>
      <c r="I141" s="392"/>
      <c r="J141" s="392"/>
      <c r="K141" s="392"/>
      <c r="L141" s="392"/>
      <c r="M141" s="392"/>
    </row>
    <row r="142" spans="1:13" x14ac:dyDescent="0.35">
      <c r="A142" s="412" t="s">
        <v>292</v>
      </c>
      <c r="B142" s="392"/>
      <c r="C142" s="392"/>
      <c r="D142" s="392"/>
      <c r="E142" s="392"/>
      <c r="F142" s="392"/>
      <c r="G142" s="392"/>
      <c r="H142" s="392"/>
      <c r="I142" s="392"/>
      <c r="J142" s="392"/>
      <c r="K142" s="392"/>
      <c r="L142" s="392"/>
      <c r="M142" s="392"/>
    </row>
    <row r="143" spans="1:13" x14ac:dyDescent="0.35">
      <c r="A143" s="412" t="s">
        <v>139</v>
      </c>
      <c r="B143" s="392"/>
      <c r="C143" s="392"/>
      <c r="D143" s="392"/>
      <c r="E143" s="392"/>
      <c r="F143" s="392"/>
      <c r="G143" s="392"/>
      <c r="H143" s="392"/>
      <c r="I143" s="392"/>
      <c r="J143" s="392"/>
      <c r="K143" s="392"/>
      <c r="L143" s="392"/>
      <c r="M143" s="392"/>
    </row>
    <row r="144" spans="1:13" ht="108.75" customHeight="1" x14ac:dyDescent="0.35">
      <c r="A144" s="548" t="s">
        <v>290</v>
      </c>
      <c r="B144" s="548"/>
      <c r="C144" s="548"/>
      <c r="D144" s="548"/>
      <c r="E144" s="548"/>
      <c r="F144" s="548"/>
      <c r="G144" s="548"/>
      <c r="H144" s="548"/>
      <c r="I144" s="548"/>
      <c r="J144" s="548"/>
      <c r="K144" s="548"/>
      <c r="L144" s="548"/>
      <c r="M144" s="548"/>
    </row>
    <row r="145" spans="1:1" x14ac:dyDescent="0.35">
      <c r="A145" s="3"/>
    </row>
    <row r="146" spans="1:1" x14ac:dyDescent="0.35">
      <c r="A146" s="3"/>
    </row>
    <row r="147" spans="1:1" x14ac:dyDescent="0.35">
      <c r="A147" s="3"/>
    </row>
  </sheetData>
  <autoFilter ref="A5:O144" xr:uid="{FFD8475B-D546-4319-B398-EF50E74D6379}"/>
  <mergeCells count="2">
    <mergeCell ref="B4:D4"/>
    <mergeCell ref="A144:M144"/>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D30C-FF8D-4608-8CF9-4858A853D870}">
  <sheetPr>
    <pageSetUpPr fitToPage="1"/>
  </sheetPr>
  <dimension ref="A1:O58"/>
  <sheetViews>
    <sheetView zoomScale="85" zoomScaleNormal="85" workbookViewId="0">
      <pane ySplit="5" topLeftCell="A6" activePane="bottomLeft" state="frozen"/>
      <selection activeCell="E77" sqref="E77"/>
      <selection pane="bottomLeft" activeCell="A6" sqref="A6"/>
    </sheetView>
  </sheetViews>
  <sheetFormatPr defaultColWidth="8.7265625" defaultRowHeight="14.5" x14ac:dyDescent="0.35"/>
  <cols>
    <col min="1" max="1" width="23.7265625" style="45" customWidth="1"/>
    <col min="2" max="2" width="15.26953125" style="45" bestFit="1" customWidth="1"/>
    <col min="3" max="3" width="14.26953125" style="45" customWidth="1"/>
    <col min="4" max="4" width="13.26953125" style="45" bestFit="1" customWidth="1"/>
    <col min="5" max="5" width="9.7265625" style="45" bestFit="1" customWidth="1"/>
    <col min="6" max="6" width="12.54296875" style="45" bestFit="1" customWidth="1"/>
    <col min="7" max="7" width="13.1796875" style="45" customWidth="1"/>
    <col min="8" max="10" width="8.7265625" style="45"/>
    <col min="11" max="11" width="11.54296875" style="45" bestFit="1" customWidth="1"/>
    <col min="12" max="12" width="12.26953125" style="45" bestFit="1" customWidth="1"/>
    <col min="13" max="13" width="9.54296875" style="45" bestFit="1" customWidth="1"/>
    <col min="14" max="16384" width="8.7265625" style="45"/>
  </cols>
  <sheetData>
    <row r="1" spans="1:7" x14ac:dyDescent="0.35">
      <c r="A1" s="62" t="str">
        <f>+'PTD Cycle 3'!A1</f>
        <v>Evergy Missouri West, Inc. - DSIM Rider Update Filed 06/02/2025</v>
      </c>
    </row>
    <row r="2" spans="1:7" x14ac:dyDescent="0.35">
      <c r="A2" s="347" t="str">
        <f>+'PPC Cycle 4'!A2</f>
        <v>Projections for Cycle 4 July 2025 - June 2026 DSIM</v>
      </c>
    </row>
    <row r="3" spans="1:7" x14ac:dyDescent="0.35">
      <c r="A3" s="8"/>
    </row>
    <row r="4" spans="1:7" ht="45.75" customHeight="1" x14ac:dyDescent="0.35">
      <c r="B4" s="527" t="s">
        <v>225</v>
      </c>
      <c r="C4" s="527"/>
      <c r="D4" s="527"/>
    </row>
    <row r="5" spans="1:7" ht="87" x14ac:dyDescent="0.35">
      <c r="B5" s="69" t="s">
        <v>87</v>
      </c>
      <c r="C5" s="69" t="s">
        <v>88</v>
      </c>
      <c r="D5" s="69" t="s">
        <v>91</v>
      </c>
      <c r="E5" s="69" t="s">
        <v>89</v>
      </c>
      <c r="F5" s="69" t="s">
        <v>86</v>
      </c>
      <c r="G5" s="69" t="s">
        <v>143</v>
      </c>
    </row>
    <row r="6" spans="1:7" x14ac:dyDescent="0.35">
      <c r="A6" s="19"/>
      <c r="B6" s="69"/>
      <c r="C6" s="69"/>
      <c r="D6" s="142"/>
    </row>
    <row r="7" spans="1:7" x14ac:dyDescent="0.35">
      <c r="A7" s="316" t="s">
        <v>226</v>
      </c>
      <c r="B7" s="69"/>
      <c r="C7" s="69"/>
      <c r="D7" s="141"/>
    </row>
    <row r="8" spans="1:7" x14ac:dyDescent="0.35">
      <c r="A8" s="19" t="s">
        <v>22</v>
      </c>
      <c r="B8" s="202">
        <f>SUMIFS(B$18:B$65,$A$18:$A$65,$A8)</f>
        <v>0</v>
      </c>
      <c r="C8" s="202">
        <f>SUMIFS(C$18:C$65,$A$18:$A$65,$A8)</f>
        <v>0</v>
      </c>
      <c r="D8" s="202">
        <f>SUMIFS(D$18:D$65,$A$18:$A$65,$A8)</f>
        <v>0</v>
      </c>
      <c r="E8" s="202">
        <f>SUMIFS(E$18:E$65,$A$18:$A$65,$A8)</f>
        <v>0</v>
      </c>
      <c r="F8" s="202">
        <f>SUM(B8:E8)</f>
        <v>0</v>
      </c>
      <c r="G8" s="202">
        <f>SUMIFS(G$18:G$65,$A$18:$A$65,$A8)</f>
        <v>0</v>
      </c>
    </row>
    <row r="9" spans="1:7" x14ac:dyDescent="0.35">
      <c r="A9" s="19" t="s">
        <v>23</v>
      </c>
      <c r="B9" s="202">
        <f>B15</f>
        <v>0</v>
      </c>
      <c r="C9" s="202">
        <f>C15</f>
        <v>0</v>
      </c>
      <c r="D9" s="202">
        <f>D15</f>
        <v>0</v>
      </c>
      <c r="E9" s="202">
        <f>E15</f>
        <v>0</v>
      </c>
      <c r="F9" s="202">
        <f>SUM(B9:E9)</f>
        <v>0</v>
      </c>
      <c r="G9" s="202">
        <f>G15</f>
        <v>0</v>
      </c>
    </row>
    <row r="10" spans="1:7" x14ac:dyDescent="0.35">
      <c r="A10" s="19" t="s">
        <v>3</v>
      </c>
      <c r="B10" s="196">
        <f t="shared" ref="B10:G10" si="0">SUM(B8:B9)</f>
        <v>0</v>
      </c>
      <c r="C10" s="196">
        <f t="shared" si="0"/>
        <v>0</v>
      </c>
      <c r="D10" s="196">
        <f t="shared" si="0"/>
        <v>0</v>
      </c>
      <c r="E10" s="196">
        <f t="shared" si="0"/>
        <v>0</v>
      </c>
      <c r="F10" s="196">
        <f t="shared" si="0"/>
        <v>0</v>
      </c>
      <c r="G10" s="196">
        <f t="shared" si="0"/>
        <v>0</v>
      </c>
    </row>
    <row r="11" spans="1:7" x14ac:dyDescent="0.35">
      <c r="B11" s="193"/>
      <c r="C11" s="193"/>
      <c r="D11" s="193"/>
      <c r="E11" s="193"/>
      <c r="G11" s="193"/>
    </row>
    <row r="12" spans="1:7" x14ac:dyDescent="0.35">
      <c r="A12" s="19" t="s">
        <v>94</v>
      </c>
      <c r="B12" s="202">
        <f t="shared" ref="B12:E14" si="1">SUMIFS(B$18:B$65,$A$18:$A$65,$A12)</f>
        <v>0</v>
      </c>
      <c r="C12" s="202">
        <f t="shared" si="1"/>
        <v>0</v>
      </c>
      <c r="D12" s="202">
        <f t="shared" si="1"/>
        <v>0</v>
      </c>
      <c r="E12" s="202">
        <f t="shared" si="1"/>
        <v>0</v>
      </c>
      <c r="F12" s="196">
        <f t="shared" ref="F12:F14" si="2">SUM(B12:E12)</f>
        <v>0</v>
      </c>
      <c r="G12" s="202">
        <f>SUMIFS(G$18:G$65,$A$18:$A$65,$A12)</f>
        <v>0</v>
      </c>
    </row>
    <row r="13" spans="1:7" x14ac:dyDescent="0.35">
      <c r="A13" s="19" t="s">
        <v>95</v>
      </c>
      <c r="B13" s="202">
        <f t="shared" si="1"/>
        <v>0</v>
      </c>
      <c r="C13" s="202">
        <f t="shared" si="1"/>
        <v>0</v>
      </c>
      <c r="D13" s="202">
        <f t="shared" si="1"/>
        <v>0</v>
      </c>
      <c r="E13" s="202">
        <f t="shared" si="1"/>
        <v>0</v>
      </c>
      <c r="F13" s="196">
        <f t="shared" si="2"/>
        <v>0</v>
      </c>
      <c r="G13" s="202">
        <f>SUMIFS(G$18:G$65,$A$18:$A$65,$A13)</f>
        <v>0</v>
      </c>
    </row>
    <row r="14" spans="1:7" x14ac:dyDescent="0.35">
      <c r="A14" s="19" t="s">
        <v>96</v>
      </c>
      <c r="B14" s="202">
        <f t="shared" si="1"/>
        <v>0</v>
      </c>
      <c r="C14" s="202">
        <f t="shared" si="1"/>
        <v>0</v>
      </c>
      <c r="D14" s="202">
        <f t="shared" si="1"/>
        <v>0</v>
      </c>
      <c r="E14" s="202">
        <f t="shared" si="1"/>
        <v>0</v>
      </c>
      <c r="F14" s="196">
        <f t="shared" si="2"/>
        <v>0</v>
      </c>
      <c r="G14" s="202">
        <f>SUMIFS(G$18:G$65,$A$18:$A$65,$A14)</f>
        <v>0</v>
      </c>
    </row>
    <row r="15" spans="1:7" x14ac:dyDescent="0.35">
      <c r="A15" s="29" t="s">
        <v>97</v>
      </c>
      <c r="B15" s="196">
        <f t="shared" ref="B15:G15" si="3">SUM(B12:B14)</f>
        <v>0</v>
      </c>
      <c r="C15" s="196">
        <f t="shared" si="3"/>
        <v>0</v>
      </c>
      <c r="D15" s="196">
        <f t="shared" si="3"/>
        <v>0</v>
      </c>
      <c r="E15" s="196">
        <f t="shared" si="3"/>
        <v>0</v>
      </c>
      <c r="F15" s="196">
        <f t="shared" si="3"/>
        <v>0</v>
      </c>
      <c r="G15" s="196">
        <f t="shared" si="3"/>
        <v>0</v>
      </c>
    </row>
    <row r="16" spans="1:7" x14ac:dyDescent="0.35">
      <c r="A16" s="19"/>
      <c r="B16" s="69"/>
      <c r="C16" s="69"/>
      <c r="D16" s="141"/>
    </row>
    <row r="17" spans="1:13" x14ac:dyDescent="0.35">
      <c r="A17" s="19"/>
      <c r="B17" s="69"/>
      <c r="C17" s="69"/>
      <c r="D17" s="141"/>
    </row>
    <row r="18" spans="1:13" s="363" customFormat="1" x14ac:dyDescent="0.35">
      <c r="A18" s="296" t="s">
        <v>286</v>
      </c>
      <c r="B18" s="419"/>
      <c r="C18" s="419"/>
      <c r="D18" s="334"/>
      <c r="E18" s="506"/>
    </row>
    <row r="19" spans="1:13" s="363" customFormat="1" x14ac:dyDescent="0.35">
      <c r="A19" s="524" t="s">
        <v>22</v>
      </c>
      <c r="B19" s="380"/>
      <c r="C19" s="380"/>
      <c r="D19" s="380"/>
      <c r="E19" s="507"/>
      <c r="F19" s="493">
        <f>SUM(B19:E19)</f>
        <v>0</v>
      </c>
      <c r="G19" s="493">
        <f>ROUND(F19/12*0,2)</f>
        <v>0</v>
      </c>
      <c r="K19" s="317"/>
      <c r="L19" s="317"/>
      <c r="M19" s="317"/>
    </row>
    <row r="20" spans="1:13" s="363" customFormat="1" x14ac:dyDescent="0.35">
      <c r="A20" s="524" t="s">
        <v>23</v>
      </c>
      <c r="B20" s="492"/>
      <c r="C20" s="492"/>
      <c r="D20" s="492"/>
      <c r="E20" s="508"/>
      <c r="F20" s="493">
        <f>SUM(B20:E20)</f>
        <v>0</v>
      </c>
      <c r="G20" s="493">
        <f>SUM(G23:G25)</f>
        <v>0</v>
      </c>
      <c r="K20" s="317"/>
      <c r="L20" s="317"/>
      <c r="M20" s="317"/>
    </row>
    <row r="21" spans="1:13" s="363" customFormat="1" x14ac:dyDescent="0.35">
      <c r="A21" s="524" t="s">
        <v>3</v>
      </c>
      <c r="B21" s="493">
        <f t="shared" ref="B21:G21" si="4">SUM(B19:B20)</f>
        <v>0</v>
      </c>
      <c r="C21" s="493">
        <f t="shared" si="4"/>
        <v>0</v>
      </c>
      <c r="D21" s="493">
        <f t="shared" si="4"/>
        <v>0</v>
      </c>
      <c r="E21" s="505">
        <f t="shared" si="4"/>
        <v>0</v>
      </c>
      <c r="F21" s="493">
        <f t="shared" si="4"/>
        <v>0</v>
      </c>
      <c r="G21" s="493">
        <f t="shared" si="4"/>
        <v>0</v>
      </c>
    </row>
    <row r="22" spans="1:13" s="363" customFormat="1" x14ac:dyDescent="0.35">
      <c r="A22" s="392"/>
      <c r="B22" s="490"/>
      <c r="C22" s="490"/>
      <c r="D22" s="491"/>
      <c r="E22" s="506"/>
    </row>
    <row r="23" spans="1:13" s="363" customFormat="1" x14ac:dyDescent="0.35">
      <c r="A23" s="524" t="s">
        <v>94</v>
      </c>
      <c r="B23" s="380"/>
      <c r="C23" s="380"/>
      <c r="D23" s="380"/>
      <c r="E23" s="508"/>
      <c r="F23" s="493">
        <f t="shared" ref="F23:F25" si="5">SUM(B23:E23)</f>
        <v>0</v>
      </c>
      <c r="G23" s="493">
        <f>ROUND(F23/12*0,2)</f>
        <v>0</v>
      </c>
      <c r="K23" s="317"/>
      <c r="L23" s="317"/>
      <c r="M23" s="317"/>
    </row>
    <row r="24" spans="1:13" s="363" customFormat="1" x14ac:dyDescent="0.35">
      <c r="A24" s="524" t="s">
        <v>95</v>
      </c>
      <c r="B24" s="380"/>
      <c r="C24" s="380"/>
      <c r="D24" s="380"/>
      <c r="E24" s="507"/>
      <c r="F24" s="493">
        <f t="shared" si="5"/>
        <v>0</v>
      </c>
      <c r="G24" s="493">
        <f t="shared" ref="G24:G25" si="6">ROUND(F24/12*0,2)</f>
        <v>0</v>
      </c>
      <c r="K24" s="317"/>
      <c r="L24" s="317"/>
      <c r="M24" s="317"/>
    </row>
    <row r="25" spans="1:13" s="363" customFormat="1" x14ac:dyDescent="0.35">
      <c r="A25" s="524" t="s">
        <v>96</v>
      </c>
      <c r="B25" s="492"/>
      <c r="C25" s="492"/>
      <c r="D25" s="492"/>
      <c r="E25" s="508"/>
      <c r="F25" s="493">
        <f t="shared" si="5"/>
        <v>0</v>
      </c>
      <c r="G25" s="493">
        <f t="shared" si="6"/>
        <v>0</v>
      </c>
    </row>
    <row r="26" spans="1:13" s="392" customFormat="1" x14ac:dyDescent="0.35">
      <c r="A26" s="524" t="s">
        <v>97</v>
      </c>
      <c r="B26" s="493">
        <f t="shared" ref="B26:G26" si="7">SUM(B23:B25)</f>
        <v>0</v>
      </c>
      <c r="C26" s="493">
        <f t="shared" si="7"/>
        <v>0</v>
      </c>
      <c r="D26" s="493">
        <f t="shared" si="7"/>
        <v>0</v>
      </c>
      <c r="E26" s="505">
        <f t="shared" si="7"/>
        <v>0</v>
      </c>
      <c r="F26" s="493">
        <f t="shared" si="7"/>
        <v>0</v>
      </c>
      <c r="G26" s="493">
        <f t="shared" si="7"/>
        <v>0</v>
      </c>
    </row>
    <row r="27" spans="1:13" s="392" customFormat="1" x14ac:dyDescent="0.35">
      <c r="B27" s="363"/>
      <c r="C27" s="363"/>
      <c r="D27" s="363"/>
      <c r="E27" s="506"/>
      <c r="F27" s="363"/>
      <c r="G27" s="363"/>
    </row>
    <row r="28" spans="1:13" s="363" customFormat="1" x14ac:dyDescent="0.35">
      <c r="A28" s="392"/>
      <c r="E28" s="506"/>
    </row>
    <row r="29" spans="1:13" x14ac:dyDescent="0.35">
      <c r="A29" s="296" t="s">
        <v>287</v>
      </c>
      <c r="B29" s="69"/>
      <c r="C29" s="69"/>
      <c r="D29" s="334"/>
      <c r="E29" s="335"/>
      <c r="K29" s="317"/>
      <c r="L29" s="317"/>
      <c r="M29" s="317"/>
    </row>
    <row r="30" spans="1:13" x14ac:dyDescent="0.35">
      <c r="A30" s="524" t="s">
        <v>22</v>
      </c>
      <c r="B30" s="24"/>
      <c r="C30" s="24"/>
      <c r="D30" s="24"/>
      <c r="E30" s="336"/>
      <c r="F30" s="196">
        <f>SUM(B30:E30)</f>
        <v>0</v>
      </c>
      <c r="G30" s="196">
        <f>ROUND(F30/12*0,2)</f>
        <v>0</v>
      </c>
      <c r="K30" s="317"/>
      <c r="L30" s="317"/>
      <c r="M30" s="317"/>
    </row>
    <row r="31" spans="1:13" x14ac:dyDescent="0.35">
      <c r="A31" s="524" t="s">
        <v>23</v>
      </c>
      <c r="B31" s="195"/>
      <c r="C31" s="195"/>
      <c r="D31" s="195"/>
      <c r="E31" s="337"/>
      <c r="F31" s="196">
        <f>SUM(B31:E31)</f>
        <v>0</v>
      </c>
      <c r="G31" s="196">
        <f>SUM(G34:G36)</f>
        <v>0</v>
      </c>
      <c r="K31" s="317"/>
      <c r="L31" s="317"/>
      <c r="M31" s="317"/>
    </row>
    <row r="32" spans="1:13" x14ac:dyDescent="0.35">
      <c r="A32" s="524" t="s">
        <v>3</v>
      </c>
      <c r="B32" s="196">
        <f t="shared" ref="B32:G32" si="8">SUM(B30:B31)</f>
        <v>0</v>
      </c>
      <c r="C32" s="196">
        <f t="shared" si="8"/>
        <v>0</v>
      </c>
      <c r="D32" s="196">
        <f t="shared" si="8"/>
        <v>0</v>
      </c>
      <c r="E32" s="338">
        <f t="shared" si="8"/>
        <v>0</v>
      </c>
      <c r="F32" s="196">
        <f t="shared" si="8"/>
        <v>0</v>
      </c>
      <c r="G32" s="196">
        <f t="shared" si="8"/>
        <v>0</v>
      </c>
      <c r="K32" s="317"/>
      <c r="L32" s="317"/>
      <c r="M32" s="317"/>
    </row>
    <row r="33" spans="1:15" x14ac:dyDescent="0.35">
      <c r="A33" s="392"/>
      <c r="B33" s="193"/>
      <c r="C33" s="193"/>
      <c r="D33" s="194"/>
      <c r="E33" s="335"/>
      <c r="K33" s="317"/>
      <c r="L33" s="317"/>
      <c r="M33" s="317"/>
    </row>
    <row r="34" spans="1:15" x14ac:dyDescent="0.35">
      <c r="A34" s="524" t="s">
        <v>94</v>
      </c>
      <c r="B34" s="24"/>
      <c r="C34" s="24"/>
      <c r="D34" s="24"/>
      <c r="E34" s="337"/>
      <c r="F34" s="196">
        <f t="shared" ref="F34:F36" si="9">SUM(B34:E34)</f>
        <v>0</v>
      </c>
      <c r="G34" s="196">
        <f>ROUND(F34/12*0,2)</f>
        <v>0</v>
      </c>
      <c r="K34" s="317"/>
      <c r="L34" s="317"/>
      <c r="M34" s="317"/>
    </row>
    <row r="35" spans="1:15" x14ac:dyDescent="0.35">
      <c r="A35" s="524" t="s">
        <v>95</v>
      </c>
      <c r="B35" s="24"/>
      <c r="C35" s="24"/>
      <c r="D35" s="24"/>
      <c r="E35" s="336"/>
      <c r="F35" s="196">
        <f t="shared" si="9"/>
        <v>0</v>
      </c>
      <c r="G35" s="196">
        <f t="shared" ref="G35:G36" si="10">ROUND(F35/12*0,2)</f>
        <v>0</v>
      </c>
    </row>
    <row r="36" spans="1:15" x14ac:dyDescent="0.35">
      <c r="A36" s="524" t="s">
        <v>96</v>
      </c>
      <c r="B36" s="195"/>
      <c r="C36" s="195"/>
      <c r="D36" s="195"/>
      <c r="E36" s="337"/>
      <c r="F36" s="196">
        <f t="shared" si="9"/>
        <v>0</v>
      </c>
      <c r="G36" s="196">
        <f t="shared" si="10"/>
        <v>0</v>
      </c>
    </row>
    <row r="37" spans="1:15" s="38" customFormat="1" x14ac:dyDescent="0.35">
      <c r="A37" s="524" t="s">
        <v>97</v>
      </c>
      <c r="B37" s="196">
        <f t="shared" ref="B37:G37" si="11">SUM(B34:B36)</f>
        <v>0</v>
      </c>
      <c r="C37" s="196">
        <f t="shared" si="11"/>
        <v>0</v>
      </c>
      <c r="D37" s="196">
        <f t="shared" si="11"/>
        <v>0</v>
      </c>
      <c r="E37" s="338">
        <f t="shared" si="11"/>
        <v>0</v>
      </c>
      <c r="F37" s="196">
        <f t="shared" si="11"/>
        <v>0</v>
      </c>
      <c r="G37" s="196">
        <f t="shared" si="11"/>
        <v>0</v>
      </c>
    </row>
    <row r="38" spans="1:15" x14ac:dyDescent="0.35">
      <c r="A38" s="392"/>
      <c r="E38" s="335"/>
    </row>
    <row r="39" spans="1:15" x14ac:dyDescent="0.35">
      <c r="A39" s="392"/>
      <c r="E39" s="335"/>
      <c r="K39" s="317"/>
      <c r="L39" s="317"/>
      <c r="M39" s="317"/>
      <c r="O39" s="303"/>
    </row>
    <row r="40" spans="1:15" x14ac:dyDescent="0.35">
      <c r="A40" s="296" t="s">
        <v>288</v>
      </c>
      <c r="B40" s="69"/>
      <c r="C40" s="69"/>
      <c r="D40" s="334"/>
      <c r="E40" s="335"/>
      <c r="K40" s="317"/>
      <c r="L40" s="317"/>
      <c r="M40" s="317"/>
      <c r="O40" s="303"/>
    </row>
    <row r="41" spans="1:15" x14ac:dyDescent="0.35">
      <c r="A41" s="524" t="s">
        <v>22</v>
      </c>
      <c r="B41" s="24"/>
      <c r="C41" s="24"/>
      <c r="D41" s="24"/>
      <c r="E41" s="336"/>
      <c r="F41" s="196">
        <f>SUM(B41:E41)</f>
        <v>0</v>
      </c>
      <c r="G41" s="196">
        <f>ROUND(F41/12*0,2)</f>
        <v>0</v>
      </c>
      <c r="K41" s="317"/>
      <c r="L41" s="317"/>
      <c r="M41" s="317"/>
    </row>
    <row r="42" spans="1:15" x14ac:dyDescent="0.35">
      <c r="A42" s="524" t="s">
        <v>23</v>
      </c>
      <c r="B42" s="195"/>
      <c r="C42" s="195"/>
      <c r="D42" s="195"/>
      <c r="E42" s="337"/>
      <c r="F42" s="196">
        <f>SUM(B42:E42)</f>
        <v>0</v>
      </c>
      <c r="G42" s="196">
        <f>SUM(G45:G47)</f>
        <v>0</v>
      </c>
      <c r="K42" s="317"/>
      <c r="L42" s="317"/>
      <c r="M42" s="317"/>
    </row>
    <row r="43" spans="1:15" x14ac:dyDescent="0.35">
      <c r="A43" s="524" t="s">
        <v>3</v>
      </c>
      <c r="B43" s="196">
        <f t="shared" ref="B43:G43" si="12">SUM(B41:B42)</f>
        <v>0</v>
      </c>
      <c r="C43" s="196">
        <f t="shared" si="12"/>
        <v>0</v>
      </c>
      <c r="D43" s="196">
        <f t="shared" si="12"/>
        <v>0</v>
      </c>
      <c r="E43" s="338">
        <f t="shared" si="12"/>
        <v>0</v>
      </c>
      <c r="F43" s="196">
        <f t="shared" si="12"/>
        <v>0</v>
      </c>
      <c r="G43" s="196">
        <f t="shared" si="12"/>
        <v>0</v>
      </c>
      <c r="K43" s="317"/>
      <c r="L43" s="317"/>
      <c r="M43" s="317"/>
    </row>
    <row r="44" spans="1:15" x14ac:dyDescent="0.35">
      <c r="A44" s="392"/>
      <c r="B44" s="193"/>
      <c r="C44" s="193"/>
      <c r="D44" s="194"/>
      <c r="E44" s="335"/>
      <c r="K44" s="317"/>
      <c r="L44" s="317"/>
      <c r="M44" s="317"/>
    </row>
    <row r="45" spans="1:15" x14ac:dyDescent="0.35">
      <c r="A45" s="524" t="s">
        <v>94</v>
      </c>
      <c r="B45" s="24"/>
      <c r="C45" s="24"/>
      <c r="D45" s="24"/>
      <c r="E45" s="337"/>
      <c r="F45" s="196">
        <f t="shared" ref="F45:F47" si="13">SUM(B45:E45)</f>
        <v>0</v>
      </c>
      <c r="G45" s="196">
        <f>ROUND(F45/12*0,2)</f>
        <v>0</v>
      </c>
      <c r="K45" s="317"/>
      <c r="L45" s="317"/>
      <c r="M45" s="317"/>
    </row>
    <row r="46" spans="1:15" x14ac:dyDescent="0.35">
      <c r="A46" s="524" t="s">
        <v>95</v>
      </c>
      <c r="B46" s="24"/>
      <c r="C46" s="24"/>
      <c r="D46" s="24"/>
      <c r="E46" s="336"/>
      <c r="F46" s="196">
        <f t="shared" si="13"/>
        <v>0</v>
      </c>
      <c r="G46" s="196">
        <f t="shared" ref="G46:G47" si="14">ROUND(F46/12*0,2)</f>
        <v>0</v>
      </c>
    </row>
    <row r="47" spans="1:15" s="38" customFormat="1" x14ac:dyDescent="0.35">
      <c r="A47" s="19" t="s">
        <v>96</v>
      </c>
      <c r="B47" s="195"/>
      <c r="C47" s="195"/>
      <c r="D47" s="195"/>
      <c r="E47" s="337"/>
      <c r="F47" s="196">
        <f t="shared" si="13"/>
        <v>0</v>
      </c>
      <c r="G47" s="196">
        <f t="shared" si="14"/>
        <v>0</v>
      </c>
    </row>
    <row r="48" spans="1:15" s="38" customFormat="1" x14ac:dyDescent="0.35">
      <c r="A48" s="19" t="s">
        <v>97</v>
      </c>
      <c r="B48" s="196">
        <f>SUM(B45:B47)</f>
        <v>0</v>
      </c>
      <c r="C48" s="196">
        <f>SUM(C45:C47)</f>
        <v>0</v>
      </c>
      <c r="D48" s="196">
        <f t="shared" ref="D48:G48" si="15">SUM(D45:D47)</f>
        <v>0</v>
      </c>
      <c r="E48" s="338">
        <f t="shared" si="15"/>
        <v>0</v>
      </c>
      <c r="F48" s="196">
        <f t="shared" si="15"/>
        <v>0</v>
      </c>
      <c r="G48" s="196">
        <f t="shared" si="15"/>
        <v>0</v>
      </c>
    </row>
    <row r="49" spans="1:11" s="38" customFormat="1" x14ac:dyDescent="0.35">
      <c r="A49" s="45"/>
      <c r="B49" s="45"/>
      <c r="C49" s="45"/>
      <c r="D49" s="45"/>
      <c r="E49" s="335"/>
      <c r="F49" s="45"/>
      <c r="G49" s="45"/>
    </row>
    <row r="50" spans="1:11" s="38" customFormat="1" x14ac:dyDescent="0.35">
      <c r="A50" s="29"/>
      <c r="B50" s="221"/>
      <c r="C50" s="221"/>
      <c r="D50" s="221"/>
      <c r="E50" s="221"/>
      <c r="F50" s="221"/>
      <c r="G50" s="221"/>
    </row>
    <row r="51" spans="1:11" x14ac:dyDescent="0.35">
      <c r="A51" s="52" t="s">
        <v>9</v>
      </c>
    </row>
    <row r="52" spans="1:11" x14ac:dyDescent="0.35">
      <c r="A52" s="412" t="s">
        <v>284</v>
      </c>
      <c r="B52" s="392"/>
      <c r="C52" s="392"/>
      <c r="D52" s="392"/>
      <c r="E52" s="392"/>
      <c r="F52" s="392"/>
      <c r="G52" s="392"/>
      <c r="H52" s="392"/>
      <c r="I52" s="392"/>
      <c r="J52" s="392"/>
      <c r="K52" s="392"/>
    </row>
    <row r="53" spans="1:11" x14ac:dyDescent="0.35">
      <c r="A53" s="412" t="s">
        <v>227</v>
      </c>
      <c r="B53" s="392"/>
      <c r="C53" s="392"/>
      <c r="D53" s="392"/>
      <c r="E53" s="392"/>
      <c r="F53" s="392"/>
      <c r="G53" s="392"/>
      <c r="H53" s="392"/>
      <c r="I53" s="392"/>
      <c r="J53" s="392"/>
      <c r="K53" s="392"/>
    </row>
    <row r="54" spans="1:11" x14ac:dyDescent="0.35">
      <c r="A54" s="412" t="s">
        <v>228</v>
      </c>
      <c r="B54" s="392"/>
      <c r="C54" s="392"/>
      <c r="D54" s="392"/>
      <c r="E54" s="392"/>
      <c r="F54" s="392"/>
      <c r="G54" s="392"/>
      <c r="H54" s="392"/>
      <c r="I54" s="392"/>
      <c r="J54" s="392"/>
      <c r="K54" s="392"/>
    </row>
    <row r="55" spans="1:11" x14ac:dyDescent="0.35">
      <c r="A55" s="412" t="s">
        <v>229</v>
      </c>
      <c r="B55" s="392"/>
      <c r="C55" s="392"/>
      <c r="D55" s="392"/>
      <c r="E55" s="392"/>
      <c r="F55" s="392"/>
      <c r="G55" s="392"/>
      <c r="H55" s="392"/>
      <c r="I55" s="392"/>
      <c r="J55" s="392"/>
      <c r="K55" s="392"/>
    </row>
    <row r="56" spans="1:11" x14ac:dyDescent="0.35">
      <c r="A56" s="412" t="s">
        <v>139</v>
      </c>
      <c r="B56" s="392"/>
      <c r="C56" s="392"/>
      <c r="D56" s="392"/>
      <c r="E56" s="392"/>
      <c r="F56" s="392"/>
      <c r="G56" s="392"/>
      <c r="H56" s="392"/>
      <c r="I56" s="392"/>
      <c r="J56" s="392"/>
      <c r="K56" s="392"/>
    </row>
    <row r="57" spans="1:11" ht="33.75" customHeight="1" x14ac:dyDescent="0.35">
      <c r="A57" s="548" t="s">
        <v>285</v>
      </c>
      <c r="B57" s="548"/>
      <c r="C57" s="548"/>
      <c r="D57" s="548"/>
      <c r="E57" s="548"/>
      <c r="F57" s="548"/>
      <c r="G57" s="548"/>
      <c r="H57" s="548"/>
      <c r="I57" s="548"/>
      <c r="J57" s="548"/>
      <c r="K57" s="548"/>
    </row>
    <row r="58" spans="1:11" x14ac:dyDescent="0.35">
      <c r="A58" s="392"/>
      <c r="B58" s="392"/>
      <c r="C58" s="392"/>
      <c r="D58" s="392"/>
      <c r="E58" s="392"/>
      <c r="F58" s="392"/>
      <c r="G58" s="392"/>
      <c r="H58" s="392"/>
      <c r="I58" s="392"/>
      <c r="J58" s="392"/>
      <c r="K58" s="392"/>
    </row>
  </sheetData>
  <mergeCells count="2">
    <mergeCell ref="B4:D4"/>
    <mergeCell ref="A57:K57"/>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64"/>
  <sheetViews>
    <sheetView zoomScale="85" zoomScaleNormal="85" workbookViewId="0">
      <pane xSplit="2" ySplit="13" topLeftCell="C14" activePane="bottomRight" state="frozen"/>
      <selection activeCell="E77" sqref="E77"/>
      <selection pane="topRight" activeCell="E77" sqref="E77"/>
      <selection pane="bottomLeft" activeCell="E77" sqref="E77"/>
      <selection pane="bottomRight" activeCell="C14" sqref="C14"/>
    </sheetView>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5.453125" style="45" customWidth="1"/>
    <col min="5" max="5" width="15.81640625" style="45" bestFit="1" customWidth="1"/>
    <col min="6" max="6" width="12.26953125" style="45" bestFit="1" customWidth="1"/>
    <col min="7" max="8" width="13.26953125" style="45" bestFit="1" customWidth="1"/>
    <col min="9" max="9" width="12.26953125" style="45" bestFit="1" customWidth="1"/>
    <col min="10" max="10" width="12.54296875" style="45" customWidth="1"/>
    <col min="11" max="11" width="12.81640625" style="45" customWidth="1"/>
    <col min="12" max="12" width="16" style="45" customWidth="1"/>
    <col min="13" max="13" width="15" style="45" bestFit="1" customWidth="1"/>
    <col min="14" max="14" width="16" style="45" bestFit="1" customWidth="1"/>
    <col min="15" max="15" width="17.81640625" style="167" hidden="1" customWidth="1" outlineLevel="1"/>
    <col min="16" max="16" width="15.26953125" style="45" bestFit="1" customWidth="1" collapsed="1"/>
    <col min="17" max="17" width="17.453125" style="45" bestFit="1" customWidth="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3" t="str">
        <f>+'PTD Cycle 3'!A1</f>
        <v>Evergy Missouri West, Inc. - DSIM Rider Update Filed 06/02/2025</v>
      </c>
      <c r="B1" s="3"/>
      <c r="C1" s="3"/>
    </row>
    <row r="2" spans="1:35" x14ac:dyDescent="0.35">
      <c r="D2" s="3" t="s">
        <v>125</v>
      </c>
    </row>
    <row r="3" spans="1:35" ht="29" x14ac:dyDescent="0.35">
      <c r="D3" s="47" t="s">
        <v>40</v>
      </c>
      <c r="E3" s="69" t="s">
        <v>52</v>
      </c>
      <c r="F3" s="47" t="s">
        <v>1</v>
      </c>
      <c r="G3" s="69" t="s">
        <v>49</v>
      </c>
      <c r="H3" s="47" t="s">
        <v>8</v>
      </c>
      <c r="I3" s="47" t="s">
        <v>53</v>
      </c>
      <c r="S3" s="47"/>
    </row>
    <row r="4" spans="1:35" x14ac:dyDescent="0.35">
      <c r="A4" s="19" t="s">
        <v>22</v>
      </c>
      <c r="B4" s="19"/>
      <c r="C4" s="19"/>
      <c r="D4" s="21">
        <f>SUM(C18:L18)</f>
        <v>-18309.689999999999</v>
      </c>
      <c r="E4" s="21">
        <f>SUM(C24:K24)</f>
        <v>-6450.8000000000011</v>
      </c>
      <c r="F4" s="21">
        <f>E4-D4</f>
        <v>11858.889999999998</v>
      </c>
      <c r="G4" s="21">
        <f>+B38</f>
        <v>-21327.052180000188</v>
      </c>
      <c r="H4" s="21">
        <f>SUM(C45:K45)</f>
        <v>-496.84</v>
      </c>
      <c r="I4" s="24">
        <f>SUM(F4:H4)</f>
        <v>-9965.0021800001905</v>
      </c>
      <c r="J4" s="289">
        <f>+I4-L38</f>
        <v>0</v>
      </c>
      <c r="M4" s="46"/>
    </row>
    <row r="5" spans="1:35" ht="15" thickBot="1" x14ac:dyDescent="0.4">
      <c r="A5" s="19" t="s">
        <v>23</v>
      </c>
      <c r="B5" s="19"/>
      <c r="C5" s="19"/>
      <c r="D5" s="21">
        <f>SUM(C19:L21)</f>
        <v>8598.9000000000015</v>
      </c>
      <c r="E5" s="21">
        <f>SUM(C25:K27)</f>
        <v>-17.889999999999986</v>
      </c>
      <c r="F5" s="21">
        <f>E5-D5</f>
        <v>-8616.7900000000009</v>
      </c>
      <c r="G5" s="21">
        <f>SUM(B39:B41)</f>
        <v>23783.809160000121</v>
      </c>
      <c r="H5" s="21">
        <f>SUM(C46:K48)</f>
        <v>585.61000000000092</v>
      </c>
      <c r="I5" s="24">
        <f>SUM(F5:H5)</f>
        <v>15752.62916000012</v>
      </c>
      <c r="J5" s="289">
        <f>+I5-SUM(L39:L41)</f>
        <v>1.0913936421275139E-10</v>
      </c>
      <c r="M5" s="46"/>
    </row>
    <row r="6" spans="1:35" ht="15.5" thickTop="1" thickBot="1" x14ac:dyDescent="0.4">
      <c r="D6" s="26">
        <f t="shared" ref="D6:I6" si="0">SUM(D4:D5)</f>
        <v>-9710.7899999999972</v>
      </c>
      <c r="E6" s="26">
        <f t="shared" si="0"/>
        <v>-6468.6900000000014</v>
      </c>
      <c r="F6" s="26">
        <f t="shared" si="0"/>
        <v>3242.0999999999967</v>
      </c>
      <c r="G6" s="26">
        <f t="shared" si="0"/>
        <v>2456.7569799999328</v>
      </c>
      <c r="H6" s="26">
        <f t="shared" si="0"/>
        <v>88.770000000000948</v>
      </c>
      <c r="I6" s="26">
        <f t="shared" si="0"/>
        <v>5787.62697999993</v>
      </c>
      <c r="T6" s="5"/>
    </row>
    <row r="7" spans="1:35" ht="44" thickTop="1" x14ac:dyDescent="0.35">
      <c r="I7" s="200"/>
      <c r="J7" s="199" t="s">
        <v>107</v>
      </c>
    </row>
    <row r="8" spans="1:35" ht="17.25" customHeight="1" x14ac:dyDescent="0.35">
      <c r="A8" s="19" t="s">
        <v>94</v>
      </c>
      <c r="I8" s="24">
        <f>ROUND($I$5*J8,2)</f>
        <v>6176.49</v>
      </c>
      <c r="J8" s="197">
        <f>'TDR Cycle 2'!L8</f>
        <v>0.39209287804949344</v>
      </c>
      <c r="K8" s="38"/>
    </row>
    <row r="9" spans="1:35" ht="17.25" customHeight="1" x14ac:dyDescent="0.35">
      <c r="A9" s="19" t="s">
        <v>95</v>
      </c>
      <c r="I9" s="24">
        <f t="shared" ref="I9:I10" si="1">ROUND($I$5*J9,2)</f>
        <v>7157.35</v>
      </c>
      <c r="J9" s="494">
        <f>'TDR Cycle 2'!L9</f>
        <v>0.45435908608374953</v>
      </c>
      <c r="K9" s="38"/>
    </row>
    <row r="10" spans="1:35" ht="17.25" customHeight="1" thickBot="1" x14ac:dyDescent="0.4">
      <c r="A10" s="19" t="s">
        <v>96</v>
      </c>
      <c r="I10" s="24">
        <f t="shared" si="1"/>
        <v>2418.79</v>
      </c>
      <c r="J10" s="494">
        <f>'TDR Cycle 2'!L10</f>
        <v>0.15354803586675725</v>
      </c>
      <c r="K10" s="38"/>
    </row>
    <row r="11" spans="1:35" ht="17.25" customHeight="1" thickTop="1" thickBot="1" x14ac:dyDescent="0.4">
      <c r="A11" s="19" t="s">
        <v>97</v>
      </c>
      <c r="I11" s="26">
        <f>SUM(I8:I10)</f>
        <v>15752.630000000001</v>
      </c>
      <c r="J11" s="198">
        <f>SUM(J8:J10)</f>
        <v>1.0000000000000002</v>
      </c>
    </row>
    <row r="12" spans="1:35" ht="15.5" thickTop="1" thickBot="1" x14ac:dyDescent="0.4">
      <c r="V12" s="4"/>
      <c r="W12" s="5"/>
    </row>
    <row r="13" spans="1:35" ht="116.5" thickBot="1" x14ac:dyDescent="0.4">
      <c r="B13" s="110" t="str">
        <f>+'PCR Cycle 4'!B10</f>
        <v>Cumulative Over/Under Carryover From 12/01/2024 Filing</v>
      </c>
      <c r="C13" s="140" t="str">
        <f>+'PCR Cycle 4'!C10</f>
        <v>Reverse November 2024 - January 2025 Forecast From 12/01/2024 Filing</v>
      </c>
      <c r="D13" s="547" t="s">
        <v>28</v>
      </c>
      <c r="E13" s="530"/>
      <c r="F13" s="531"/>
      <c r="G13" s="541" t="s">
        <v>28</v>
      </c>
      <c r="H13" s="542"/>
      <c r="I13" s="543"/>
      <c r="J13" s="535" t="s">
        <v>6</v>
      </c>
      <c r="K13" s="536"/>
      <c r="L13" s="537"/>
      <c r="O13" s="264" t="s">
        <v>196</v>
      </c>
    </row>
    <row r="14" spans="1:35" x14ac:dyDescent="0.35">
      <c r="A14" s="45" t="s">
        <v>75</v>
      </c>
      <c r="C14" s="100"/>
      <c r="D14" s="377">
        <f>+'PCR Cycle 4'!E$11</f>
        <v>45626</v>
      </c>
      <c r="E14" s="377">
        <f>+'PCR Cycle 4'!F$11</f>
        <v>45657</v>
      </c>
      <c r="F14" s="377">
        <f>+'PCR Cycle 4'!G$11</f>
        <v>45688</v>
      </c>
      <c r="G14" s="372">
        <f>+'PCR Cycle 4'!H$11</f>
        <v>45716</v>
      </c>
      <c r="H14" s="377">
        <f>+'PCR Cycle 4'!I$11</f>
        <v>45747</v>
      </c>
      <c r="I14" s="373">
        <f>+'PCR Cycle 4'!J$11</f>
        <v>45777</v>
      </c>
      <c r="J14" s="377">
        <f>+'PCR Cycle 4'!K$11</f>
        <v>45808</v>
      </c>
      <c r="K14" s="377">
        <f>+'PCR Cycle 4'!L$11</f>
        <v>45838</v>
      </c>
      <c r="L14" s="431">
        <f>+'PCR Cycle 4'!M$11</f>
        <v>45869</v>
      </c>
      <c r="Z14" s="1"/>
      <c r="AA14" s="1"/>
      <c r="AB14" s="1"/>
      <c r="AC14" s="1"/>
      <c r="AD14" s="1"/>
      <c r="AE14" s="1"/>
      <c r="AF14" s="1"/>
      <c r="AG14" s="1"/>
      <c r="AH14" s="1"/>
      <c r="AI14" s="1"/>
    </row>
    <row r="15" spans="1:35" x14ac:dyDescent="0.35">
      <c r="A15" s="45" t="s">
        <v>3</v>
      </c>
      <c r="C15" s="94">
        <v>2498.48</v>
      </c>
      <c r="D15" s="104">
        <f>SUM(D24:D27)</f>
        <v>-1249.24</v>
      </c>
      <c r="E15" s="104">
        <f t="shared" ref="E15:K15" si="2">SUM(E24:E27)</f>
        <v>-1249.24</v>
      </c>
      <c r="F15" s="105">
        <f t="shared" si="2"/>
        <v>-1249.24</v>
      </c>
      <c r="G15" s="15">
        <f t="shared" si="2"/>
        <v>-1043.8899999999999</v>
      </c>
      <c r="H15" s="54">
        <f t="shared" si="2"/>
        <v>-1043.8899999999999</v>
      </c>
      <c r="I15" s="151">
        <f t="shared" si="2"/>
        <v>-1043.8899999999999</v>
      </c>
      <c r="J15" s="144">
        <f t="shared" si="2"/>
        <v>-1043.8899999999999</v>
      </c>
      <c r="K15" s="75">
        <f t="shared" si="2"/>
        <v>-1043.8899999999999</v>
      </c>
      <c r="L15" s="76"/>
      <c r="O15" s="167">
        <f>-SUM(J15:L15)</f>
        <v>2087.7799999999997</v>
      </c>
    </row>
    <row r="16" spans="1:35" x14ac:dyDescent="0.35">
      <c r="C16" s="96"/>
      <c r="D16" s="16"/>
      <c r="E16" s="16"/>
      <c r="F16" s="16"/>
      <c r="G16" s="9"/>
      <c r="H16" s="16"/>
      <c r="I16" s="10"/>
      <c r="J16" s="30"/>
      <c r="K16" s="30"/>
      <c r="L16" s="28"/>
    </row>
    <row r="17" spans="1:16" x14ac:dyDescent="0.35">
      <c r="A17" s="45" t="s">
        <v>76</v>
      </c>
      <c r="C17" s="96"/>
      <c r="D17" s="17"/>
      <c r="E17" s="17"/>
      <c r="F17" s="17"/>
      <c r="G17" s="88"/>
      <c r="H17" s="17"/>
      <c r="I17" s="152"/>
      <c r="J17" s="30"/>
      <c r="K17" s="30"/>
      <c r="L17" s="28"/>
      <c r="M17" s="412" t="s">
        <v>44</v>
      </c>
      <c r="N17" s="38"/>
    </row>
    <row r="18" spans="1:16" x14ac:dyDescent="0.35">
      <c r="A18" s="45" t="s">
        <v>22</v>
      </c>
      <c r="C18" s="94">
        <v>0</v>
      </c>
      <c r="D18" s="124">
        <f>ROUND('[10]November 2024'!$G68,2)</f>
        <v>0.14000000000000001</v>
      </c>
      <c r="E18" s="124">
        <f>ROUND('[10]December 2024'!$G68,2)</f>
        <v>-0.08</v>
      </c>
      <c r="F18" s="124">
        <f>ROUND('[10]January 2025'!$G68,2)</f>
        <v>10.56</v>
      </c>
      <c r="G18" s="15">
        <f>ROUND('[10]February 2025'!$G68,2)</f>
        <v>-4092.49</v>
      </c>
      <c r="H18" s="54">
        <f>ROUND('[10]March 2025'!$G68,2)</f>
        <v>-3213.51</v>
      </c>
      <c r="I18" s="151">
        <f>ROUND('[10]April 2025'!$G68,2)</f>
        <v>-2102.29</v>
      </c>
      <c r="J18" s="114">
        <f>ROUND('PCR Cycle 4'!K20*$M18,2)</f>
        <v>-2219.4</v>
      </c>
      <c r="K18" s="40">
        <f>ROUND('PCR Cycle 4'!L20*$M18,2)</f>
        <v>-2802.93</v>
      </c>
      <c r="L18" s="60">
        <f>ROUND('PCR Cycle 4'!M20*$M18,2)</f>
        <v>-3889.69</v>
      </c>
      <c r="M18" s="71">
        <v>-1.0000000000000001E-5</v>
      </c>
      <c r="N18" s="4"/>
      <c r="O18" s="167">
        <f t="shared" ref="O18:O21" si="3">-SUM(J18:L18)</f>
        <v>8912.02</v>
      </c>
    </row>
    <row r="19" spans="1:16" x14ac:dyDescent="0.35">
      <c r="A19" s="45" t="s">
        <v>119</v>
      </c>
      <c r="C19" s="94">
        <v>-3252.2000000000003</v>
      </c>
      <c r="D19" s="445">
        <f>ROUND('[10]November 2024'!$G69,2)</f>
        <v>978.16</v>
      </c>
      <c r="E19" s="124">
        <f>ROUND('[10]December 2024'!$G69,2)</f>
        <v>1156.17</v>
      </c>
      <c r="F19" s="124">
        <f>ROUND('[10]January 2025'!$G69,2)</f>
        <v>1287.32</v>
      </c>
      <c r="G19" s="15">
        <f>ROUND('[10]February 2025'!$G69,2)</f>
        <v>1367.7</v>
      </c>
      <c r="H19" s="54">
        <f>ROUND('[10]March 2025'!$G69,2)</f>
        <v>-36.65</v>
      </c>
      <c r="I19" s="151">
        <f>ROUND('[10]April 2025'!$G69,2)</f>
        <v>1003.11</v>
      </c>
      <c r="J19" s="114">
        <f>ROUND('PCR Cycle 4'!K21*$M19,2)</f>
        <v>953.15</v>
      </c>
      <c r="K19" s="40">
        <f>ROUND('PCR Cycle 4'!L21*$M19,2)</f>
        <v>1063.8699999999999</v>
      </c>
      <c r="L19" s="60">
        <f>ROUND('PCR Cycle 4'!M21*$M19,2)</f>
        <v>1189.55</v>
      </c>
      <c r="M19" s="71">
        <v>1.0000000000000001E-5</v>
      </c>
      <c r="N19" s="4"/>
      <c r="O19" s="167">
        <f t="shared" si="3"/>
        <v>-3206.5699999999997</v>
      </c>
    </row>
    <row r="20" spans="1:16" x14ac:dyDescent="0.35">
      <c r="A20" s="45" t="s">
        <v>120</v>
      </c>
      <c r="C20" s="94">
        <v>-2758.75</v>
      </c>
      <c r="D20" s="445">
        <f>ROUND('[10]November 2024'!$G70,2)</f>
        <v>833.29</v>
      </c>
      <c r="E20" s="124">
        <f>ROUND('[10]December 2024'!$G70,2)</f>
        <v>885.42</v>
      </c>
      <c r="F20" s="124">
        <f>ROUND('[10]January 2025'!$G70,2)</f>
        <v>887.34</v>
      </c>
      <c r="G20" s="15">
        <f>ROUND('[10]February 2025'!$G70,2)</f>
        <v>0.25</v>
      </c>
      <c r="H20" s="54">
        <f>ROUND('[10]March 2025'!$G70,2)</f>
        <v>11.33</v>
      </c>
      <c r="I20" s="151">
        <f>ROUND('[10]April 2025'!$G70,2)</f>
        <v>0</v>
      </c>
      <c r="J20" s="114">
        <f>ROUND('PCR Cycle 4'!K22*$M20,2)</f>
        <v>0</v>
      </c>
      <c r="K20" s="40">
        <f>ROUND('PCR Cycle 4'!L22*$M20,2)</f>
        <v>0</v>
      </c>
      <c r="L20" s="60">
        <f>ROUND('PCR Cycle 4'!M22*$M20,2)</f>
        <v>0</v>
      </c>
      <c r="M20" s="71">
        <v>0</v>
      </c>
      <c r="N20" s="4"/>
      <c r="O20" s="167">
        <f t="shared" si="3"/>
        <v>0</v>
      </c>
    </row>
    <row r="21" spans="1:16" x14ac:dyDescent="0.35">
      <c r="A21" s="45" t="s">
        <v>121</v>
      </c>
      <c r="C21" s="94">
        <v>-1822.81</v>
      </c>
      <c r="D21" s="445">
        <f>ROUND('[10]November 2024'!$G71,2)</f>
        <v>630.55999999999995</v>
      </c>
      <c r="E21" s="124">
        <f>ROUND('[10]December 2024'!$G71,2)</f>
        <v>641.39</v>
      </c>
      <c r="F21" s="124">
        <f>ROUND('[10]January 2025'!$G71,2)</f>
        <v>614.4</v>
      </c>
      <c r="G21" s="15">
        <f>ROUND('[10]February 2025'!$G71,2)</f>
        <v>664.26</v>
      </c>
      <c r="H21" s="54">
        <f>ROUND('[10]March 2025'!$G71,2)</f>
        <v>-158.37</v>
      </c>
      <c r="I21" s="151">
        <f>ROUND('[10]April 2025'!$G71,2)</f>
        <v>639.63</v>
      </c>
      <c r="J21" s="114">
        <f>ROUND('PCR Cycle 4'!K23*$M21,2)</f>
        <v>541.22</v>
      </c>
      <c r="K21" s="40">
        <f>ROUND('PCR Cycle 4'!L23*$M21,2)</f>
        <v>604.1</v>
      </c>
      <c r="L21" s="60">
        <f>ROUND('PCR Cycle 4'!M23*$M21,2)</f>
        <v>675.46</v>
      </c>
      <c r="M21" s="71">
        <v>1.0000000000000001E-5</v>
      </c>
      <c r="N21" s="4"/>
      <c r="O21" s="167">
        <f t="shared" si="3"/>
        <v>-1820.7800000000002</v>
      </c>
    </row>
    <row r="22" spans="1:16" x14ac:dyDescent="0.35">
      <c r="C22" s="66"/>
      <c r="D22" s="67"/>
      <c r="E22" s="67"/>
      <c r="F22" s="67"/>
      <c r="G22" s="66"/>
      <c r="H22" s="67"/>
      <c r="I22" s="153"/>
      <c r="J22" s="55"/>
      <c r="K22" s="55"/>
      <c r="L22" s="12"/>
      <c r="N22" s="4"/>
    </row>
    <row r="23" spans="1:16" x14ac:dyDescent="0.35">
      <c r="A23" s="45" t="s">
        <v>78</v>
      </c>
      <c r="C23" s="35"/>
      <c r="D23" s="36"/>
      <c r="E23" s="36"/>
      <c r="F23" s="36"/>
      <c r="G23" s="35"/>
      <c r="H23" s="36"/>
      <c r="I23" s="155"/>
      <c r="J23" s="51"/>
      <c r="K23" s="51"/>
      <c r="L23" s="37"/>
    </row>
    <row r="24" spans="1:16" x14ac:dyDescent="0.35">
      <c r="A24" s="45" t="s">
        <v>22</v>
      </c>
      <c r="C24" s="94">
        <v>2424.4</v>
      </c>
      <c r="D24" s="308">
        <f>ROUND(+'EO Cycle 2'!$F$70/24+'EO Cycle 2'!$F$80/24,2)</f>
        <v>-1212.2</v>
      </c>
      <c r="E24" s="308">
        <f>ROUND(+'EO Cycle 2'!$F$70/24+'EO Cycle 2'!$F$80/24,2)</f>
        <v>-1212.2</v>
      </c>
      <c r="F24" s="308">
        <f>ROUND(+'EO Cycle 2'!$F$70/24+'EO Cycle 2'!$F$80/24,2)</f>
        <v>-1212.2</v>
      </c>
      <c r="G24" s="15">
        <f>ROUND(+'EO Cycle 2'!$F$80/24,2)</f>
        <v>-1047.72</v>
      </c>
      <c r="H24" s="54">
        <f>ROUND(+'EO Cycle 2'!$F$80/24,2)</f>
        <v>-1047.72</v>
      </c>
      <c r="I24" s="151">
        <f>ROUND(+'EO Cycle 2'!$F$80/24,2)</f>
        <v>-1047.72</v>
      </c>
      <c r="J24" s="130">
        <f>ROUND(+'EO Cycle 2'!$F$80/24,2)</f>
        <v>-1047.72</v>
      </c>
      <c r="K24" s="130">
        <f>ROUND(+'EO Cycle 2'!$F$80/24,2)</f>
        <v>-1047.72</v>
      </c>
      <c r="L24" s="76"/>
      <c r="N24" s="46"/>
      <c r="O24" s="167">
        <f t="shared" ref="O24:O29" si="4">-SUM(J24:L24)</f>
        <v>2095.44</v>
      </c>
      <c r="P24" s="167"/>
    </row>
    <row r="25" spans="1:16" x14ac:dyDescent="0.35">
      <c r="A25" s="45" t="s">
        <v>119</v>
      </c>
      <c r="C25" s="94">
        <v>-29.72</v>
      </c>
      <c r="D25" s="308">
        <f>ROUND(+'EO Cycle 2'!$F74/24+'EO Cycle 2'!$F84/24,2)</f>
        <v>14.86</v>
      </c>
      <c r="E25" s="308">
        <f>ROUND(+'EO Cycle 2'!$F74/24+'EO Cycle 2'!$F84/24,2)</f>
        <v>14.86</v>
      </c>
      <c r="F25" s="308">
        <f>ROUND(+'EO Cycle 2'!$F74/24+'EO Cycle 2'!$F84/24,2)</f>
        <v>14.86</v>
      </c>
      <c r="G25" s="15">
        <f>ROUND(+'EO Cycle 2'!$F84/24,2)</f>
        <v>29.58</v>
      </c>
      <c r="H25" s="54">
        <f>ROUND(+'EO Cycle 2'!$F84/24,2)</f>
        <v>29.58</v>
      </c>
      <c r="I25" s="151">
        <f>ROUND(+'EO Cycle 2'!$F84/24,2)</f>
        <v>29.58</v>
      </c>
      <c r="J25" s="130">
        <f>ROUND(+'EO Cycle 2'!$F84/24,2)</f>
        <v>29.58</v>
      </c>
      <c r="K25" s="130">
        <f>ROUND(+'EO Cycle 2'!$F84/24,2)</f>
        <v>29.58</v>
      </c>
      <c r="L25" s="76"/>
      <c r="N25" s="46"/>
      <c r="O25" s="167">
        <f t="shared" si="4"/>
        <v>-59.16</v>
      </c>
      <c r="P25" s="167"/>
    </row>
    <row r="26" spans="1:16" x14ac:dyDescent="0.35">
      <c r="A26" s="45" t="s">
        <v>120</v>
      </c>
      <c r="C26" s="94">
        <v>56.08</v>
      </c>
      <c r="D26" s="308">
        <f>ROUND(+'EO Cycle 2'!$F75/24+'EO Cycle 2'!$F85/24,2)</f>
        <v>-28.04</v>
      </c>
      <c r="E26" s="308">
        <f>ROUND(+'EO Cycle 2'!$F75/24+'EO Cycle 2'!$F85/24,2)</f>
        <v>-28.04</v>
      </c>
      <c r="F26" s="308">
        <f>ROUND(+'EO Cycle 2'!$F75/24+'EO Cycle 2'!$F85/24,2)</f>
        <v>-28.04</v>
      </c>
      <c r="G26" s="374">
        <f>ROUND(+'EO Cycle 2'!$F85/24,2)</f>
        <v>-5.97</v>
      </c>
      <c r="H26" s="54">
        <f>ROUND(+'EO Cycle 2'!$F85/24,2)</f>
        <v>-5.97</v>
      </c>
      <c r="I26" s="151">
        <f>ROUND(+'EO Cycle 2'!$F85/24,2)</f>
        <v>-5.97</v>
      </c>
      <c r="J26" s="130">
        <f>ROUND(+'EO Cycle 2'!$F85/24,2)</f>
        <v>-5.97</v>
      </c>
      <c r="K26" s="130">
        <f>ROUND(+'EO Cycle 2'!$F85/24,2)</f>
        <v>-5.97</v>
      </c>
      <c r="L26" s="76"/>
      <c r="N26" s="46"/>
      <c r="O26" s="167">
        <f t="shared" si="4"/>
        <v>11.94</v>
      </c>
      <c r="P26" s="167"/>
    </row>
    <row r="27" spans="1:16" x14ac:dyDescent="0.35">
      <c r="A27" s="45" t="s">
        <v>121</v>
      </c>
      <c r="C27" s="94">
        <v>47.72</v>
      </c>
      <c r="D27" s="308">
        <f>ROUND(+'EO Cycle 2'!$F76/24+'EO Cycle 2'!$F86/24,2)</f>
        <v>-23.86</v>
      </c>
      <c r="E27" s="308">
        <f>ROUND(+'EO Cycle 2'!$F76/24+'EO Cycle 2'!$F86/24,2)</f>
        <v>-23.86</v>
      </c>
      <c r="F27" s="308">
        <f>ROUND(+'EO Cycle 2'!$F76/24+'EO Cycle 2'!$F86/24,2)</f>
        <v>-23.86</v>
      </c>
      <c r="G27" s="374">
        <f>ROUND(+'EO Cycle 2'!$F86/24,2)</f>
        <v>-19.78</v>
      </c>
      <c r="H27" s="54">
        <f>ROUND(+'EO Cycle 2'!$F86/24,2)</f>
        <v>-19.78</v>
      </c>
      <c r="I27" s="151">
        <f>ROUND(+'EO Cycle 2'!$F86/24,2)</f>
        <v>-19.78</v>
      </c>
      <c r="J27" s="130">
        <f>ROUND(+'EO Cycle 2'!$F86/24,2)</f>
        <v>-19.78</v>
      </c>
      <c r="K27" s="130">
        <f>ROUND(+'EO Cycle 2'!$F86/24,2)</f>
        <v>-19.78</v>
      </c>
      <c r="L27" s="76"/>
      <c r="N27" s="46"/>
      <c r="O27" s="167">
        <f t="shared" si="4"/>
        <v>39.56</v>
      </c>
      <c r="P27" s="167"/>
    </row>
    <row r="28" spans="1:16" x14ac:dyDescent="0.35">
      <c r="C28" s="96"/>
      <c r="D28" s="326"/>
      <c r="E28" s="17"/>
      <c r="F28" s="17"/>
      <c r="G28" s="88"/>
      <c r="H28" s="17"/>
      <c r="I28" s="152"/>
      <c r="J28" s="55"/>
      <c r="K28" s="55"/>
      <c r="L28" s="12"/>
    </row>
    <row r="29" spans="1:16" ht="15" thickBot="1" x14ac:dyDescent="0.4">
      <c r="A29" s="3" t="s">
        <v>12</v>
      </c>
      <c r="B29" s="3"/>
      <c r="C29" s="98">
        <v>-88.88</v>
      </c>
      <c r="D29" s="124">
        <f>49.39+3.32</f>
        <v>52.71</v>
      </c>
      <c r="E29" s="124">
        <f>30.04+3.23</f>
        <v>33.269999999999996</v>
      </c>
      <c r="F29" s="125">
        <f>11.27+3.2</f>
        <v>14.469999999999999</v>
      </c>
      <c r="G29" s="25">
        <f>4.36+3.2</f>
        <v>7.5600000000000005</v>
      </c>
      <c r="H29" s="113">
        <f>12.15+3.24</f>
        <v>15.39</v>
      </c>
      <c r="I29" s="156">
        <f>16.33+3.23</f>
        <v>19.559999999999999</v>
      </c>
      <c r="J29" s="147">
        <f>ROUND((SUM(I38:I41)+SUM(I45:I48)+SUM(J32:J35)/2)*J$43,2)</f>
        <v>17.57</v>
      </c>
      <c r="K29" s="132">
        <f>ROUND((SUM(J38:J41)+SUM(J45:J48)+SUM(K32:K35)/2)*K$43,2)+0.01</f>
        <v>17.130000000000003</v>
      </c>
      <c r="L29" s="79"/>
      <c r="O29" s="167">
        <f t="shared" si="4"/>
        <v>-34.700000000000003</v>
      </c>
    </row>
    <row r="30" spans="1:16" x14ac:dyDescent="0.35">
      <c r="C30" s="63"/>
      <c r="D30" s="136"/>
      <c r="E30" s="136"/>
      <c r="F30" s="137"/>
      <c r="G30" s="63"/>
      <c r="H30" s="32"/>
      <c r="I30" s="157"/>
      <c r="J30" s="33"/>
      <c r="K30" s="33"/>
      <c r="L30" s="59"/>
    </row>
    <row r="31" spans="1:16" x14ac:dyDescent="0.35">
      <c r="A31" s="45" t="s">
        <v>46</v>
      </c>
      <c r="C31" s="64"/>
      <c r="D31" s="137"/>
      <c r="E31" s="137"/>
      <c r="F31" s="137"/>
      <c r="G31" s="64"/>
      <c r="H31" s="34"/>
      <c r="I31" s="158"/>
      <c r="J31" s="33"/>
      <c r="K31" s="33"/>
      <c r="L31" s="59"/>
    </row>
    <row r="32" spans="1:16" x14ac:dyDescent="0.35">
      <c r="A32" s="45" t="s">
        <v>22</v>
      </c>
      <c r="C32" s="97">
        <f t="shared" ref="C32:L32" si="5">C24-C18</f>
        <v>2424.4</v>
      </c>
      <c r="D32" s="40">
        <f t="shared" si="5"/>
        <v>-1212.3400000000001</v>
      </c>
      <c r="E32" s="40">
        <f t="shared" si="5"/>
        <v>-1212.1200000000001</v>
      </c>
      <c r="F32" s="103">
        <f t="shared" si="5"/>
        <v>-1222.76</v>
      </c>
      <c r="G32" s="39">
        <f t="shared" si="5"/>
        <v>3044.7699999999995</v>
      </c>
      <c r="H32" s="40">
        <f t="shared" si="5"/>
        <v>2165.79</v>
      </c>
      <c r="I32" s="60">
        <f t="shared" si="5"/>
        <v>1054.57</v>
      </c>
      <c r="J32" s="114">
        <f t="shared" si="5"/>
        <v>1171.68</v>
      </c>
      <c r="K32" s="40">
        <f t="shared" si="5"/>
        <v>1755.2099999999998</v>
      </c>
      <c r="L32" s="60">
        <f t="shared" si="5"/>
        <v>3889.69</v>
      </c>
    </row>
    <row r="33" spans="1:15" x14ac:dyDescent="0.35">
      <c r="A33" s="45" t="s">
        <v>119</v>
      </c>
      <c r="C33" s="97">
        <f t="shared" ref="C33:L33" si="6">C25-C19</f>
        <v>3222.4800000000005</v>
      </c>
      <c r="D33" s="40">
        <f t="shared" si="6"/>
        <v>-963.3</v>
      </c>
      <c r="E33" s="40">
        <f t="shared" si="6"/>
        <v>-1141.3100000000002</v>
      </c>
      <c r="F33" s="103">
        <f t="shared" si="6"/>
        <v>-1272.46</v>
      </c>
      <c r="G33" s="39">
        <f t="shared" si="6"/>
        <v>-1338.1200000000001</v>
      </c>
      <c r="H33" s="40">
        <f t="shared" si="6"/>
        <v>66.22999999999999</v>
      </c>
      <c r="I33" s="60">
        <f t="shared" si="6"/>
        <v>-973.53</v>
      </c>
      <c r="J33" s="114">
        <f t="shared" si="6"/>
        <v>-923.56999999999994</v>
      </c>
      <c r="K33" s="40">
        <f t="shared" si="6"/>
        <v>-1034.29</v>
      </c>
      <c r="L33" s="60">
        <f t="shared" si="6"/>
        <v>-1189.55</v>
      </c>
    </row>
    <row r="34" spans="1:15" x14ac:dyDescent="0.35">
      <c r="A34" s="45" t="s">
        <v>120</v>
      </c>
      <c r="C34" s="97">
        <f t="shared" ref="C34:L34" si="7">C26-C20</f>
        <v>2814.83</v>
      </c>
      <c r="D34" s="40">
        <f t="shared" si="7"/>
        <v>-861.32999999999993</v>
      </c>
      <c r="E34" s="40">
        <f t="shared" si="7"/>
        <v>-913.45999999999992</v>
      </c>
      <c r="F34" s="103">
        <f t="shared" si="7"/>
        <v>-915.38</v>
      </c>
      <c r="G34" s="39">
        <f t="shared" si="7"/>
        <v>-6.22</v>
      </c>
      <c r="H34" s="40">
        <f t="shared" si="7"/>
        <v>-17.3</v>
      </c>
      <c r="I34" s="60">
        <f t="shared" si="7"/>
        <v>-5.97</v>
      </c>
      <c r="J34" s="114">
        <f t="shared" si="7"/>
        <v>-5.97</v>
      </c>
      <c r="K34" s="40">
        <f t="shared" si="7"/>
        <v>-5.97</v>
      </c>
      <c r="L34" s="60">
        <f t="shared" si="7"/>
        <v>0</v>
      </c>
    </row>
    <row r="35" spans="1:15" x14ac:dyDescent="0.35">
      <c r="A35" s="45" t="s">
        <v>121</v>
      </c>
      <c r="C35" s="97">
        <f t="shared" ref="C35:L35" si="8">C27-C21</f>
        <v>1870.53</v>
      </c>
      <c r="D35" s="40">
        <f t="shared" si="8"/>
        <v>-654.41999999999996</v>
      </c>
      <c r="E35" s="40">
        <f t="shared" si="8"/>
        <v>-665.25</v>
      </c>
      <c r="F35" s="103">
        <f t="shared" si="8"/>
        <v>-638.26</v>
      </c>
      <c r="G35" s="39">
        <f t="shared" si="8"/>
        <v>-684.04</v>
      </c>
      <c r="H35" s="40">
        <f t="shared" si="8"/>
        <v>138.59</v>
      </c>
      <c r="I35" s="60">
        <f t="shared" si="8"/>
        <v>-659.41</v>
      </c>
      <c r="J35" s="114">
        <f t="shared" si="8"/>
        <v>-561</v>
      </c>
      <c r="K35" s="40">
        <f t="shared" si="8"/>
        <v>-623.88</v>
      </c>
      <c r="L35" s="60">
        <f t="shared" si="8"/>
        <v>-675.46</v>
      </c>
    </row>
    <row r="36" spans="1:15" x14ac:dyDescent="0.35">
      <c r="C36" s="96"/>
      <c r="D36" s="16"/>
      <c r="E36" s="16"/>
      <c r="F36" s="16"/>
      <c r="G36" s="9"/>
      <c r="H36" s="16"/>
      <c r="I36" s="10"/>
      <c r="J36" s="16"/>
      <c r="K36" s="16"/>
      <c r="L36" s="10"/>
    </row>
    <row r="37" spans="1:15" ht="15" thickBot="1" x14ac:dyDescent="0.4">
      <c r="A37" s="45" t="s">
        <v>47</v>
      </c>
      <c r="C37" s="96"/>
      <c r="D37" s="16"/>
      <c r="E37" s="16"/>
      <c r="F37" s="16"/>
      <c r="G37" s="9"/>
      <c r="H37" s="16"/>
      <c r="I37" s="10"/>
      <c r="J37" s="16"/>
      <c r="K37" s="16"/>
      <c r="L37" s="10"/>
    </row>
    <row r="38" spans="1:15" x14ac:dyDescent="0.35">
      <c r="A38" s="45" t="s">
        <v>22</v>
      </c>
      <c r="B38" s="287">
        <v>-21327.052180000188</v>
      </c>
      <c r="C38" s="97">
        <f t="shared" ref="C38:L38" si="9">B38+C32+B45</f>
        <v>-18902.652180000186</v>
      </c>
      <c r="D38" s="40">
        <f t="shared" si="9"/>
        <v>-19915.512180000187</v>
      </c>
      <c r="E38" s="40">
        <f t="shared" si="9"/>
        <v>-21221.412180000185</v>
      </c>
      <c r="F38" s="103">
        <f t="shared" si="9"/>
        <v>-22540.842180000182</v>
      </c>
      <c r="G38" s="39">
        <f t="shared" si="9"/>
        <v>-19597.182180000182</v>
      </c>
      <c r="H38" s="40">
        <f t="shared" si="9"/>
        <v>-17528.912180000181</v>
      </c>
      <c r="I38" s="60">
        <f t="shared" si="9"/>
        <v>-16560.35218000018</v>
      </c>
      <c r="J38" s="114">
        <f t="shared" si="9"/>
        <v>-15467.75218000018</v>
      </c>
      <c r="K38" s="40">
        <f t="shared" si="9"/>
        <v>-13786.832180000181</v>
      </c>
      <c r="L38" s="60">
        <f t="shared" si="9"/>
        <v>-9965.0021800001814</v>
      </c>
    </row>
    <row r="39" spans="1:15" x14ac:dyDescent="0.35">
      <c r="A39" s="45" t="s">
        <v>119</v>
      </c>
      <c r="B39" s="290">
        <v>-531335.02639999986</v>
      </c>
      <c r="C39" s="97">
        <f t="shared" ref="C39:L39" si="10">B39+C33+B46</f>
        <v>-528112.54639999988</v>
      </c>
      <c r="D39" s="40">
        <f t="shared" si="10"/>
        <v>-523827.60639999993</v>
      </c>
      <c r="E39" s="40">
        <f t="shared" si="10"/>
        <v>-527510.56640000001</v>
      </c>
      <c r="F39" s="103">
        <f t="shared" si="10"/>
        <v>-531253.85639999993</v>
      </c>
      <c r="G39" s="39">
        <f t="shared" si="10"/>
        <v>-535038.5763999999</v>
      </c>
      <c r="H39" s="40">
        <f t="shared" si="10"/>
        <v>-537439.92639999988</v>
      </c>
      <c r="I39" s="60">
        <f t="shared" si="10"/>
        <v>-540897.35639999993</v>
      </c>
      <c r="J39" s="114">
        <f t="shared" si="10"/>
        <v>-544321.77639999986</v>
      </c>
      <c r="K39" s="40">
        <f t="shared" si="10"/>
        <v>-547872.87639999995</v>
      </c>
      <c r="L39" s="60">
        <f t="shared" si="10"/>
        <v>-551595.41639999999</v>
      </c>
    </row>
    <row r="40" spans="1:15" x14ac:dyDescent="0.35">
      <c r="A40" s="45" t="s">
        <v>120</v>
      </c>
      <c r="B40" s="290">
        <v>420511.54495999991</v>
      </c>
      <c r="C40" s="97">
        <f t="shared" ref="C40:L40" si="11">B40+C34+B47</f>
        <v>423326.37495999993</v>
      </c>
      <c r="D40" s="40">
        <f t="shared" si="11"/>
        <v>418275.82495999994</v>
      </c>
      <c r="E40" s="40">
        <f t="shared" si="11"/>
        <v>419395.82495999994</v>
      </c>
      <c r="F40" s="103">
        <f t="shared" si="11"/>
        <v>420449.14495999995</v>
      </c>
      <c r="G40" s="39">
        <f t="shared" si="11"/>
        <v>422383.66495999997</v>
      </c>
      <c r="H40" s="40">
        <f t="shared" si="11"/>
        <v>424316.83495999995</v>
      </c>
      <c r="I40" s="60">
        <f t="shared" si="11"/>
        <v>426271.86495999998</v>
      </c>
      <c r="J40" s="114">
        <f t="shared" si="11"/>
        <v>428238.55495999998</v>
      </c>
      <c r="K40" s="40">
        <f t="shared" si="11"/>
        <v>430214.34496000002</v>
      </c>
      <c r="L40" s="60">
        <f t="shared" si="11"/>
        <v>432205.25495999999</v>
      </c>
    </row>
    <row r="41" spans="1:15" ht="15" thickBot="1" x14ac:dyDescent="0.4">
      <c r="A41" s="45" t="s">
        <v>121</v>
      </c>
      <c r="B41" s="288">
        <v>134607.29060000007</v>
      </c>
      <c r="C41" s="97">
        <f t="shared" ref="C41:L41" si="12">B41+C35+B48</f>
        <v>136477.82060000006</v>
      </c>
      <c r="D41" s="40">
        <f t="shared" si="12"/>
        <v>134476.01060000004</v>
      </c>
      <c r="E41" s="40">
        <f t="shared" si="12"/>
        <v>134465.44060000003</v>
      </c>
      <c r="F41" s="103">
        <f t="shared" si="12"/>
        <v>134459.25060000003</v>
      </c>
      <c r="G41" s="39">
        <f t="shared" si="12"/>
        <v>134396.65060000002</v>
      </c>
      <c r="H41" s="40">
        <f t="shared" si="12"/>
        <v>135157.43060000002</v>
      </c>
      <c r="I41" s="60">
        <f t="shared" si="12"/>
        <v>135122.32060000001</v>
      </c>
      <c r="J41" s="114">
        <f t="shared" si="12"/>
        <v>135188.15059999999</v>
      </c>
      <c r="K41" s="40">
        <f t="shared" si="12"/>
        <v>135191.18059999999</v>
      </c>
      <c r="L41" s="60">
        <f t="shared" si="12"/>
        <v>135142.79060000001</v>
      </c>
    </row>
    <row r="42" spans="1:15" x14ac:dyDescent="0.35">
      <c r="C42" s="96"/>
      <c r="D42" s="16"/>
      <c r="E42" s="16"/>
      <c r="F42" s="16"/>
      <c r="G42" s="9"/>
      <c r="H42" s="16"/>
      <c r="I42" s="10"/>
      <c r="J42" s="16"/>
      <c r="K42" s="16"/>
      <c r="L42" s="10"/>
    </row>
    <row r="43" spans="1:15" x14ac:dyDescent="0.35">
      <c r="A43" s="38" t="s">
        <v>77</v>
      </c>
      <c r="B43" s="38"/>
      <c r="C43" s="99"/>
      <c r="D43" s="292">
        <f>'PCR Cycle 3'!E45</f>
        <v>4.8565300000000004E-3</v>
      </c>
      <c r="E43" s="292">
        <f>'PCR Cycle 3'!F45</f>
        <v>4.6890200000000003E-3</v>
      </c>
      <c r="F43" s="292">
        <f>'PCR Cycle 3'!G45</f>
        <v>4.6108499999999997E-3</v>
      </c>
      <c r="G43" s="293">
        <f>'PCR Cycle 3'!H45</f>
        <v>4.6177400000000004E-3</v>
      </c>
      <c r="H43" s="292">
        <f>'PCR Cycle 3'!I45</f>
        <v>4.62145E-3</v>
      </c>
      <c r="I43" s="294">
        <f>'PCR Cycle 3'!J45</f>
        <v>4.6276800000000003E-3</v>
      </c>
      <c r="J43" s="355">
        <f>I43</f>
        <v>4.6276800000000003E-3</v>
      </c>
      <c r="K43" s="355">
        <f>I43</f>
        <v>4.6276800000000003E-3</v>
      </c>
      <c r="L43" s="82"/>
    </row>
    <row r="44" spans="1:15" x14ac:dyDescent="0.35">
      <c r="A44" s="38" t="s">
        <v>31</v>
      </c>
      <c r="B44" s="38"/>
      <c r="C44" s="101"/>
      <c r="D44" s="80"/>
      <c r="E44" s="80"/>
      <c r="F44" s="80"/>
      <c r="G44" s="81"/>
      <c r="H44" s="80"/>
      <c r="I44" s="82"/>
      <c r="J44" s="80"/>
      <c r="K44" s="80"/>
      <c r="L44" s="82"/>
    </row>
    <row r="45" spans="1:15" x14ac:dyDescent="0.35">
      <c r="A45" s="45" t="s">
        <v>22</v>
      </c>
      <c r="C45" s="295">
        <v>199.48000000000002</v>
      </c>
      <c r="D45" s="40">
        <f t="shared" ref="D45:L45" si="13">ROUND((C38+C45+D32/2)*D$43,2)</f>
        <v>-93.78</v>
      </c>
      <c r="E45" s="40">
        <f t="shared" si="13"/>
        <v>-96.67</v>
      </c>
      <c r="F45" s="103">
        <f t="shared" si="13"/>
        <v>-101.11</v>
      </c>
      <c r="G45" s="39">
        <f t="shared" si="13"/>
        <v>-97.52</v>
      </c>
      <c r="H45" s="114">
        <f t="shared" si="13"/>
        <v>-86.01</v>
      </c>
      <c r="I45" s="48">
        <f t="shared" si="13"/>
        <v>-79.08</v>
      </c>
      <c r="J45" s="148">
        <f t="shared" si="13"/>
        <v>-74.290000000000006</v>
      </c>
      <c r="K45" s="103">
        <f t="shared" si="13"/>
        <v>-67.86</v>
      </c>
      <c r="L45" s="60">
        <f t="shared" si="13"/>
        <v>0</v>
      </c>
      <c r="O45" s="167">
        <f t="shared" ref="O45:O48" si="14">-SUM(J45:L45)</f>
        <v>142.15</v>
      </c>
    </row>
    <row r="46" spans="1:15" x14ac:dyDescent="0.35">
      <c r="A46" s="45" t="s">
        <v>119</v>
      </c>
      <c r="C46" s="295">
        <v>5248.24</v>
      </c>
      <c r="D46" s="40">
        <f t="shared" ref="D46:L46" si="15">ROUND((C39+C46+D33/2)*D$43,2)</f>
        <v>-2541.65</v>
      </c>
      <c r="E46" s="40">
        <f t="shared" si="15"/>
        <v>-2470.83</v>
      </c>
      <c r="F46" s="103">
        <f t="shared" si="15"/>
        <v>-2446.6</v>
      </c>
      <c r="G46" s="39">
        <f t="shared" si="15"/>
        <v>-2467.58</v>
      </c>
      <c r="H46" s="114">
        <f t="shared" si="15"/>
        <v>-2483.9</v>
      </c>
      <c r="I46" s="48">
        <f t="shared" si="15"/>
        <v>-2500.85</v>
      </c>
      <c r="J46" s="148">
        <f t="shared" si="15"/>
        <v>-2516.81</v>
      </c>
      <c r="K46" s="103">
        <f t="shared" si="15"/>
        <v>-2532.9899999999998</v>
      </c>
      <c r="L46" s="60">
        <f t="shared" si="15"/>
        <v>0</v>
      </c>
      <c r="O46" s="167">
        <f t="shared" si="14"/>
        <v>5049.7999999999993</v>
      </c>
    </row>
    <row r="47" spans="1:15" x14ac:dyDescent="0.35">
      <c r="A47" s="45" t="s">
        <v>120</v>
      </c>
      <c r="C47" s="295">
        <v>-4189.2199999999993</v>
      </c>
      <c r="D47" s="40">
        <f t="shared" ref="D47:L47" si="16">ROUND((C40+C47+D34/2)*D$43,2)</f>
        <v>2033.46</v>
      </c>
      <c r="E47" s="40">
        <f t="shared" si="16"/>
        <v>1968.7</v>
      </c>
      <c r="F47" s="103">
        <f t="shared" si="16"/>
        <v>1940.74</v>
      </c>
      <c r="G47" s="39">
        <f t="shared" si="16"/>
        <v>1950.47</v>
      </c>
      <c r="H47" s="114">
        <f t="shared" si="16"/>
        <v>1961</v>
      </c>
      <c r="I47" s="48">
        <f t="shared" si="16"/>
        <v>1972.66</v>
      </c>
      <c r="J47" s="148">
        <f t="shared" si="16"/>
        <v>1981.76</v>
      </c>
      <c r="K47" s="103">
        <f t="shared" si="16"/>
        <v>1990.91</v>
      </c>
      <c r="L47" s="60">
        <f t="shared" si="16"/>
        <v>0</v>
      </c>
      <c r="O47" s="167">
        <f t="shared" si="14"/>
        <v>-3972.67</v>
      </c>
    </row>
    <row r="48" spans="1:15" ht="15" thickBot="1" x14ac:dyDescent="0.4">
      <c r="A48" s="45" t="s">
        <v>121</v>
      </c>
      <c r="C48" s="295">
        <v>-1347.3899999999999</v>
      </c>
      <c r="D48" s="40">
        <f t="shared" ref="D48:L48" si="17">ROUND((C41+C48+D35/2)*D$43,2)</f>
        <v>654.67999999999995</v>
      </c>
      <c r="E48" s="40">
        <f t="shared" si="17"/>
        <v>632.07000000000005</v>
      </c>
      <c r="F48" s="103">
        <f t="shared" si="17"/>
        <v>621.44000000000005</v>
      </c>
      <c r="G48" s="39">
        <f t="shared" si="17"/>
        <v>622.19000000000005</v>
      </c>
      <c r="H48" s="114">
        <f t="shared" si="17"/>
        <v>624.29999999999995</v>
      </c>
      <c r="I48" s="48">
        <f t="shared" si="17"/>
        <v>626.83000000000004</v>
      </c>
      <c r="J48" s="148">
        <f t="shared" si="17"/>
        <v>626.91</v>
      </c>
      <c r="K48" s="103">
        <f t="shared" si="17"/>
        <v>627.07000000000005</v>
      </c>
      <c r="L48" s="60">
        <f t="shared" si="17"/>
        <v>0</v>
      </c>
      <c r="O48" s="167">
        <f t="shared" si="14"/>
        <v>-1253.98</v>
      </c>
    </row>
    <row r="49" spans="1:18" ht="15.5" thickTop="1" thickBot="1" x14ac:dyDescent="0.4">
      <c r="A49" s="53" t="s">
        <v>20</v>
      </c>
      <c r="B49" s="53"/>
      <c r="C49" s="102">
        <v>0</v>
      </c>
      <c r="D49" s="41">
        <f t="shared" ref="D49:L49" si="18">SUM(D45:D48)+SUM(D38:D41)-D52</f>
        <v>-3.8198777474462986E-11</v>
      </c>
      <c r="E49" s="41">
        <f t="shared" si="18"/>
        <v>-1.4551915228366852E-10</v>
      </c>
      <c r="F49" s="49">
        <f t="shared" si="18"/>
        <v>2.5011104298755527E-12</v>
      </c>
      <c r="G49" s="134">
        <f t="shared" si="18"/>
        <v>-4.0017766878008842E-11</v>
      </c>
      <c r="H49" s="49">
        <f t="shared" si="18"/>
        <v>-1.6370904631912708E-11</v>
      </c>
      <c r="I49" s="61">
        <f t="shared" si="18"/>
        <v>0</v>
      </c>
      <c r="J49" s="149">
        <f t="shared" si="18"/>
        <v>4.2291503632441163E-11</v>
      </c>
      <c r="K49" s="49">
        <f t="shared" si="18"/>
        <v>2.6830093702301383E-11</v>
      </c>
      <c r="L49" s="61">
        <f t="shared" si="18"/>
        <v>-6.3664629124104977E-11</v>
      </c>
    </row>
    <row r="50" spans="1:18" ht="15.5" thickTop="1" thickBot="1" x14ac:dyDescent="0.4">
      <c r="A50" s="53" t="s">
        <v>21</v>
      </c>
      <c r="B50" s="53"/>
      <c r="C50" s="102">
        <v>0</v>
      </c>
      <c r="D50" s="41">
        <f t="shared" ref="D50:L50" si="19">SUM(D45:D48)-D29</f>
        <v>-3.0553337637684308E-13</v>
      </c>
      <c r="E50" s="41">
        <f t="shared" si="19"/>
        <v>9.9475983006414026E-14</v>
      </c>
      <c r="F50" s="49">
        <f t="shared" si="19"/>
        <v>2.8421709430404007E-14</v>
      </c>
      <c r="G50" s="134">
        <f t="shared" si="19"/>
        <v>1.723066134218243E-13</v>
      </c>
      <c r="H50" s="49">
        <f t="shared" si="19"/>
        <v>-3.5527136788005009E-13</v>
      </c>
      <c r="I50" s="61">
        <f t="shared" si="19"/>
        <v>2.8776980798284058E-13</v>
      </c>
      <c r="J50" s="150">
        <f t="shared" si="19"/>
        <v>4.9737991503207013E-14</v>
      </c>
      <c r="K50" s="41">
        <f t="shared" si="19"/>
        <v>2.2026824808563106E-13</v>
      </c>
      <c r="L50" s="41">
        <f t="shared" si="19"/>
        <v>0</v>
      </c>
    </row>
    <row r="51" spans="1:18" ht="15.5" thickTop="1" thickBot="1" x14ac:dyDescent="0.4">
      <c r="C51" s="96"/>
      <c r="D51" s="16"/>
      <c r="E51" s="16"/>
      <c r="F51" s="16"/>
      <c r="G51" s="9"/>
      <c r="H51" s="16"/>
      <c r="I51" s="10"/>
      <c r="J51" s="16"/>
      <c r="K51" s="16"/>
      <c r="L51" s="10"/>
    </row>
    <row r="52" spans="1:18" ht="15" thickBot="1" x14ac:dyDescent="0.4">
      <c r="A52" s="45" t="s">
        <v>30</v>
      </c>
      <c r="B52" s="111">
        <f>SUM(B38:B41)</f>
        <v>2456.7569799998892</v>
      </c>
      <c r="C52" s="97">
        <f t="shared" ref="C52:L52" si="20">(C15-SUM(C18:C21))+SUM(C45:C48)+B52</f>
        <v>12700.10697999989</v>
      </c>
      <c r="D52" s="40">
        <f t="shared" si="20"/>
        <v>9061.4269799998892</v>
      </c>
      <c r="E52" s="40">
        <f t="shared" si="20"/>
        <v>5162.5569799998884</v>
      </c>
      <c r="F52" s="103">
        <f t="shared" si="20"/>
        <v>1128.166979999889</v>
      </c>
      <c r="G52" s="39">
        <f t="shared" si="20"/>
        <v>2152.1169799998888</v>
      </c>
      <c r="H52" s="40">
        <f t="shared" si="20"/>
        <v>4520.8169799998886</v>
      </c>
      <c r="I52" s="60">
        <f t="shared" si="20"/>
        <v>3956.0369799998889</v>
      </c>
      <c r="J52" s="148">
        <f t="shared" si="20"/>
        <v>3654.7469799998889</v>
      </c>
      <c r="K52" s="103">
        <f t="shared" si="20"/>
        <v>3762.9469799998892</v>
      </c>
      <c r="L52" s="60">
        <f t="shared" si="20"/>
        <v>5787.62697999989</v>
      </c>
      <c r="Q52" s="515"/>
      <c r="R52" s="515"/>
    </row>
    <row r="53" spans="1:18" x14ac:dyDescent="0.35">
      <c r="A53" s="45" t="s">
        <v>10</v>
      </c>
      <c r="C53" s="112"/>
      <c r="D53" s="16"/>
      <c r="E53" s="16"/>
      <c r="F53" s="16"/>
      <c r="G53" s="9"/>
      <c r="H53" s="16"/>
      <c r="I53" s="10"/>
      <c r="J53" s="16"/>
      <c r="K53" s="16"/>
      <c r="L53" s="10"/>
    </row>
    <row r="54" spans="1:18" ht="15" thickBot="1" x14ac:dyDescent="0.4">
      <c r="A54" s="36"/>
      <c r="B54" s="36"/>
      <c r="C54" s="135"/>
      <c r="D54" s="43"/>
      <c r="E54" s="43"/>
      <c r="F54" s="43"/>
      <c r="G54" s="42"/>
      <c r="H54" s="43"/>
      <c r="I54" s="44"/>
      <c r="J54" s="43"/>
      <c r="K54" s="43"/>
      <c r="L54" s="44"/>
    </row>
    <row r="56" spans="1:18" x14ac:dyDescent="0.35">
      <c r="A56" s="68" t="s">
        <v>9</v>
      </c>
      <c r="B56" s="68"/>
      <c r="C56" s="68"/>
    </row>
    <row r="57" spans="1:18" ht="31.5" customHeight="1" x14ac:dyDescent="0.35">
      <c r="A57" s="529" t="s">
        <v>140</v>
      </c>
      <c r="B57" s="529"/>
      <c r="C57" s="529"/>
      <c r="D57" s="529"/>
      <c r="E57" s="529"/>
      <c r="F57" s="529"/>
      <c r="G57" s="529"/>
      <c r="H57" s="529"/>
      <c r="I57" s="529"/>
      <c r="J57" s="204"/>
      <c r="K57" s="204"/>
      <c r="L57" s="204"/>
    </row>
    <row r="58" spans="1:18" ht="57" customHeight="1" x14ac:dyDescent="0.35">
      <c r="A58" s="529" t="s">
        <v>262</v>
      </c>
      <c r="B58" s="529"/>
      <c r="C58" s="529"/>
      <c r="D58" s="529"/>
      <c r="E58" s="529"/>
      <c r="F58" s="529"/>
      <c r="G58" s="529"/>
      <c r="H58" s="529"/>
      <c r="I58" s="529"/>
      <c r="J58" s="204"/>
      <c r="K58" s="204"/>
    </row>
    <row r="59" spans="1:18" ht="18.75" customHeight="1" x14ac:dyDescent="0.35">
      <c r="A59" s="529" t="s">
        <v>167</v>
      </c>
      <c r="B59" s="529"/>
      <c r="C59" s="529"/>
      <c r="D59" s="529"/>
      <c r="E59" s="529"/>
      <c r="F59" s="529"/>
      <c r="G59" s="529"/>
      <c r="H59" s="529"/>
      <c r="I59" s="529"/>
      <c r="J59" s="204"/>
      <c r="K59" s="204"/>
      <c r="L59" s="204"/>
    </row>
    <row r="60" spans="1:18" x14ac:dyDescent="0.35">
      <c r="A60" s="529" t="s">
        <v>219</v>
      </c>
      <c r="B60" s="529"/>
      <c r="C60" s="529"/>
      <c r="D60" s="529"/>
      <c r="E60" s="529"/>
      <c r="F60" s="529"/>
      <c r="G60" s="529"/>
      <c r="H60" s="529"/>
      <c r="I60" s="529"/>
    </row>
    <row r="61" spans="1:18" x14ac:dyDescent="0.35">
      <c r="A61" s="412" t="s">
        <v>263</v>
      </c>
      <c r="B61" s="412"/>
      <c r="C61" s="412"/>
      <c r="D61" s="392"/>
      <c r="E61" s="392"/>
      <c r="F61" s="392"/>
      <c r="G61" s="392"/>
      <c r="H61" s="392"/>
      <c r="I61" s="392"/>
    </row>
    <row r="62" spans="1:18" x14ac:dyDescent="0.35">
      <c r="A62" s="412" t="s">
        <v>84</v>
      </c>
      <c r="B62" s="412"/>
      <c r="C62" s="412"/>
      <c r="D62" s="392"/>
      <c r="E62" s="392"/>
      <c r="F62" s="392"/>
      <c r="G62" s="392"/>
      <c r="H62" s="392"/>
      <c r="I62" s="392"/>
    </row>
    <row r="63" spans="1:18" x14ac:dyDescent="0.35">
      <c r="A63" s="412" t="s">
        <v>163</v>
      </c>
      <c r="B63" s="412"/>
      <c r="C63" s="412"/>
      <c r="D63" s="392"/>
      <c r="E63" s="392"/>
      <c r="F63" s="392"/>
      <c r="G63" s="392"/>
      <c r="H63" s="392"/>
      <c r="I63" s="392"/>
    </row>
    <row r="64" spans="1:18" x14ac:dyDescent="0.35">
      <c r="A64" s="392"/>
      <c r="B64" s="392"/>
      <c r="C64" s="392"/>
      <c r="D64" s="392"/>
      <c r="E64" s="392"/>
      <c r="F64" s="392"/>
      <c r="G64" s="392"/>
      <c r="H64" s="392"/>
      <c r="I64" s="392"/>
    </row>
  </sheetData>
  <mergeCells count="7">
    <mergeCell ref="A60:I60"/>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 xml:space="preserve">&amp;R_x000D_&amp;1#&amp;"Calibri"&amp;10&amp;KA80000 Restricted – Sensitive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D152-8B9E-41F1-8D17-EEF361E7FE19}">
  <sheetPr>
    <pageSetUpPr fitToPage="1"/>
  </sheetPr>
  <dimension ref="A1:AJ61"/>
  <sheetViews>
    <sheetView zoomScale="85" zoomScaleNormal="85" workbookViewId="0"/>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2.453125" style="45" customWidth="1" outlineLevel="1"/>
    <col min="5" max="5" width="15.453125" style="45" customWidth="1"/>
    <col min="6" max="6" width="15.81640625" style="45" bestFit="1" customWidth="1"/>
    <col min="7" max="7" width="12.26953125" style="45" bestFit="1" customWidth="1"/>
    <col min="8" max="9" width="13.26953125" style="45" bestFit="1" customWidth="1"/>
    <col min="10" max="10" width="12.26953125" style="45" bestFit="1" customWidth="1"/>
    <col min="11" max="11" width="12.54296875" style="45" customWidth="1"/>
    <col min="12" max="12" width="12.81640625" style="45" customWidth="1"/>
    <col min="13" max="13" width="16" style="45" customWidth="1"/>
    <col min="14" max="14" width="15" style="45" bestFit="1" customWidth="1"/>
    <col min="15" max="15" width="16" style="45" bestFit="1" customWidth="1"/>
    <col min="16" max="16" width="17.81640625" style="167" hidden="1" customWidth="1" outlineLevel="1"/>
    <col min="17" max="17" width="15.26953125" style="45" bestFit="1" customWidth="1" collapsed="1"/>
    <col min="18" max="18" width="17.453125" style="45" bestFit="1" customWidth="1"/>
    <col min="19" max="19" width="16.26953125" style="45" bestFit="1" customWidth="1"/>
    <col min="20" max="20" width="15.26953125" style="45" bestFit="1" customWidth="1"/>
    <col min="21" max="21" width="12.453125" style="45" customWidth="1"/>
    <col min="22" max="23" width="14.26953125" style="45" bestFit="1" customWidth="1"/>
    <col min="24" max="16384" width="9.1796875" style="45"/>
  </cols>
  <sheetData>
    <row r="1" spans="1:36" x14ac:dyDescent="0.35">
      <c r="A1" s="3" t="str">
        <f>+'PTD Cycle 3'!A1</f>
        <v>Evergy Missouri West, Inc. - DSIM Rider Update Filed 06/02/2025</v>
      </c>
      <c r="B1" s="3"/>
      <c r="C1" s="3"/>
      <c r="D1" s="3"/>
    </row>
    <row r="2" spans="1:36" x14ac:dyDescent="0.35">
      <c r="E2" s="3" t="s">
        <v>149</v>
      </c>
    </row>
    <row r="3" spans="1:36" ht="29" x14ac:dyDescent="0.35">
      <c r="E3" s="47" t="s">
        <v>40</v>
      </c>
      <c r="F3" s="69" t="s">
        <v>52</v>
      </c>
      <c r="G3" s="47" t="s">
        <v>1</v>
      </c>
      <c r="H3" s="69" t="s">
        <v>49</v>
      </c>
      <c r="I3" s="47" t="s">
        <v>8</v>
      </c>
      <c r="J3" s="47" t="s">
        <v>53</v>
      </c>
      <c r="T3" s="47"/>
    </row>
    <row r="4" spans="1:36" x14ac:dyDescent="0.35">
      <c r="A4" s="19" t="s">
        <v>22</v>
      </c>
      <c r="B4" s="19"/>
      <c r="C4" s="19"/>
      <c r="D4" s="19"/>
      <c r="E4" s="21">
        <f>SUM(C15:M15)</f>
        <v>634493.2699999999</v>
      </c>
      <c r="F4" s="21">
        <f>SUM(C21:L21)</f>
        <v>799581.63000000012</v>
      </c>
      <c r="G4" s="21">
        <f>F4-E4</f>
        <v>165088.36000000022</v>
      </c>
      <c r="H4" s="21">
        <f>+B35</f>
        <v>548772.71000000008</v>
      </c>
      <c r="I4" s="21">
        <f>SUM(C42:L42)</f>
        <v>23599.439999999995</v>
      </c>
      <c r="J4" s="24">
        <f>SUM(G4:I4)</f>
        <v>737460.51000000024</v>
      </c>
      <c r="K4" s="46">
        <f>+J4-M35</f>
        <v>0</v>
      </c>
      <c r="N4" s="46"/>
    </row>
    <row r="5" spans="1:36" x14ac:dyDescent="0.35">
      <c r="A5" s="19" t="s">
        <v>94</v>
      </c>
      <c r="B5" s="19"/>
      <c r="C5" s="19"/>
      <c r="D5" s="19"/>
      <c r="E5" s="21">
        <f t="shared" ref="E5:E7" si="0">SUM(C16:M16)</f>
        <v>160421.03000000003</v>
      </c>
      <c r="F5" s="21">
        <f t="shared" ref="F5:F7" si="1">SUM(C22:L22)</f>
        <v>191461.73000000004</v>
      </c>
      <c r="G5" s="21">
        <f t="shared" ref="G5:G7" si="2">F5-E5</f>
        <v>31040.700000000012</v>
      </c>
      <c r="H5" s="21">
        <f t="shared" ref="H5:H7" si="3">+B36</f>
        <v>70523.659999999974</v>
      </c>
      <c r="I5" s="21">
        <f t="shared" ref="I5:I7" si="4">SUM(C43:L43)</f>
        <v>3279.95</v>
      </c>
      <c r="J5" s="24">
        <f t="shared" ref="J5:J7" si="5">SUM(G5:I5)</f>
        <v>104844.30999999998</v>
      </c>
      <c r="K5" s="46">
        <f>+J5-M36</f>
        <v>0</v>
      </c>
      <c r="N5" s="46"/>
    </row>
    <row r="6" spans="1:36" x14ac:dyDescent="0.35">
      <c r="A6" s="19" t="s">
        <v>95</v>
      </c>
      <c r="B6" s="19"/>
      <c r="C6" s="19"/>
      <c r="D6" s="19"/>
      <c r="E6" s="21">
        <f t="shared" si="0"/>
        <v>219465.02</v>
      </c>
      <c r="F6" s="21">
        <f t="shared" si="1"/>
        <v>223170.97999999998</v>
      </c>
      <c r="G6" s="21">
        <f t="shared" si="2"/>
        <v>3705.9599999999919</v>
      </c>
      <c r="H6" s="21">
        <f t="shared" si="3"/>
        <v>198615.4800000001</v>
      </c>
      <c r="I6" s="21">
        <f t="shared" si="4"/>
        <v>7414.23</v>
      </c>
      <c r="J6" s="24">
        <f t="shared" si="5"/>
        <v>209735.6700000001</v>
      </c>
      <c r="K6" s="46">
        <f>+J6-M37</f>
        <v>0</v>
      </c>
      <c r="N6" s="46"/>
    </row>
    <row r="7" spans="1:36" ht="15" thickBot="1" x14ac:dyDescent="0.4">
      <c r="A7" s="19" t="s">
        <v>96</v>
      </c>
      <c r="B7" s="19"/>
      <c r="C7" s="19"/>
      <c r="D7" s="19"/>
      <c r="E7" s="21">
        <f t="shared" si="0"/>
        <v>177328.1</v>
      </c>
      <c r="F7" s="21">
        <f t="shared" si="1"/>
        <v>170801.63</v>
      </c>
      <c r="G7" s="21">
        <f t="shared" si="2"/>
        <v>-6526.4700000000012</v>
      </c>
      <c r="H7" s="21">
        <f t="shared" si="3"/>
        <v>120339.75000000001</v>
      </c>
      <c r="I7" s="21">
        <f t="shared" si="4"/>
        <v>4390.5899999999992</v>
      </c>
      <c r="J7" s="24">
        <f t="shared" si="5"/>
        <v>118203.87000000001</v>
      </c>
      <c r="K7" s="46">
        <f>+J7-M38</f>
        <v>0</v>
      </c>
      <c r="N7" s="46"/>
    </row>
    <row r="8" spans="1:36" ht="15.5" thickTop="1" thickBot="1" x14ac:dyDescent="0.4">
      <c r="E8" s="26">
        <f t="shared" ref="E8:J8" si="6">SUM(E4:E7)</f>
        <v>1191707.42</v>
      </c>
      <c r="F8" s="26">
        <f t="shared" si="6"/>
        <v>1385015.9700000002</v>
      </c>
      <c r="G8" s="26">
        <f t="shared" si="6"/>
        <v>193308.55000000022</v>
      </c>
      <c r="H8" s="26">
        <f t="shared" si="6"/>
        <v>938251.60000000021</v>
      </c>
      <c r="I8" s="26">
        <f t="shared" si="6"/>
        <v>38684.209999999992</v>
      </c>
      <c r="J8" s="26">
        <f t="shared" si="6"/>
        <v>1170244.3600000003</v>
      </c>
      <c r="U8" s="5"/>
    </row>
    <row r="9" spans="1:36" ht="15.5" thickTop="1" thickBot="1" x14ac:dyDescent="0.4">
      <c r="W9" s="4"/>
      <c r="X9" s="5"/>
    </row>
    <row r="10" spans="1:36" ht="116.5" thickBot="1" x14ac:dyDescent="0.4">
      <c r="B10" s="110" t="str">
        <f>+'PCR Cycle 4'!B10</f>
        <v>Cumulative Over/Under Carryover From 12/01/2024 Filing</v>
      </c>
      <c r="C10" s="140" t="str">
        <f>+'PCR Cycle 4'!C10</f>
        <v>Reverse November 2024 - January 2025 Forecast From 12/01/2024 Filing</v>
      </c>
      <c r="D10" s="331"/>
      <c r="E10" s="547" t="s">
        <v>28</v>
      </c>
      <c r="F10" s="530"/>
      <c r="G10" s="531"/>
      <c r="H10" s="541" t="s">
        <v>28</v>
      </c>
      <c r="I10" s="542"/>
      <c r="J10" s="543"/>
      <c r="K10" s="535" t="s">
        <v>6</v>
      </c>
      <c r="L10" s="536"/>
      <c r="M10" s="537"/>
      <c r="P10" s="264" t="s">
        <v>196</v>
      </c>
    </row>
    <row r="11" spans="1:36" x14ac:dyDescent="0.35">
      <c r="A11" s="45" t="s">
        <v>75</v>
      </c>
      <c r="C11" s="100"/>
      <c r="D11" s="327"/>
      <c r="E11" s="377">
        <f>+'PCR Cycle 4'!E$11</f>
        <v>45626</v>
      </c>
      <c r="F11" s="377">
        <f>+'PCR Cycle 4'!F$11</f>
        <v>45657</v>
      </c>
      <c r="G11" s="377">
        <f>+'PCR Cycle 4'!G$11</f>
        <v>45688</v>
      </c>
      <c r="H11" s="372">
        <f>+'PCR Cycle 4'!H$11</f>
        <v>45716</v>
      </c>
      <c r="I11" s="377">
        <f>+'PCR Cycle 4'!I$11</f>
        <v>45747</v>
      </c>
      <c r="J11" s="373">
        <f>+'PCR Cycle 4'!J$11</f>
        <v>45777</v>
      </c>
      <c r="K11" s="377">
        <f>+'PCR Cycle 4'!K$11</f>
        <v>45808</v>
      </c>
      <c r="L11" s="377">
        <f>+'PCR Cycle 4'!L$11</f>
        <v>45838</v>
      </c>
      <c r="M11" s="431">
        <f>+'PCR Cycle 4'!M$11</f>
        <v>45869</v>
      </c>
      <c r="AA11" s="1"/>
      <c r="AB11" s="1"/>
      <c r="AC11" s="1"/>
      <c r="AD11" s="1"/>
      <c r="AE11" s="1"/>
      <c r="AF11" s="1"/>
      <c r="AG11" s="1"/>
      <c r="AH11" s="1"/>
      <c r="AI11" s="1"/>
      <c r="AJ11" s="1"/>
    </row>
    <row r="12" spans="1:36" x14ac:dyDescent="0.35">
      <c r="A12" s="45" t="s">
        <v>3</v>
      </c>
      <c r="C12" s="94">
        <v>-912092.24</v>
      </c>
      <c r="D12" s="237"/>
      <c r="E12" s="104">
        <f t="shared" ref="E12:L12" si="7">SUM(E21:E24)</f>
        <v>456046.12</v>
      </c>
      <c r="F12" s="104">
        <f t="shared" si="7"/>
        <v>456046.12</v>
      </c>
      <c r="G12" s="105">
        <f t="shared" si="7"/>
        <v>456046.12</v>
      </c>
      <c r="H12" s="15">
        <f t="shared" si="7"/>
        <v>185793.96999999997</v>
      </c>
      <c r="I12" s="54">
        <f t="shared" si="7"/>
        <v>185793.96999999997</v>
      </c>
      <c r="J12" s="151">
        <f t="shared" si="7"/>
        <v>185793.96999999997</v>
      </c>
      <c r="K12" s="144">
        <f t="shared" si="7"/>
        <v>185793.96999999997</v>
      </c>
      <c r="L12" s="75">
        <f t="shared" si="7"/>
        <v>185793.96999999997</v>
      </c>
      <c r="M12" s="76"/>
      <c r="P12" s="167">
        <f>-SUM(K12:M12)</f>
        <v>-371587.93999999994</v>
      </c>
    </row>
    <row r="13" spans="1:36" x14ac:dyDescent="0.35">
      <c r="C13" s="96"/>
      <c r="D13" s="138"/>
      <c r="E13" s="16"/>
      <c r="F13" s="16"/>
      <c r="G13" s="16"/>
      <c r="H13" s="9"/>
      <c r="I13" s="16"/>
      <c r="J13" s="10"/>
      <c r="K13" s="30"/>
      <c r="L13" s="30"/>
      <c r="M13" s="28"/>
    </row>
    <row r="14" spans="1:36" x14ac:dyDescent="0.35">
      <c r="A14" s="45" t="s">
        <v>76</v>
      </c>
      <c r="C14" s="96"/>
      <c r="D14" s="138"/>
      <c r="E14" s="17"/>
      <c r="F14" s="17"/>
      <c r="G14" s="17"/>
      <c r="H14" s="88"/>
      <c r="I14" s="17"/>
      <c r="J14" s="152"/>
      <c r="K14" s="30"/>
      <c r="L14" s="30"/>
      <c r="M14" s="28"/>
      <c r="N14" s="412" t="s">
        <v>44</v>
      </c>
      <c r="O14" s="38"/>
    </row>
    <row r="15" spans="1:36" x14ac:dyDescent="0.35">
      <c r="A15" s="45" t="s">
        <v>22</v>
      </c>
      <c r="C15" s="94">
        <v>-734974.55</v>
      </c>
      <c r="D15" s="237"/>
      <c r="E15" s="124">
        <f>'[10]November 2024'!$G111</f>
        <v>155815.01999999999</v>
      </c>
      <c r="F15" s="124">
        <f>'[10]December 2024'!$G111</f>
        <v>227847.62</v>
      </c>
      <c r="G15" s="124">
        <f>'[10]January 2025'!$G111</f>
        <v>289496.99</v>
      </c>
      <c r="H15" s="15">
        <f>'[10]February 2025'!$G111</f>
        <v>155544.72</v>
      </c>
      <c r="I15" s="54">
        <f>'[10]March 2025'!$G111</f>
        <v>122029.33</v>
      </c>
      <c r="J15" s="151">
        <f>'[10]April 2025'!$G111</f>
        <v>80077.11</v>
      </c>
      <c r="K15" s="114">
        <f>ROUND('PCR Cycle 4'!K20*$N15,2)</f>
        <v>84337.37</v>
      </c>
      <c r="L15" s="40">
        <f>ROUND('PCR Cycle 4'!L20*$N15,2)</f>
        <v>106511.4</v>
      </c>
      <c r="M15" s="60">
        <f>ROUND('PCR Cycle 4'!M20*$N15,2)</f>
        <v>147808.26</v>
      </c>
      <c r="N15" s="71">
        <v>3.8000000000000002E-4</v>
      </c>
      <c r="O15" s="4"/>
      <c r="P15" s="167">
        <f t="shared" ref="P15:P18" si="8">-SUM(K15:M15)</f>
        <v>-338657.03</v>
      </c>
    </row>
    <row r="16" spans="1:36" x14ac:dyDescent="0.35">
      <c r="A16" s="45" t="s">
        <v>119</v>
      </c>
      <c r="C16" s="94">
        <v>-130088.4</v>
      </c>
      <c r="D16" s="237"/>
      <c r="E16" s="445">
        <f>'[10]November 2024'!$G112</f>
        <v>39783.279999999999</v>
      </c>
      <c r="F16" s="124">
        <f>'[10]December 2024'!$G112</f>
        <v>46826.63</v>
      </c>
      <c r="G16" s="124">
        <f>'[10]January 2025'!$G112</f>
        <v>51630.97</v>
      </c>
      <c r="H16" s="15">
        <f>'[10]February 2025'!$G112</f>
        <v>32049.27</v>
      </c>
      <c r="I16" s="54">
        <f>'[10]March 2025'!$G112</f>
        <v>24037.33</v>
      </c>
      <c r="J16" s="151">
        <f>'[10]April 2025'!$G112</f>
        <v>22430.94</v>
      </c>
      <c r="K16" s="114">
        <f>ROUND('PCR Cycle 4'!K21*$N16,2)</f>
        <v>21922.36</v>
      </c>
      <c r="L16" s="40">
        <f>ROUND('PCR Cycle 4'!L21*$N16,2)</f>
        <v>24469.01</v>
      </c>
      <c r="M16" s="60">
        <f>ROUND('PCR Cycle 4'!M21*$N16,2)</f>
        <v>27359.64</v>
      </c>
      <c r="N16" s="71">
        <v>2.3000000000000001E-4</v>
      </c>
      <c r="O16" s="4"/>
      <c r="P16" s="167">
        <f t="shared" si="8"/>
        <v>-73751.009999999995</v>
      </c>
    </row>
    <row r="17" spans="1:16" x14ac:dyDescent="0.35">
      <c r="A17" s="45" t="s">
        <v>120</v>
      </c>
      <c r="C17" s="94">
        <v>-193112.64</v>
      </c>
      <c r="D17" s="237"/>
      <c r="E17" s="445">
        <f>'[10]November 2024'!$G113</f>
        <v>59262.64</v>
      </c>
      <c r="F17" s="124">
        <f>'[10]December 2024'!$G113</f>
        <v>62768.77</v>
      </c>
      <c r="G17" s="124">
        <f>'[10]January 2025'!$G113</f>
        <v>62380.57</v>
      </c>
      <c r="H17" s="15">
        <f>'[10]February 2025'!$G113</f>
        <v>42015.29</v>
      </c>
      <c r="I17" s="54">
        <f>'[10]March 2025'!$G113</f>
        <v>36544.28</v>
      </c>
      <c r="J17" s="151">
        <f>'[10]April 2025'!$G113</f>
        <v>34283.5</v>
      </c>
      <c r="K17" s="114">
        <f>ROUND('PCR Cycle 4'!K22*$N17,2)</f>
        <v>34279.440000000002</v>
      </c>
      <c r="L17" s="40">
        <f>ROUND('PCR Cycle 4'!L22*$N17,2)</f>
        <v>38261.58</v>
      </c>
      <c r="M17" s="60">
        <f>ROUND('PCR Cycle 4'!M22*$N17,2)</f>
        <v>42781.59</v>
      </c>
      <c r="N17" s="71">
        <v>4.4000000000000002E-4</v>
      </c>
      <c r="O17" s="4"/>
      <c r="P17" s="167">
        <f t="shared" si="8"/>
        <v>-115322.61</v>
      </c>
    </row>
    <row r="18" spans="1:16" x14ac:dyDescent="0.35">
      <c r="A18" s="45" t="s">
        <v>121</v>
      </c>
      <c r="C18" s="94">
        <v>-140356.64000000001</v>
      </c>
      <c r="D18" s="237"/>
      <c r="E18" s="445">
        <f>'[10]November 2024'!$G114</f>
        <v>49329.3</v>
      </c>
      <c r="F18" s="124">
        <f>'[10]December 2024'!$G114</f>
        <v>50016.22</v>
      </c>
      <c r="G18" s="124">
        <f>'[10]January 2025'!$G114</f>
        <v>47512.18</v>
      </c>
      <c r="H18" s="15">
        <f>'[10]February 2025'!$G114</f>
        <v>31275.96</v>
      </c>
      <c r="I18" s="54">
        <f>'[10]March 2025'!$G114</f>
        <v>28693.24</v>
      </c>
      <c r="J18" s="151">
        <f>'[10]April 2025'!$G114</f>
        <v>28922.61</v>
      </c>
      <c r="K18" s="114">
        <f>ROUND('PCR Cycle 4'!K23*$N18,2)</f>
        <v>24355.1</v>
      </c>
      <c r="L18" s="40">
        <f>ROUND('PCR Cycle 4'!L23*$N18,2)</f>
        <v>27184.36</v>
      </c>
      <c r="M18" s="60">
        <f>ROUND('PCR Cycle 4'!M23*$N18,2)</f>
        <v>30395.77</v>
      </c>
      <c r="N18" s="71">
        <v>4.4999999999999999E-4</v>
      </c>
      <c r="O18" s="4"/>
      <c r="P18" s="167">
        <f t="shared" si="8"/>
        <v>-81935.23</v>
      </c>
    </row>
    <row r="19" spans="1:16" x14ac:dyDescent="0.35">
      <c r="C19" s="66"/>
      <c r="D19" s="67"/>
      <c r="E19" s="67"/>
      <c r="F19" s="67"/>
      <c r="G19" s="67"/>
      <c r="H19" s="66"/>
      <c r="I19" s="67"/>
      <c r="J19" s="153"/>
      <c r="K19" s="55"/>
      <c r="L19" s="55"/>
      <c r="M19" s="12"/>
      <c r="O19" s="4"/>
    </row>
    <row r="20" spans="1:16" x14ac:dyDescent="0.35">
      <c r="A20" s="45" t="s">
        <v>78</v>
      </c>
      <c r="C20" s="35"/>
      <c r="D20" s="36"/>
      <c r="E20" s="36"/>
      <c r="F20" s="36"/>
      <c r="G20" s="36"/>
      <c r="H20" s="35"/>
      <c r="I20" s="36"/>
      <c r="J20" s="155"/>
      <c r="K20" s="51"/>
      <c r="L20" s="51"/>
      <c r="M20" s="37"/>
    </row>
    <row r="21" spans="1:16" x14ac:dyDescent="0.35">
      <c r="A21" s="45" t="s">
        <v>22</v>
      </c>
      <c r="C21" s="94">
        <v>-516891.56</v>
      </c>
      <c r="D21" s="237"/>
      <c r="E21" s="104">
        <f>ROUND((+'EO Cycle 3'!$F52/12+'EO Cycle 3'!$F74/12+'EO Cycle 3'!$F85/12+'EO Cycle 3'!$F118/12),2)</f>
        <v>258445.78</v>
      </c>
      <c r="F21" s="104">
        <f>ROUND((+'EO Cycle 3'!$F52/12+'EO Cycle 3'!$F74/12+'EO Cycle 3'!$F85/12+'EO Cycle 3'!$F118/12),2)</f>
        <v>258445.78</v>
      </c>
      <c r="G21" s="104">
        <f>ROUND((+'EO Cycle 3'!$F52/12+'EO Cycle 3'!$F74/12+'EO Cycle 3'!$F85/12+'EO Cycle 3'!$F118/12),2)</f>
        <v>258445.78</v>
      </c>
      <c r="H21" s="15">
        <f>ROUND((+'EO Cycle 3'!$F96/12+'EO Cycle 3'!$F85/12+'EO Cycle 3'!$F118/12),2)</f>
        <v>108227.17</v>
      </c>
      <c r="I21" s="54">
        <f>ROUND((+'EO Cycle 3'!$F96/12+'EO Cycle 3'!$F85/12+'EO Cycle 3'!$F118/12),2)</f>
        <v>108227.17</v>
      </c>
      <c r="J21" s="151">
        <f>ROUND((+'EO Cycle 3'!$F96/12+'EO Cycle 3'!$F85/12+'EO Cycle 3'!$F118/12),2)</f>
        <v>108227.17</v>
      </c>
      <c r="K21" s="130">
        <f>ROUND((+'EO Cycle 3'!$F96/12+'EO Cycle 3'!$F85/12+'EO Cycle 3'!$F118/12),2)</f>
        <v>108227.17</v>
      </c>
      <c r="L21" s="130">
        <f>ROUND((+'EO Cycle 3'!$F96/12+'EO Cycle 3'!$F85/12+'EO Cycle 3'!$F118/12),2)</f>
        <v>108227.17</v>
      </c>
      <c r="M21" s="76"/>
      <c r="P21" s="167">
        <f t="shared" ref="P21:P26" si="9">-SUM(K21:M21)</f>
        <v>-216454.34</v>
      </c>
    </row>
    <row r="22" spans="1:16" x14ac:dyDescent="0.35">
      <c r="A22" s="45" t="s">
        <v>119</v>
      </c>
      <c r="C22" s="94">
        <v>-106704.56</v>
      </c>
      <c r="D22" s="237"/>
      <c r="E22" s="437">
        <f>ROUND((+'EO Cycle 3'!$F56/12+'EO Cycle 3'!$F78/12+'EO Cycle 3'!$F89/12+'EO Cycle 3'!$F122/12),2)</f>
        <v>53352.28</v>
      </c>
      <c r="F22" s="104">
        <f>ROUND((+'EO Cycle 3'!$F56/12+'EO Cycle 3'!$F78/12+'EO Cycle 3'!$F89/12+'EO Cycle 3'!$F122/12),2)</f>
        <v>53352.28</v>
      </c>
      <c r="G22" s="104">
        <f>ROUND((+'EO Cycle 3'!$F56/12+'EO Cycle 3'!$F78/12+'EO Cycle 3'!$F89/12+'EO Cycle 3'!$F122/12),2)</f>
        <v>53352.28</v>
      </c>
      <c r="H22" s="15">
        <f>ROUND((+'EO Cycle 3'!$F100/12+'EO Cycle 3'!$F89/12+'EO Cycle 3'!$F122/12),2)</f>
        <v>27621.89</v>
      </c>
      <c r="I22" s="54">
        <f>ROUND((+'EO Cycle 3'!$F100/12+'EO Cycle 3'!$F89/12+'EO Cycle 3'!$F122/12),2)</f>
        <v>27621.89</v>
      </c>
      <c r="J22" s="151">
        <f>ROUND((+'EO Cycle 3'!$F100/12+'EO Cycle 3'!$F89/12+'EO Cycle 3'!$F122/12),2)</f>
        <v>27621.89</v>
      </c>
      <c r="K22" s="130">
        <f>ROUND((+'EO Cycle 3'!$F100/12+'EO Cycle 3'!$F89/12+'EO Cycle 3'!$F122/12),2)</f>
        <v>27621.89</v>
      </c>
      <c r="L22" s="130">
        <f>ROUND((+'EO Cycle 3'!$F100/12+'EO Cycle 3'!$F89/12+'EO Cycle 3'!$F122/12),2)</f>
        <v>27621.89</v>
      </c>
      <c r="M22" s="76"/>
      <c r="P22" s="167">
        <f t="shared" si="9"/>
        <v>-55243.78</v>
      </c>
    </row>
    <row r="23" spans="1:16" x14ac:dyDescent="0.35">
      <c r="A23" s="45" t="s">
        <v>120</v>
      </c>
      <c r="C23" s="94">
        <v>-161679.26</v>
      </c>
      <c r="D23" s="237"/>
      <c r="E23" s="437">
        <f>ROUND((+'EO Cycle 3'!$F57/12+'EO Cycle 3'!$F79/12+'EO Cycle 3'!$F90/12+'EO Cycle 3'!$F123/12),2)</f>
        <v>80839.63</v>
      </c>
      <c r="F23" s="104">
        <f>ROUND((+'EO Cycle 3'!$F57/12+'EO Cycle 3'!$F79/12+'EO Cycle 3'!$F90/12+'EO Cycle 3'!$F123/12),2)</f>
        <v>80839.63</v>
      </c>
      <c r="G23" s="104">
        <f>ROUND((+'EO Cycle 3'!$F57/12+'EO Cycle 3'!$F79/12+'EO Cycle 3'!$F90/12+'EO Cycle 3'!$F123/12),2)</f>
        <v>80839.63</v>
      </c>
      <c r="H23" s="374">
        <f>ROUND((+'EO Cycle 3'!$F101/12+'EO Cycle 3'!$F90/12+'EO Cycle 3'!$F123/12),2)</f>
        <v>28466.27</v>
      </c>
      <c r="I23" s="54">
        <f>ROUND((+'EO Cycle 3'!$F101/12+'EO Cycle 3'!$F90/12+'EO Cycle 3'!$F123/12),2)</f>
        <v>28466.27</v>
      </c>
      <c r="J23" s="151">
        <f>ROUND((+'EO Cycle 3'!$F101/12+'EO Cycle 3'!$F90/12+'EO Cycle 3'!$F123/12),2)</f>
        <v>28466.27</v>
      </c>
      <c r="K23" s="130">
        <f>ROUND((+'EO Cycle 3'!$F101/12+'EO Cycle 3'!$F90/12+'EO Cycle 3'!$F123/12),2)</f>
        <v>28466.27</v>
      </c>
      <c r="L23" s="130">
        <f>ROUND((+'EO Cycle 3'!$F101/12+'EO Cycle 3'!$F90/12+'EO Cycle 3'!$F123/12),2)</f>
        <v>28466.27</v>
      </c>
      <c r="M23" s="76"/>
      <c r="P23" s="167">
        <f t="shared" si="9"/>
        <v>-56932.54</v>
      </c>
    </row>
    <row r="24" spans="1:16" x14ac:dyDescent="0.35">
      <c r="A24" s="45" t="s">
        <v>121</v>
      </c>
      <c r="C24" s="94">
        <v>-126816.86</v>
      </c>
      <c r="D24" s="237"/>
      <c r="E24" s="437">
        <f>ROUND((+'EO Cycle 3'!$F58/12+'EO Cycle 3'!$F80/12+'EO Cycle 3'!$F91/12+'EO Cycle 3'!$F124/12),2)</f>
        <v>63408.43</v>
      </c>
      <c r="F24" s="104">
        <f>ROUND((+'EO Cycle 3'!$F58/12+'EO Cycle 3'!$F80/12+'EO Cycle 3'!$F91/12+'EO Cycle 3'!$F124/12),2)</f>
        <v>63408.43</v>
      </c>
      <c r="G24" s="104">
        <f>ROUND((+'EO Cycle 3'!$F58/12+'EO Cycle 3'!$F80/12+'EO Cycle 3'!$F91/12+'EO Cycle 3'!$F124/12),2)</f>
        <v>63408.43</v>
      </c>
      <c r="H24" s="374">
        <f>ROUND((+'EO Cycle 3'!$F102/12+'EO Cycle 3'!$F91/12+'EO Cycle 3'!$F124/12),2)</f>
        <v>21478.639999999999</v>
      </c>
      <c r="I24" s="54">
        <f>ROUND((+'EO Cycle 3'!$F102/12+'EO Cycle 3'!$F91/12+'EO Cycle 3'!$F124/12),2)</f>
        <v>21478.639999999999</v>
      </c>
      <c r="J24" s="151">
        <f>ROUND((+'EO Cycle 3'!$F102/12+'EO Cycle 3'!$F91/12+'EO Cycle 3'!$F124/12),2)</f>
        <v>21478.639999999999</v>
      </c>
      <c r="K24" s="130">
        <f>ROUND((+'EO Cycle 3'!$F102/12+'EO Cycle 3'!$F91/12+'EO Cycle 3'!$F124/12),2)</f>
        <v>21478.639999999999</v>
      </c>
      <c r="L24" s="130">
        <f>ROUND((+'EO Cycle 3'!$F102/12+'EO Cycle 3'!$F91/12+'EO Cycle 3'!$F124/12),2)</f>
        <v>21478.639999999999</v>
      </c>
      <c r="M24" s="76"/>
      <c r="O24" s="46"/>
      <c r="P24" s="167">
        <f t="shared" si="9"/>
        <v>-42957.279999999999</v>
      </c>
    </row>
    <row r="25" spans="1:16" x14ac:dyDescent="0.35">
      <c r="C25" s="96"/>
      <c r="D25" s="138"/>
      <c r="E25" s="17"/>
      <c r="F25" s="17"/>
      <c r="G25" s="17"/>
      <c r="H25" s="88"/>
      <c r="I25" s="17"/>
      <c r="J25" s="152"/>
      <c r="K25" s="55"/>
      <c r="L25" s="55"/>
      <c r="M25" s="12"/>
    </row>
    <row r="26" spans="1:16" ht="15" thickBot="1" x14ac:dyDescent="0.4">
      <c r="A26" s="3" t="s">
        <v>12</v>
      </c>
      <c r="B26" s="3"/>
      <c r="C26" s="98">
        <v>-13177.35</v>
      </c>
      <c r="D26" s="332"/>
      <c r="E26" s="445">
        <f>6252.54-0.04</f>
        <v>6252.5</v>
      </c>
      <c r="F26" s="445">
        <f>6583.03-0.04</f>
        <v>6582.99</v>
      </c>
      <c r="G26" s="446">
        <f>6673.34-0.02</f>
        <v>6673.32</v>
      </c>
      <c r="H26" s="381">
        <f>6552.36-0.04</f>
        <v>6552.32</v>
      </c>
      <c r="I26" s="443">
        <f>6355.45-0.05</f>
        <v>6355.4</v>
      </c>
      <c r="J26" s="467">
        <f>6380.85-0.03</f>
        <v>6380.8200000000006</v>
      </c>
      <c r="K26" s="147">
        <f>ROUND((SUM(J35:J38)+SUM(J42:J45)+SUM(K29:K32)/2)*K$40,2)</f>
        <v>6505.17</v>
      </c>
      <c r="L26" s="132">
        <f>ROUND((SUM(K35:K38)+SUM(K42:K45)+SUM(L29:L32)/2)*L$40,2)+0.01</f>
        <v>6559.04</v>
      </c>
      <c r="M26" s="79"/>
      <c r="P26" s="167">
        <f t="shared" si="9"/>
        <v>-13064.21</v>
      </c>
    </row>
    <row r="27" spans="1:16" x14ac:dyDescent="0.35">
      <c r="C27" s="63"/>
      <c r="D27" s="32"/>
      <c r="E27" s="136"/>
      <c r="F27" s="136"/>
      <c r="G27" s="137"/>
      <c r="H27" s="63"/>
      <c r="I27" s="32"/>
      <c r="J27" s="157"/>
      <c r="K27" s="33"/>
      <c r="L27" s="33"/>
      <c r="M27" s="59"/>
    </row>
    <row r="28" spans="1:16" x14ac:dyDescent="0.35">
      <c r="A28" s="45" t="s">
        <v>46</v>
      </c>
      <c r="C28" s="64"/>
      <c r="D28" s="34"/>
      <c r="E28" s="137"/>
      <c r="F28" s="137"/>
      <c r="G28" s="137"/>
      <c r="H28" s="64"/>
      <c r="I28" s="34"/>
      <c r="J28" s="158"/>
      <c r="K28" s="33"/>
      <c r="L28" s="33"/>
      <c r="M28" s="59"/>
    </row>
    <row r="29" spans="1:16" x14ac:dyDescent="0.35">
      <c r="A29" s="45" t="s">
        <v>22</v>
      </c>
      <c r="C29" s="97">
        <f t="shared" ref="C29:M32" si="10">C21-C15</f>
        <v>218082.99000000005</v>
      </c>
      <c r="D29" s="328">
        <f t="shared" ref="D29" si="11">D21-D15</f>
        <v>0</v>
      </c>
      <c r="E29" s="40">
        <f t="shared" si="10"/>
        <v>102630.76000000001</v>
      </c>
      <c r="F29" s="40">
        <f t="shared" si="10"/>
        <v>30598.160000000003</v>
      </c>
      <c r="G29" s="103">
        <f t="shared" si="10"/>
        <v>-31051.209999999992</v>
      </c>
      <c r="H29" s="39">
        <f t="shared" si="10"/>
        <v>-47317.55</v>
      </c>
      <c r="I29" s="40">
        <f t="shared" si="10"/>
        <v>-13802.160000000003</v>
      </c>
      <c r="J29" s="60">
        <f t="shared" si="10"/>
        <v>28150.059999999998</v>
      </c>
      <c r="K29" s="114">
        <f t="shared" si="10"/>
        <v>23889.800000000003</v>
      </c>
      <c r="L29" s="40">
        <f t="shared" si="10"/>
        <v>1715.7700000000041</v>
      </c>
      <c r="M29" s="60">
        <f t="shared" si="10"/>
        <v>-147808.26</v>
      </c>
    </row>
    <row r="30" spans="1:16" x14ac:dyDescent="0.35">
      <c r="A30" s="45" t="s">
        <v>119</v>
      </c>
      <c r="C30" s="97">
        <f t="shared" si="10"/>
        <v>23383.839999999997</v>
      </c>
      <c r="D30" s="328">
        <f t="shared" ref="D30" si="12">D22-D16</f>
        <v>0</v>
      </c>
      <c r="E30" s="40">
        <f t="shared" si="10"/>
        <v>13569</v>
      </c>
      <c r="F30" s="40">
        <f t="shared" si="10"/>
        <v>6525.6500000000015</v>
      </c>
      <c r="G30" s="103">
        <f t="shared" si="10"/>
        <v>1721.3099999999977</v>
      </c>
      <c r="H30" s="39">
        <f t="shared" si="10"/>
        <v>-4427.380000000001</v>
      </c>
      <c r="I30" s="40">
        <f t="shared" si="10"/>
        <v>3584.5599999999977</v>
      </c>
      <c r="J30" s="60">
        <f t="shared" si="10"/>
        <v>5190.9500000000007</v>
      </c>
      <c r="K30" s="114">
        <f t="shared" si="10"/>
        <v>5699.5299999999988</v>
      </c>
      <c r="L30" s="40">
        <f t="shared" si="10"/>
        <v>3152.880000000001</v>
      </c>
      <c r="M30" s="60">
        <f t="shared" si="10"/>
        <v>-27359.64</v>
      </c>
    </row>
    <row r="31" spans="1:16" x14ac:dyDescent="0.35">
      <c r="A31" s="45" t="s">
        <v>120</v>
      </c>
      <c r="C31" s="97">
        <f t="shared" si="10"/>
        <v>31433.380000000005</v>
      </c>
      <c r="D31" s="328">
        <f t="shared" ref="D31" si="13">D23-D17</f>
        <v>0</v>
      </c>
      <c r="E31" s="40">
        <f t="shared" si="10"/>
        <v>21576.990000000005</v>
      </c>
      <c r="F31" s="40">
        <f t="shared" si="10"/>
        <v>18070.860000000008</v>
      </c>
      <c r="G31" s="103">
        <f t="shared" si="10"/>
        <v>18459.060000000005</v>
      </c>
      <c r="H31" s="39">
        <f t="shared" si="10"/>
        <v>-13549.02</v>
      </c>
      <c r="I31" s="40">
        <f t="shared" si="10"/>
        <v>-8078.0099999999984</v>
      </c>
      <c r="J31" s="60">
        <f t="shared" si="10"/>
        <v>-5817.23</v>
      </c>
      <c r="K31" s="114">
        <f t="shared" si="10"/>
        <v>-5813.1700000000019</v>
      </c>
      <c r="L31" s="40">
        <f t="shared" si="10"/>
        <v>-9795.3100000000013</v>
      </c>
      <c r="M31" s="60">
        <f t="shared" si="10"/>
        <v>-42781.59</v>
      </c>
    </row>
    <row r="32" spans="1:16" x14ac:dyDescent="0.35">
      <c r="A32" s="45" t="s">
        <v>121</v>
      </c>
      <c r="C32" s="97">
        <f t="shared" si="10"/>
        <v>13539.780000000013</v>
      </c>
      <c r="D32" s="328">
        <f t="shared" ref="D32" si="14">D24-D18</f>
        <v>0</v>
      </c>
      <c r="E32" s="40">
        <f t="shared" si="10"/>
        <v>14079.129999999997</v>
      </c>
      <c r="F32" s="40">
        <f t="shared" si="10"/>
        <v>13392.21</v>
      </c>
      <c r="G32" s="103">
        <f t="shared" si="10"/>
        <v>15896.25</v>
      </c>
      <c r="H32" s="39">
        <f t="shared" si="10"/>
        <v>-9797.32</v>
      </c>
      <c r="I32" s="40">
        <f t="shared" si="10"/>
        <v>-7214.6000000000022</v>
      </c>
      <c r="J32" s="60">
        <f t="shared" si="10"/>
        <v>-7443.9700000000012</v>
      </c>
      <c r="K32" s="114">
        <f t="shared" si="10"/>
        <v>-2876.4599999999991</v>
      </c>
      <c r="L32" s="40">
        <f t="shared" si="10"/>
        <v>-5705.7200000000012</v>
      </c>
      <c r="M32" s="60">
        <f t="shared" si="10"/>
        <v>-30395.77</v>
      </c>
    </row>
    <row r="33" spans="1:18" x14ac:dyDescent="0.35">
      <c r="C33" s="96"/>
      <c r="D33" s="138"/>
      <c r="E33" s="16"/>
      <c r="F33" s="16"/>
      <c r="G33" s="16"/>
      <c r="H33" s="9"/>
      <c r="I33" s="16"/>
      <c r="J33" s="10"/>
      <c r="K33" s="16"/>
      <c r="L33" s="16"/>
      <c r="M33" s="10"/>
    </row>
    <row r="34" spans="1:18" ht="15" thickBot="1" x14ac:dyDescent="0.4">
      <c r="A34" s="45" t="s">
        <v>47</v>
      </c>
      <c r="C34" s="96"/>
      <c r="D34" s="138"/>
      <c r="E34" s="16"/>
      <c r="F34" s="16"/>
      <c r="G34" s="16"/>
      <c r="H34" s="9"/>
      <c r="I34" s="16"/>
      <c r="J34" s="10"/>
      <c r="K34" s="16"/>
      <c r="L34" s="16"/>
      <c r="M34" s="10"/>
    </row>
    <row r="35" spans="1:18" x14ac:dyDescent="0.35">
      <c r="A35" s="45" t="s">
        <v>22</v>
      </c>
      <c r="B35" s="309">
        <v>548772.71000000008</v>
      </c>
      <c r="C35" s="97">
        <f t="shared" ref="C35:M38" si="15">B35+C29+B42</f>
        <v>766855.70000000019</v>
      </c>
      <c r="D35" s="328"/>
      <c r="E35" s="40">
        <f>C35+E29+C42+D29+D42</f>
        <v>861293.49000000022</v>
      </c>
      <c r="F35" s="40">
        <f t="shared" si="15"/>
        <v>895825.33000000031</v>
      </c>
      <c r="G35" s="103">
        <f t="shared" si="15"/>
        <v>868902.9300000004</v>
      </c>
      <c r="H35" s="39">
        <f t="shared" si="15"/>
        <v>825663.35000000033</v>
      </c>
      <c r="I35" s="40">
        <f t="shared" si="15"/>
        <v>815783.14000000025</v>
      </c>
      <c r="J35" s="60">
        <f t="shared" si="15"/>
        <v>847735.19000000018</v>
      </c>
      <c r="K35" s="114">
        <f t="shared" si="15"/>
        <v>875482.90000000026</v>
      </c>
      <c r="L35" s="40">
        <f t="shared" si="15"/>
        <v>881194.85000000033</v>
      </c>
      <c r="M35" s="60">
        <f t="shared" si="15"/>
        <v>737460.51000000036</v>
      </c>
    </row>
    <row r="36" spans="1:18" x14ac:dyDescent="0.35">
      <c r="A36" s="45" t="s">
        <v>119</v>
      </c>
      <c r="B36" s="310">
        <v>70523.659999999974</v>
      </c>
      <c r="C36" s="97">
        <f t="shared" si="15"/>
        <v>93907.499999999971</v>
      </c>
      <c r="D36" s="328"/>
      <c r="E36" s="40">
        <f t="shared" ref="E36:E38" si="16">C36+E30+C43+D36+D43</f>
        <v>106441.44999999997</v>
      </c>
      <c r="F36" s="40">
        <f t="shared" si="15"/>
        <v>113451.08999999998</v>
      </c>
      <c r="G36" s="103">
        <f t="shared" si="15"/>
        <v>115689.06999999998</v>
      </c>
      <c r="H36" s="39">
        <f t="shared" si="15"/>
        <v>111791.14999999998</v>
      </c>
      <c r="I36" s="40">
        <f t="shared" si="15"/>
        <v>115902.14999999998</v>
      </c>
      <c r="J36" s="60">
        <f t="shared" si="15"/>
        <v>121620.44999999998</v>
      </c>
      <c r="K36" s="114">
        <f t="shared" si="15"/>
        <v>127870.78999999998</v>
      </c>
      <c r="L36" s="40">
        <f t="shared" si="15"/>
        <v>131602.22999999998</v>
      </c>
      <c r="M36" s="60">
        <f t="shared" si="15"/>
        <v>104844.30999999998</v>
      </c>
    </row>
    <row r="37" spans="1:18" x14ac:dyDescent="0.35">
      <c r="A37" s="45" t="s">
        <v>120</v>
      </c>
      <c r="B37" s="310">
        <v>198615.4800000001</v>
      </c>
      <c r="C37" s="97">
        <f t="shared" si="15"/>
        <v>230048.8600000001</v>
      </c>
      <c r="D37" s="328"/>
      <c r="E37" s="40">
        <f t="shared" si="16"/>
        <v>249174.09000000008</v>
      </c>
      <c r="F37" s="40">
        <f t="shared" si="15"/>
        <v>268402.68000000005</v>
      </c>
      <c r="G37" s="103">
        <f t="shared" si="15"/>
        <v>288077.92000000004</v>
      </c>
      <c r="H37" s="39">
        <f t="shared" si="15"/>
        <v>275814.63</v>
      </c>
      <c r="I37" s="40">
        <f t="shared" si="15"/>
        <v>269041.53999999998</v>
      </c>
      <c r="J37" s="60">
        <f t="shared" si="15"/>
        <v>264486.34000000003</v>
      </c>
      <c r="K37" s="114">
        <f t="shared" si="15"/>
        <v>259910.59000000003</v>
      </c>
      <c r="L37" s="40">
        <f t="shared" si="15"/>
        <v>251331.51000000004</v>
      </c>
      <c r="M37" s="60">
        <f t="shared" si="15"/>
        <v>209735.67000000004</v>
      </c>
    </row>
    <row r="38" spans="1:18" ht="15" thickBot="1" x14ac:dyDescent="0.4">
      <c r="A38" s="45" t="s">
        <v>121</v>
      </c>
      <c r="B38" s="311">
        <v>120339.75000000001</v>
      </c>
      <c r="C38" s="97">
        <f t="shared" si="15"/>
        <v>133879.53000000003</v>
      </c>
      <c r="D38" s="328"/>
      <c r="E38" s="40">
        <f t="shared" si="16"/>
        <v>146461.09000000003</v>
      </c>
      <c r="F38" s="40">
        <f t="shared" si="15"/>
        <v>160530.40000000002</v>
      </c>
      <c r="G38" s="103">
        <f t="shared" si="15"/>
        <v>177147.98</v>
      </c>
      <c r="H38" s="39">
        <f t="shared" si="15"/>
        <v>168130.82</v>
      </c>
      <c r="I38" s="40">
        <f t="shared" si="15"/>
        <v>161715.23000000001</v>
      </c>
      <c r="J38" s="60">
        <f t="shared" si="15"/>
        <v>155035.29</v>
      </c>
      <c r="K38" s="114">
        <f t="shared" si="15"/>
        <v>152893.51</v>
      </c>
      <c r="L38" s="40">
        <f t="shared" si="15"/>
        <v>147901.99000000002</v>
      </c>
      <c r="M38" s="60">
        <f t="shared" si="15"/>
        <v>118203.87000000001</v>
      </c>
    </row>
    <row r="39" spans="1:18" x14ac:dyDescent="0.35">
      <c r="C39" s="96"/>
      <c r="D39" s="138"/>
      <c r="E39" s="16"/>
      <c r="F39" s="16"/>
      <c r="G39" s="16"/>
      <c r="H39" s="9"/>
      <c r="I39" s="16"/>
      <c r="J39" s="10"/>
      <c r="K39" s="16"/>
      <c r="L39" s="16"/>
      <c r="M39" s="10"/>
    </row>
    <row r="40" spans="1:18" x14ac:dyDescent="0.35">
      <c r="A40" s="38" t="s">
        <v>77</v>
      </c>
      <c r="B40" s="38"/>
      <c r="C40" s="99"/>
      <c r="D40" s="241"/>
      <c r="E40" s="292">
        <f>'PCR Cycle 3'!E45</f>
        <v>4.8565300000000004E-3</v>
      </c>
      <c r="F40" s="292">
        <f>'PCR Cycle 3'!F45</f>
        <v>4.6890200000000003E-3</v>
      </c>
      <c r="G40" s="292">
        <f>'PCR Cycle 3'!G45</f>
        <v>4.6108499999999997E-3</v>
      </c>
      <c r="H40" s="293">
        <f>'PCR Cycle 3'!H45</f>
        <v>4.6177400000000004E-3</v>
      </c>
      <c r="I40" s="292">
        <f>'PCR Cycle 3'!I45</f>
        <v>4.62145E-3</v>
      </c>
      <c r="J40" s="294">
        <f>'PCR Cycle 3'!J45</f>
        <v>4.6276800000000003E-3</v>
      </c>
      <c r="K40" s="80">
        <f>J40</f>
        <v>4.6276800000000003E-3</v>
      </c>
      <c r="L40" s="80">
        <f>J40</f>
        <v>4.6276800000000003E-3</v>
      </c>
      <c r="M40" s="82"/>
    </row>
    <row r="41" spans="1:18" x14ac:dyDescent="0.35">
      <c r="A41" s="38" t="s">
        <v>31</v>
      </c>
      <c r="B41" s="38"/>
      <c r="C41" s="101"/>
      <c r="D41" s="329"/>
      <c r="E41" s="80"/>
      <c r="F41" s="80"/>
      <c r="G41" s="80"/>
      <c r="H41" s="81"/>
      <c r="I41" s="80"/>
      <c r="J41" s="82"/>
      <c r="K41" s="80"/>
      <c r="L41" s="80"/>
      <c r="M41" s="82"/>
    </row>
    <row r="42" spans="1:18" x14ac:dyDescent="0.35">
      <c r="A42" s="45" t="s">
        <v>22</v>
      </c>
      <c r="C42" s="312">
        <v>-8192.9700000000012</v>
      </c>
      <c r="D42" s="333"/>
      <c r="E42" s="40">
        <f>ROUND((C35+C42+E29/2)*E$40,2)</f>
        <v>3933.68</v>
      </c>
      <c r="F42" s="40">
        <f t="shared" ref="F42:M45" si="17">ROUND((E35+E42+F29/2)*F$40,2)</f>
        <v>4128.8100000000004</v>
      </c>
      <c r="G42" s="103">
        <f t="shared" si="17"/>
        <v>4077.97</v>
      </c>
      <c r="H42" s="39">
        <f t="shared" si="17"/>
        <v>3921.95</v>
      </c>
      <c r="I42" s="114">
        <f t="shared" si="17"/>
        <v>3801.99</v>
      </c>
      <c r="J42" s="48">
        <f t="shared" si="17"/>
        <v>3857.91</v>
      </c>
      <c r="K42" s="148">
        <f t="shared" si="17"/>
        <v>3996.18</v>
      </c>
      <c r="L42" s="103">
        <f t="shared" si="17"/>
        <v>4073.92</v>
      </c>
      <c r="M42" s="60">
        <f t="shared" si="17"/>
        <v>0</v>
      </c>
      <c r="P42" s="167">
        <f t="shared" ref="P42:P45" si="18">-SUM(K42:M42)</f>
        <v>-8070.1</v>
      </c>
    </row>
    <row r="43" spans="1:18" x14ac:dyDescent="0.35">
      <c r="A43" s="45" t="s">
        <v>119</v>
      </c>
      <c r="C43" s="312">
        <v>-1035.0500000000002</v>
      </c>
      <c r="D43" s="333"/>
      <c r="E43" s="40">
        <f>ROUND((C36+C43+E30/2)*E$40,2)</f>
        <v>483.99</v>
      </c>
      <c r="F43" s="40">
        <f t="shared" si="17"/>
        <v>516.66999999999996</v>
      </c>
      <c r="G43" s="103">
        <f t="shared" si="17"/>
        <v>529.46</v>
      </c>
      <c r="H43" s="39">
        <f t="shared" si="17"/>
        <v>526.44000000000005</v>
      </c>
      <c r="I43" s="114">
        <f t="shared" si="17"/>
        <v>527.35</v>
      </c>
      <c r="J43" s="48">
        <f t="shared" si="17"/>
        <v>550.80999999999995</v>
      </c>
      <c r="K43" s="148">
        <f t="shared" si="17"/>
        <v>578.55999999999995</v>
      </c>
      <c r="L43" s="103">
        <f t="shared" si="17"/>
        <v>601.72</v>
      </c>
      <c r="M43" s="60">
        <f t="shared" si="17"/>
        <v>0</v>
      </c>
      <c r="P43" s="167">
        <f t="shared" si="18"/>
        <v>-1180.28</v>
      </c>
    </row>
    <row r="44" spans="1:18" x14ac:dyDescent="0.35">
      <c r="A44" s="45" t="s">
        <v>120</v>
      </c>
      <c r="C44" s="312">
        <v>-2451.7600000000002</v>
      </c>
      <c r="D44" s="333"/>
      <c r="E44" s="40">
        <f>ROUND((C37+C44+E31/2)*E$40,2)</f>
        <v>1157.73</v>
      </c>
      <c r="F44" s="40">
        <f t="shared" si="17"/>
        <v>1216.18</v>
      </c>
      <c r="G44" s="103">
        <f t="shared" si="17"/>
        <v>1285.73</v>
      </c>
      <c r="H44" s="39">
        <f t="shared" si="17"/>
        <v>1304.92</v>
      </c>
      <c r="I44" s="114">
        <f t="shared" si="17"/>
        <v>1262.03</v>
      </c>
      <c r="J44" s="48">
        <f t="shared" si="17"/>
        <v>1237.42</v>
      </c>
      <c r="K44" s="148">
        <f t="shared" si="17"/>
        <v>1216.23</v>
      </c>
      <c r="L44" s="103">
        <f t="shared" si="17"/>
        <v>1185.75</v>
      </c>
      <c r="M44" s="60">
        <f t="shared" si="17"/>
        <v>0</v>
      </c>
      <c r="P44" s="167">
        <f t="shared" si="18"/>
        <v>-2401.98</v>
      </c>
    </row>
    <row r="45" spans="1:18" ht="15" thickBot="1" x14ac:dyDescent="0.4">
      <c r="A45" s="45" t="s">
        <v>121</v>
      </c>
      <c r="C45" s="312">
        <v>-1497.5700000000002</v>
      </c>
      <c r="D45" s="333"/>
      <c r="E45" s="40">
        <f>ROUND((C38+C45+E32/2)*E$40,2)</f>
        <v>677.1</v>
      </c>
      <c r="F45" s="40">
        <f t="shared" si="17"/>
        <v>721.33</v>
      </c>
      <c r="G45" s="103">
        <f t="shared" si="17"/>
        <v>780.16</v>
      </c>
      <c r="H45" s="39">
        <f t="shared" si="17"/>
        <v>799.01</v>
      </c>
      <c r="I45" s="114">
        <f t="shared" si="17"/>
        <v>764.03</v>
      </c>
      <c r="J45" s="48">
        <f t="shared" si="17"/>
        <v>734.68</v>
      </c>
      <c r="K45" s="148">
        <f t="shared" si="17"/>
        <v>714.2</v>
      </c>
      <c r="L45" s="103">
        <f t="shared" si="17"/>
        <v>697.65</v>
      </c>
      <c r="M45" s="60">
        <f t="shared" si="17"/>
        <v>0</v>
      </c>
      <c r="P45" s="167">
        <f t="shared" si="18"/>
        <v>-1411.85</v>
      </c>
    </row>
    <row r="46" spans="1:18" ht="15.5" thickTop="1" thickBot="1" x14ac:dyDescent="0.4">
      <c r="A46" s="53" t="s">
        <v>20</v>
      </c>
      <c r="B46" s="53"/>
      <c r="C46" s="102">
        <v>0</v>
      </c>
      <c r="D46" s="244"/>
      <c r="E46" s="41">
        <f t="shared" ref="E46:M46" si="19">SUM(E42:E45)+SUM(E35:E38)-E49</f>
        <v>0</v>
      </c>
      <c r="F46" s="41">
        <f t="shared" si="19"/>
        <v>0</v>
      </c>
      <c r="G46" s="49">
        <f t="shared" si="19"/>
        <v>0</v>
      </c>
      <c r="H46" s="134">
        <f t="shared" si="19"/>
        <v>0</v>
      </c>
      <c r="I46" s="49">
        <f t="shared" si="19"/>
        <v>0</v>
      </c>
      <c r="J46" s="61">
        <f t="shared" si="19"/>
        <v>0</v>
      </c>
      <c r="K46" s="149">
        <f t="shared" si="19"/>
        <v>0</v>
      </c>
      <c r="L46" s="49">
        <f t="shared" si="19"/>
        <v>0</v>
      </c>
      <c r="M46" s="61">
        <f t="shared" si="19"/>
        <v>0</v>
      </c>
    </row>
    <row r="47" spans="1:18" ht="15.5" thickTop="1" thickBot="1" x14ac:dyDescent="0.4">
      <c r="A47" s="53" t="s">
        <v>21</v>
      </c>
      <c r="B47" s="53"/>
      <c r="C47" s="102">
        <v>0</v>
      </c>
      <c r="D47" s="244"/>
      <c r="E47" s="41">
        <f t="shared" ref="E47:M47" si="20">SUM(E42:E45)-E26</f>
        <v>0</v>
      </c>
      <c r="F47" s="41">
        <f t="shared" si="20"/>
        <v>0</v>
      </c>
      <c r="G47" s="49">
        <f t="shared" si="20"/>
        <v>0</v>
      </c>
      <c r="H47" s="134">
        <f t="shared" si="20"/>
        <v>0</v>
      </c>
      <c r="I47" s="49">
        <f t="shared" si="20"/>
        <v>0</v>
      </c>
      <c r="J47" s="61">
        <f t="shared" si="20"/>
        <v>0</v>
      </c>
      <c r="K47" s="150">
        <f t="shared" si="20"/>
        <v>0</v>
      </c>
      <c r="L47" s="41">
        <f t="shared" si="20"/>
        <v>0</v>
      </c>
      <c r="M47" s="41">
        <f t="shared" si="20"/>
        <v>0</v>
      </c>
    </row>
    <row r="48" spans="1:18" ht="15.5" thickTop="1" thickBot="1" x14ac:dyDescent="0.4">
      <c r="C48" s="96"/>
      <c r="D48" s="138"/>
      <c r="E48" s="16"/>
      <c r="F48" s="16"/>
      <c r="G48" s="16"/>
      <c r="H48" s="9"/>
      <c r="I48" s="16"/>
      <c r="J48" s="10"/>
      <c r="K48" s="16"/>
      <c r="L48" s="16"/>
      <c r="M48" s="10"/>
      <c r="Q48" s="515"/>
      <c r="R48" s="515"/>
    </row>
    <row r="49" spans="1:18" ht="15" thickBot="1" x14ac:dyDescent="0.4">
      <c r="A49" s="45" t="s">
        <v>30</v>
      </c>
      <c r="B49" s="111">
        <f>SUM(B35:B38)</f>
        <v>938251.60000000021</v>
      </c>
      <c r="C49" s="97">
        <f t="shared" ref="C49:M49" si="21">(C12-SUM(C15:C18))+SUM(C42:C45)+B49</f>
        <v>1211514.2400000002</v>
      </c>
      <c r="D49" s="328"/>
      <c r="E49" s="40">
        <f>(E12-SUM(E15:E18))+SUM(D42:E45)+C49+SUM(D29:D32)</f>
        <v>1369622.62</v>
      </c>
      <c r="F49" s="40">
        <f t="shared" si="21"/>
        <v>1444792.4900000002</v>
      </c>
      <c r="G49" s="103">
        <f t="shared" si="21"/>
        <v>1456491.2200000002</v>
      </c>
      <c r="H49" s="39">
        <f t="shared" si="21"/>
        <v>1387952.2700000003</v>
      </c>
      <c r="I49" s="40">
        <f t="shared" si="21"/>
        <v>1368797.4600000002</v>
      </c>
      <c r="J49" s="60">
        <f t="shared" si="21"/>
        <v>1395258.09</v>
      </c>
      <c r="K49" s="148">
        <f t="shared" si="21"/>
        <v>1422662.96</v>
      </c>
      <c r="L49" s="103">
        <f t="shared" si="21"/>
        <v>1418589.6199999999</v>
      </c>
      <c r="M49" s="60">
        <f t="shared" si="21"/>
        <v>1170244.3599999999</v>
      </c>
      <c r="Q49" s="515"/>
      <c r="R49" s="515"/>
    </row>
    <row r="50" spans="1:18" x14ac:dyDescent="0.35">
      <c r="A50" s="45" t="s">
        <v>10</v>
      </c>
      <c r="C50" s="112"/>
      <c r="D50" s="16"/>
      <c r="E50" s="16"/>
      <c r="F50" s="16"/>
      <c r="G50" s="16"/>
      <c r="H50" s="9"/>
      <c r="I50" s="16"/>
      <c r="J50" s="10"/>
      <c r="K50" s="16"/>
      <c r="L50" s="16"/>
      <c r="M50" s="10"/>
      <c r="Q50" s="515"/>
      <c r="R50" s="515"/>
    </row>
    <row r="51" spans="1:18" ht="15" thickBot="1" x14ac:dyDescent="0.4">
      <c r="A51" s="36"/>
      <c r="B51" s="36"/>
      <c r="C51" s="135"/>
      <c r="D51" s="330"/>
      <c r="E51" s="43"/>
      <c r="F51" s="43"/>
      <c r="G51" s="43"/>
      <c r="H51" s="42"/>
      <c r="I51" s="43"/>
      <c r="J51" s="44"/>
      <c r="K51" s="43"/>
      <c r="L51" s="43"/>
      <c r="M51" s="44"/>
      <c r="Q51" s="515"/>
      <c r="R51" s="515"/>
    </row>
    <row r="53" spans="1:18" x14ac:dyDescent="0.35">
      <c r="A53" s="68" t="s">
        <v>9</v>
      </c>
      <c r="B53" s="68"/>
      <c r="C53" s="68"/>
      <c r="D53" s="68"/>
    </row>
    <row r="54" spans="1:18" ht="31.5" customHeight="1" x14ac:dyDescent="0.35">
      <c r="A54" s="529" t="s">
        <v>140</v>
      </c>
      <c r="B54" s="529"/>
      <c r="C54" s="529"/>
      <c r="D54" s="529"/>
      <c r="E54" s="529"/>
      <c r="F54" s="529"/>
      <c r="G54" s="529"/>
      <c r="H54" s="529"/>
      <c r="I54" s="529"/>
      <c r="J54" s="529"/>
      <c r="K54" s="252"/>
      <c r="L54" s="252"/>
      <c r="M54" s="252"/>
    </row>
    <row r="55" spans="1:18" ht="62.15" customHeight="1" x14ac:dyDescent="0.35">
      <c r="A55" s="529" t="s">
        <v>262</v>
      </c>
      <c r="B55" s="529"/>
      <c r="C55" s="529"/>
      <c r="D55" s="529"/>
      <c r="E55" s="529"/>
      <c r="F55" s="529"/>
      <c r="G55" s="529"/>
      <c r="H55" s="529"/>
      <c r="I55" s="529"/>
      <c r="J55" s="529"/>
      <c r="K55" s="252"/>
      <c r="L55" s="252"/>
    </row>
    <row r="56" spans="1:18" ht="18.75" customHeight="1" x14ac:dyDescent="0.35">
      <c r="A56" s="529" t="s">
        <v>168</v>
      </c>
      <c r="B56" s="529"/>
      <c r="C56" s="529"/>
      <c r="D56" s="529"/>
      <c r="E56" s="529"/>
      <c r="F56" s="529"/>
      <c r="G56" s="529"/>
      <c r="H56" s="529"/>
      <c r="I56" s="529"/>
      <c r="J56" s="529"/>
      <c r="K56" s="252"/>
      <c r="L56" s="252"/>
      <c r="M56" s="252"/>
    </row>
    <row r="57" spans="1:18" x14ac:dyDescent="0.35">
      <c r="A57" s="529" t="s">
        <v>219</v>
      </c>
      <c r="B57" s="529"/>
      <c r="C57" s="529"/>
      <c r="D57" s="529"/>
      <c r="E57" s="529"/>
      <c r="F57" s="529"/>
      <c r="G57" s="529"/>
      <c r="H57" s="529"/>
      <c r="I57" s="529"/>
      <c r="J57" s="529"/>
    </row>
    <row r="58" spans="1:18" x14ac:dyDescent="0.35">
      <c r="A58" s="412" t="s">
        <v>263</v>
      </c>
      <c r="B58" s="412"/>
      <c r="C58" s="412"/>
      <c r="D58" s="412"/>
      <c r="E58" s="392"/>
      <c r="F58" s="392"/>
      <c r="G58" s="392"/>
      <c r="H58" s="392"/>
      <c r="I58" s="392"/>
      <c r="J58" s="392"/>
    </row>
    <row r="59" spans="1:18" x14ac:dyDescent="0.35">
      <c r="A59" s="412" t="s">
        <v>84</v>
      </c>
      <c r="B59" s="412"/>
      <c r="C59" s="412"/>
      <c r="D59" s="412"/>
      <c r="E59" s="392"/>
      <c r="F59" s="392"/>
      <c r="G59" s="392"/>
      <c r="H59" s="392"/>
      <c r="I59" s="392"/>
      <c r="J59" s="392"/>
    </row>
    <row r="60" spans="1:18" x14ac:dyDescent="0.35">
      <c r="A60" s="525"/>
      <c r="B60" s="412"/>
      <c r="C60" s="412"/>
      <c r="D60" s="412"/>
      <c r="E60" s="392"/>
      <c r="F60" s="392"/>
      <c r="G60" s="392"/>
      <c r="H60" s="392"/>
      <c r="I60" s="392"/>
      <c r="J60" s="392"/>
    </row>
    <row r="61" spans="1:18" x14ac:dyDescent="0.35">
      <c r="A61" s="392"/>
      <c r="B61" s="392"/>
      <c r="C61" s="392"/>
      <c r="D61" s="392"/>
      <c r="E61" s="392"/>
      <c r="F61" s="392"/>
      <c r="G61" s="392"/>
      <c r="H61" s="392"/>
      <c r="I61" s="392"/>
      <c r="J61" s="392"/>
    </row>
  </sheetData>
  <mergeCells count="7">
    <mergeCell ref="A57:J57"/>
    <mergeCell ref="A56:J56"/>
    <mergeCell ref="E10:G10"/>
    <mergeCell ref="H10:J10"/>
    <mergeCell ref="K10:M10"/>
    <mergeCell ref="A54:J54"/>
    <mergeCell ref="A55:J55"/>
  </mergeCells>
  <pageMargins left="0.2" right="0.2" top="0.75" bottom="0.25" header="0.3" footer="0.3"/>
  <pageSetup scale="57" orientation="landscape" r:id="rId1"/>
  <headerFooter>
    <oddHeader>&amp;C&amp;F &amp;A&amp;R&amp;"Arial"&amp;10&amp;K000000CONFIDENTIAL</oddHeader>
    <oddFooter xml:space="preserve">&amp;R_x000D_&amp;1#&amp;"Calibri"&amp;10&amp;KA80000 Restricted – Sensitive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5FAA-E64F-44DA-8ADF-AFC1E38B881D}">
  <sheetPr>
    <pageSetUpPr fitToPage="1"/>
  </sheetPr>
  <dimension ref="A1:E35"/>
  <sheetViews>
    <sheetView workbookViewId="0"/>
  </sheetViews>
  <sheetFormatPr defaultColWidth="9.1796875" defaultRowHeight="14.5" x14ac:dyDescent="0.35"/>
  <cols>
    <col min="1" max="1" width="43.1796875" style="45" customWidth="1"/>
    <col min="2" max="2" width="14.26953125" style="45" bestFit="1" customWidth="1"/>
    <col min="3" max="3" width="14.26953125" style="45" customWidth="1"/>
    <col min="4" max="4" width="13.26953125" style="45" bestFit="1" customWidth="1"/>
    <col min="5" max="6" width="13.453125" style="45" bestFit="1" customWidth="1"/>
    <col min="7" max="16384" width="9.1796875" style="45"/>
  </cols>
  <sheetData>
    <row r="1" spans="1:5" x14ac:dyDescent="0.35">
      <c r="A1" s="62" t="str">
        <f>+'PTD Cycle 3'!A1</f>
        <v>Evergy Missouri West, Inc. - DSIM Rider Update Filed 06/02/2025</v>
      </c>
    </row>
    <row r="2" spans="1:5" x14ac:dyDescent="0.35">
      <c r="A2" s="8" t="str">
        <f>+'PTD Cycle 3'!A2</f>
        <v>Projections for Cycle 3 July 2025 - June 2026 DSIM</v>
      </c>
    </row>
    <row r="3" spans="1:5" ht="45.75" customHeight="1" x14ac:dyDescent="0.35">
      <c r="B3" s="527" t="s">
        <v>153</v>
      </c>
      <c r="C3" s="527"/>
      <c r="D3" s="527"/>
    </row>
    <row r="4" spans="1:5" x14ac:dyDescent="0.35">
      <c r="B4" s="47" t="s">
        <v>15</v>
      </c>
    </row>
    <row r="5" spans="1:5" x14ac:dyDescent="0.35">
      <c r="A5" s="19" t="s">
        <v>154</v>
      </c>
      <c r="B5" s="255">
        <f>+B11</f>
        <v>0</v>
      </c>
    </row>
    <row r="6" spans="1:5" x14ac:dyDescent="0.35">
      <c r="A6" s="19" t="s">
        <v>155</v>
      </c>
      <c r="B6" s="255">
        <f>+C11</f>
        <v>0</v>
      </c>
    </row>
    <row r="7" spans="1:5" x14ac:dyDescent="0.35">
      <c r="A7" s="19" t="s">
        <v>156</v>
      </c>
      <c r="B7" s="255">
        <f>+D11</f>
        <v>0</v>
      </c>
    </row>
    <row r="8" spans="1:5" ht="58" x14ac:dyDescent="0.35">
      <c r="A8" s="19"/>
      <c r="B8" s="234" t="s">
        <v>154</v>
      </c>
      <c r="C8" s="234" t="s">
        <v>155</v>
      </c>
      <c r="D8" s="235" t="s">
        <v>156</v>
      </c>
      <c r="E8" s="235" t="s">
        <v>3</v>
      </c>
    </row>
    <row r="9" spans="1:5" x14ac:dyDescent="0.35">
      <c r="A9" s="19" t="s">
        <v>22</v>
      </c>
      <c r="B9" s="190">
        <v>0</v>
      </c>
      <c r="C9" s="190">
        <v>0</v>
      </c>
      <c r="D9" s="190">
        <v>0</v>
      </c>
      <c r="E9" s="190">
        <f>SUM(B9:D9)</f>
        <v>0</v>
      </c>
    </row>
    <row r="10" spans="1:5" x14ac:dyDescent="0.35">
      <c r="A10" s="19" t="s">
        <v>23</v>
      </c>
      <c r="B10" s="190">
        <v>0</v>
      </c>
      <c r="C10" s="190">
        <v>0</v>
      </c>
      <c r="D10" s="190">
        <v>0</v>
      </c>
      <c r="E10" s="190">
        <f>SUM(B10:D10)</f>
        <v>0</v>
      </c>
    </row>
    <row r="11" spans="1:5" ht="15" thickBot="1" x14ac:dyDescent="0.4">
      <c r="A11" s="19" t="s">
        <v>3</v>
      </c>
      <c r="B11" s="191">
        <f>SUM(B9:B10)</f>
        <v>0</v>
      </c>
      <c r="C11" s="191">
        <f>SUM(C9:C10)</f>
        <v>0</v>
      </c>
      <c r="D11" s="191">
        <f>SUM(D9:D10)</f>
        <v>0</v>
      </c>
      <c r="E11" s="191">
        <f>SUM(E9:E10)</f>
        <v>0</v>
      </c>
    </row>
    <row r="12" spans="1:5" ht="15.5" thickTop="1" thickBot="1" x14ac:dyDescent="0.4">
      <c r="B12" s="192">
        <f>+B11-B5</f>
        <v>0</v>
      </c>
      <c r="C12" s="192">
        <f>+C11-B6</f>
        <v>0</v>
      </c>
      <c r="D12" s="192">
        <f>+D11-B7</f>
        <v>0</v>
      </c>
      <c r="E12" s="192">
        <f>ROUND(B5+B6+B7,2)-E11</f>
        <v>0</v>
      </c>
    </row>
    <row r="13" spans="1:5" ht="15" thickTop="1" x14ac:dyDescent="0.35">
      <c r="B13" s="200"/>
      <c r="C13" s="262" t="s">
        <v>159</v>
      </c>
    </row>
    <row r="14" spans="1:5" x14ac:dyDescent="0.35">
      <c r="A14" s="19" t="s">
        <v>94</v>
      </c>
      <c r="B14" s="190">
        <f>ROUND($E$10*C14,2)</f>
        <v>0</v>
      </c>
      <c r="C14" s="197"/>
    </row>
    <row r="15" spans="1:5" x14ac:dyDescent="0.35">
      <c r="A15" s="19" t="s">
        <v>95</v>
      </c>
      <c r="B15" s="190">
        <f>ROUND($E$10*C15,2)</f>
        <v>0</v>
      </c>
      <c r="C15" s="197"/>
    </row>
    <row r="16" spans="1:5" ht="15" thickBot="1" x14ac:dyDescent="0.4">
      <c r="A16" s="19" t="s">
        <v>96</v>
      </c>
      <c r="B16" s="190">
        <f>ROUND($E$10*C16,2)</f>
        <v>0</v>
      </c>
      <c r="C16" s="197"/>
    </row>
    <row r="17" spans="1:5" ht="15.5" thickTop="1" thickBot="1" x14ac:dyDescent="0.4">
      <c r="A17" s="19" t="s">
        <v>97</v>
      </c>
      <c r="B17" s="31">
        <f>SUM(B14:B16)</f>
        <v>0</v>
      </c>
      <c r="C17" s="198">
        <f>SUM(C14:C16)</f>
        <v>0</v>
      </c>
    </row>
    <row r="18" spans="1:5" ht="15" thickTop="1" x14ac:dyDescent="0.35"/>
    <row r="19" spans="1:5" x14ac:dyDescent="0.35">
      <c r="A19" s="52" t="s">
        <v>9</v>
      </c>
    </row>
    <row r="20" spans="1:5" s="38" customFormat="1" x14ac:dyDescent="0.35">
      <c r="A20" s="3" t="s">
        <v>192</v>
      </c>
      <c r="B20" s="45"/>
      <c r="C20" s="45"/>
      <c r="D20" s="45"/>
    </row>
    <row r="21" spans="1:5" s="38" customFormat="1" x14ac:dyDescent="0.35">
      <c r="A21" s="3" t="s">
        <v>193</v>
      </c>
      <c r="B21" s="45"/>
      <c r="C21" s="45"/>
      <c r="D21" s="45"/>
    </row>
    <row r="22" spans="1:5" s="38" customFormat="1" x14ac:dyDescent="0.35">
      <c r="A22" s="3" t="s">
        <v>194</v>
      </c>
      <c r="B22" s="45"/>
      <c r="C22" s="45"/>
      <c r="D22" s="45"/>
    </row>
    <row r="23" spans="1:5" s="38" customFormat="1" x14ac:dyDescent="0.35">
      <c r="A23" s="3"/>
      <c r="B23" s="45"/>
      <c r="C23" s="45"/>
      <c r="D23" s="45"/>
    </row>
    <row r="25" spans="1:5" x14ac:dyDescent="0.35">
      <c r="A25" s="3"/>
      <c r="D25" s="167"/>
    </row>
    <row r="26" spans="1:5" x14ac:dyDescent="0.35">
      <c r="D26" s="167"/>
    </row>
    <row r="27" spans="1:5" x14ac:dyDescent="0.35">
      <c r="B27" s="69"/>
      <c r="D27" s="167"/>
    </row>
    <row r="28" spans="1:5" x14ac:dyDescent="0.35">
      <c r="A28" s="187"/>
      <c r="B28" s="188"/>
      <c r="D28" s="167"/>
    </row>
    <row r="29" spans="1:5" x14ac:dyDescent="0.35">
      <c r="A29" s="187"/>
      <c r="B29" s="188"/>
      <c r="D29" s="167"/>
    </row>
    <row r="30" spans="1:5" x14ac:dyDescent="0.35">
      <c r="A30" s="187"/>
      <c r="B30" s="188"/>
      <c r="D30" s="167"/>
    </row>
    <row r="31" spans="1:5" x14ac:dyDescent="0.35">
      <c r="A31" s="187"/>
      <c r="B31" s="188"/>
      <c r="D31" s="167"/>
      <c r="E31" s="233"/>
    </row>
    <row r="32" spans="1:5" x14ac:dyDescent="0.35">
      <c r="A32" s="187"/>
      <c r="B32" s="168"/>
      <c r="D32" s="167"/>
    </row>
    <row r="33" spans="1:4" x14ac:dyDescent="0.35">
      <c r="A33" s="187"/>
      <c r="B33" s="168"/>
      <c r="D33" s="167"/>
    </row>
    <row r="34" spans="1:4" ht="16" x14ac:dyDescent="0.5">
      <c r="A34" s="187"/>
      <c r="B34" s="168"/>
      <c r="D34" s="189"/>
    </row>
    <row r="35" spans="1:4" x14ac:dyDescent="0.35">
      <c r="A35" s="187"/>
      <c r="D35" s="167"/>
    </row>
  </sheetData>
  <mergeCells count="1">
    <mergeCell ref="B3:D3"/>
  </mergeCells>
  <pageMargins left="0.2" right="0.2" top="0.75" bottom="0.25" header="0.3" footer="0.3"/>
  <pageSetup scale="99" orientation="landscape" r:id="rId1"/>
  <headerFooter>
    <oddHeader>&amp;C&amp;F &amp;A&amp;R&amp;"Arial"&amp;10&amp;K000000CONFIDENTIAL</oddHeader>
    <oddFooter xml:space="preserve">&amp;R_x000D_&amp;1#&amp;"Calibri"&amp;10&amp;KA80000 Restricted – Sensitive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5197-5D25-4B83-9D4C-E7AB3BA59864}">
  <sheetPr>
    <tabColor rgb="FF92D050"/>
    <pageSetUpPr fitToPage="1"/>
  </sheetPr>
  <dimension ref="A1:AI65"/>
  <sheetViews>
    <sheetView zoomScale="85" zoomScaleNormal="85" workbookViewId="0"/>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5.453125" style="45" customWidth="1"/>
    <col min="5" max="5" width="15.81640625" style="45" bestFit="1" customWidth="1"/>
    <col min="6" max="6" width="12.26953125" style="45" bestFit="1" customWidth="1"/>
    <col min="7" max="8" width="13.26953125" style="45" bestFit="1" customWidth="1"/>
    <col min="9" max="9" width="14.453125" style="45" bestFit="1" customWidth="1"/>
    <col min="10" max="10" width="12.453125" style="45" customWidth="1"/>
    <col min="11" max="11" width="12.81640625" style="45" customWidth="1"/>
    <col min="12" max="12" width="16" style="45" customWidth="1"/>
    <col min="13" max="13" width="15" style="45" bestFit="1" customWidth="1"/>
    <col min="14" max="14" width="16" style="45" bestFit="1" customWidth="1"/>
    <col min="15" max="15" width="17.81640625" style="45" hidden="1" customWidth="1" outlineLevel="1"/>
    <col min="16" max="16" width="15.26953125" style="45" bestFit="1" customWidth="1" collapsed="1"/>
    <col min="17" max="17" width="17.453125" style="45" bestFit="1" customWidth="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3" t="str">
        <f>+'PTD Cycle 3'!A1</f>
        <v>Evergy Missouri West, Inc. - DSIM Rider Update Filed 06/02/2025</v>
      </c>
      <c r="B1" s="3"/>
      <c r="C1" s="3"/>
    </row>
    <row r="2" spans="1:35" x14ac:dyDescent="0.35">
      <c r="D2" s="3" t="s">
        <v>157</v>
      </c>
    </row>
    <row r="3" spans="1:35" ht="29" x14ac:dyDescent="0.35">
      <c r="D3" s="47" t="s">
        <v>40</v>
      </c>
      <c r="E3" s="69" t="s">
        <v>15</v>
      </c>
      <c r="F3" s="47" t="s">
        <v>1</v>
      </c>
      <c r="G3" s="69" t="s">
        <v>49</v>
      </c>
      <c r="H3" s="47" t="s">
        <v>8</v>
      </c>
      <c r="I3" s="47" t="s">
        <v>16</v>
      </c>
      <c r="S3" s="47"/>
    </row>
    <row r="4" spans="1:35" x14ac:dyDescent="0.35">
      <c r="A4" s="19" t="s">
        <v>22</v>
      </c>
      <c r="B4" s="19"/>
      <c r="C4" s="19"/>
      <c r="D4" s="21">
        <f>SUM(C20:L20)</f>
        <v>-199914.06000000003</v>
      </c>
      <c r="E4" s="21">
        <f>SUM(C26:K26)</f>
        <v>0</v>
      </c>
      <c r="F4" s="21">
        <f>E4-D4</f>
        <v>199914.06000000003</v>
      </c>
      <c r="G4" s="21">
        <f>+B40</f>
        <v>-423520.11999999982</v>
      </c>
      <c r="H4" s="21">
        <f>SUM(C47:K47)</f>
        <v>-9722.4599999999991</v>
      </c>
      <c r="I4" s="24">
        <f>SUM(F4:H4)</f>
        <v>-233328.51999999979</v>
      </c>
      <c r="J4" s="289">
        <f>+I4-L40</f>
        <v>0</v>
      </c>
      <c r="M4" s="46"/>
    </row>
    <row r="5" spans="1:35" x14ac:dyDescent="0.35">
      <c r="A5" s="19" t="s">
        <v>94</v>
      </c>
      <c r="B5" s="19"/>
      <c r="C5" s="19"/>
      <c r="D5" s="21">
        <f t="shared" ref="D5:D6" si="0">SUM(C21:L21)</f>
        <v>-67294.36</v>
      </c>
      <c r="E5" s="21">
        <f t="shared" ref="E5:E6" si="1">SUM(C27:K27)</f>
        <v>0</v>
      </c>
      <c r="F5" s="21">
        <f t="shared" ref="F5:F6" si="2">E5-D5</f>
        <v>67294.36</v>
      </c>
      <c r="G5" s="21">
        <f t="shared" ref="G5:G6" si="3">+B41</f>
        <v>-126058.58</v>
      </c>
      <c r="H5" s="21">
        <f t="shared" ref="H5:H6" si="4">SUM(C48:K48)</f>
        <v>-2794.9900000000002</v>
      </c>
      <c r="I5" s="24">
        <f t="shared" ref="I5:I6" si="5">SUM(F5:H5)</f>
        <v>-61559.21</v>
      </c>
      <c r="J5" s="289">
        <f>+I5-L41</f>
        <v>0</v>
      </c>
      <c r="M5" s="46"/>
    </row>
    <row r="6" spans="1:35" x14ac:dyDescent="0.35">
      <c r="A6" s="19" t="s">
        <v>95</v>
      </c>
      <c r="B6" s="19"/>
      <c r="C6" s="19"/>
      <c r="D6" s="21">
        <f t="shared" si="0"/>
        <v>-62347.68</v>
      </c>
      <c r="E6" s="21">
        <f t="shared" si="1"/>
        <v>0</v>
      </c>
      <c r="F6" s="21">
        <f t="shared" si="2"/>
        <v>62347.68</v>
      </c>
      <c r="G6" s="21">
        <f t="shared" si="3"/>
        <v>-120988.99999999999</v>
      </c>
      <c r="H6" s="21">
        <f t="shared" si="4"/>
        <v>-2736.6499999999996</v>
      </c>
      <c r="I6" s="24">
        <f t="shared" si="5"/>
        <v>-61377.969999999987</v>
      </c>
      <c r="J6" s="289">
        <f>+I6-L42</f>
        <v>0</v>
      </c>
      <c r="M6" s="46"/>
    </row>
    <row r="7" spans="1:35" ht="15" thickBot="1" x14ac:dyDescent="0.4">
      <c r="A7" s="19" t="s">
        <v>96</v>
      </c>
      <c r="B7" s="19"/>
      <c r="C7" s="19"/>
      <c r="D7" s="21">
        <f>SUM(C23:L23)</f>
        <v>-48771.44</v>
      </c>
      <c r="E7" s="21">
        <f>SUM(C29:K29)</f>
        <v>0</v>
      </c>
      <c r="F7" s="21">
        <f>E7-D7</f>
        <v>48771.44</v>
      </c>
      <c r="G7" s="21">
        <f>+B43</f>
        <v>-89031.530000000028</v>
      </c>
      <c r="H7" s="21">
        <f>SUM(C50:K50)</f>
        <v>-1980.5899999999997</v>
      </c>
      <c r="I7" s="24">
        <f>SUM(F7:H7)</f>
        <v>-42240.680000000022</v>
      </c>
      <c r="J7" s="289">
        <f>+I7-L43</f>
        <v>0</v>
      </c>
      <c r="M7" s="46"/>
    </row>
    <row r="8" spans="1:35" ht="15.5" thickTop="1" thickBot="1" x14ac:dyDescent="0.4">
      <c r="D8" s="26">
        <f t="shared" ref="D8" si="6">SUM(D4:D7)</f>
        <v>-378327.54000000004</v>
      </c>
      <c r="E8" s="26">
        <f>SUM(E4:E7)</f>
        <v>0</v>
      </c>
      <c r="F8" s="26">
        <f>SUM(F4:F7)</f>
        <v>378327.54000000004</v>
      </c>
      <c r="G8" s="26">
        <f>SUM(G4:G7)</f>
        <v>-759599.22999999986</v>
      </c>
      <c r="H8" s="26">
        <f>SUM(H4:H7)</f>
        <v>-17234.689999999999</v>
      </c>
      <c r="I8" s="26">
        <f>SUM(I4:I7)</f>
        <v>-398506.37999999977</v>
      </c>
      <c r="T8" s="5"/>
    </row>
    <row r="9" spans="1:35" ht="15.75" customHeight="1" thickTop="1" x14ac:dyDescent="0.35">
      <c r="Q9" s="363"/>
    </row>
    <row r="10" spans="1:35" x14ac:dyDescent="0.35">
      <c r="K10" s="38"/>
      <c r="Q10" s="363"/>
    </row>
    <row r="11" spans="1:35" x14ac:dyDescent="0.35">
      <c r="K11" s="38"/>
      <c r="Q11" s="363"/>
    </row>
    <row r="12" spans="1:35" x14ac:dyDescent="0.35">
      <c r="K12" s="38"/>
      <c r="Q12" s="363"/>
    </row>
    <row r="13" spans="1:35" x14ac:dyDescent="0.35">
      <c r="Q13" s="363"/>
      <c r="V13" s="4"/>
    </row>
    <row r="14" spans="1:35" ht="15" thickBot="1" x14ac:dyDescent="0.4">
      <c r="V14" s="4"/>
      <c r="W14" s="5"/>
    </row>
    <row r="15" spans="1:35" ht="116.5" thickBot="1" x14ac:dyDescent="0.4">
      <c r="B15" s="110" t="str">
        <f>+'PCR Cycle 4'!B10</f>
        <v>Cumulative Over/Under Carryover From 12/01/2024 Filing</v>
      </c>
      <c r="C15" s="140" t="str">
        <f>+'PCR Cycle 4'!C10</f>
        <v>Reverse November 2024 - January 2025 Forecast From 12/01/2024 Filing</v>
      </c>
      <c r="D15" s="530" t="s">
        <v>28</v>
      </c>
      <c r="E15" s="530"/>
      <c r="F15" s="531"/>
      <c r="G15" s="541" t="s">
        <v>28</v>
      </c>
      <c r="H15" s="542"/>
      <c r="I15" s="543"/>
      <c r="J15" s="535" t="s">
        <v>6</v>
      </c>
      <c r="K15" s="536"/>
      <c r="L15" s="537"/>
      <c r="O15" s="264" t="s">
        <v>196</v>
      </c>
    </row>
    <row r="16" spans="1:35" x14ac:dyDescent="0.35">
      <c r="A16" s="45" t="s">
        <v>80</v>
      </c>
      <c r="C16" s="100"/>
      <c r="D16" s="377">
        <f>+'PCR Cycle 4'!E$11</f>
        <v>45626</v>
      </c>
      <c r="E16" s="377">
        <f>+'PCR Cycle 4'!E$11</f>
        <v>45626</v>
      </c>
      <c r="F16" s="377">
        <f>+'PCR Cycle 4'!F$11</f>
        <v>45657</v>
      </c>
      <c r="G16" s="372">
        <f>+'PCR Cycle 4'!G$11</f>
        <v>45688</v>
      </c>
      <c r="H16" s="377">
        <f>+'PCR Cycle 4'!H$11</f>
        <v>45716</v>
      </c>
      <c r="I16" s="373">
        <f>+'PCR Cycle 4'!I$11</f>
        <v>45747</v>
      </c>
      <c r="J16" s="377">
        <f>+'PCR Cycle 4'!J$11</f>
        <v>45777</v>
      </c>
      <c r="K16" s="377">
        <f>+'PCR Cycle 4'!K$11</f>
        <v>45808</v>
      </c>
      <c r="L16" s="431">
        <f>+'PCR Cycle 4'!L$11</f>
        <v>45838</v>
      </c>
      <c r="Z16" s="1"/>
      <c r="AA16" s="1"/>
      <c r="AB16" s="1"/>
      <c r="AC16" s="1"/>
      <c r="AD16" s="1"/>
      <c r="AE16" s="1"/>
      <c r="AF16" s="1"/>
      <c r="AG16" s="1"/>
      <c r="AH16" s="1"/>
      <c r="AI16" s="1"/>
    </row>
    <row r="17" spans="1:17" x14ac:dyDescent="0.35">
      <c r="A17" s="45" t="s">
        <v>3</v>
      </c>
      <c r="C17" s="94">
        <v>0</v>
      </c>
      <c r="D17" s="104">
        <f>SUM(D26:D29)</f>
        <v>0</v>
      </c>
      <c r="E17" s="104">
        <f t="shared" ref="E17:H17" si="7">SUM(E26:E29)</f>
        <v>0</v>
      </c>
      <c r="F17" s="105">
        <f t="shared" si="7"/>
        <v>0</v>
      </c>
      <c r="G17" s="15">
        <f t="shared" si="7"/>
        <v>0</v>
      </c>
      <c r="H17" s="54">
        <f t="shared" si="7"/>
        <v>0</v>
      </c>
      <c r="I17" s="151">
        <f>+I26+I29</f>
        <v>0</v>
      </c>
      <c r="J17" s="144">
        <f t="shared" ref="J17:K17" si="8">+J26+J29</f>
        <v>0</v>
      </c>
      <c r="K17" s="75">
        <f t="shared" si="8"/>
        <v>0</v>
      </c>
      <c r="L17" s="76"/>
      <c r="O17" s="46">
        <f>-SUM(J17:L17)</f>
        <v>0</v>
      </c>
    </row>
    <row r="18" spans="1:17" x14ac:dyDescent="0.35">
      <c r="C18" s="96"/>
      <c r="D18" s="16"/>
      <c r="E18" s="16"/>
      <c r="F18" s="16"/>
      <c r="G18" s="27"/>
      <c r="H18" s="16"/>
      <c r="I18" s="10"/>
      <c r="J18" s="30"/>
      <c r="K18" s="30"/>
      <c r="L18" s="28"/>
    </row>
    <row r="19" spans="1:17" x14ac:dyDescent="0.35">
      <c r="A19" s="45" t="s">
        <v>79</v>
      </c>
      <c r="C19" s="96"/>
      <c r="D19" s="17"/>
      <c r="E19" s="17"/>
      <c r="F19" s="17"/>
      <c r="G19" s="249"/>
      <c r="H19" s="17"/>
      <c r="I19" s="152"/>
      <c r="J19" s="30"/>
      <c r="K19" s="30"/>
      <c r="L19" s="28"/>
      <c r="M19" s="412" t="s">
        <v>44</v>
      </c>
      <c r="N19" s="38"/>
    </row>
    <row r="20" spans="1:17" x14ac:dyDescent="0.35">
      <c r="A20" s="45" t="s">
        <v>22</v>
      </c>
      <c r="C20" s="94">
        <v>19341.439999999999</v>
      </c>
      <c r="D20" s="124">
        <f>ROUND('[10]November 2024'!$G104,2)</f>
        <v>-4100.28</v>
      </c>
      <c r="E20" s="124">
        <f>ROUND('[10]December 2024'!$G104,2)</f>
        <v>-5996.48</v>
      </c>
      <c r="F20" s="124">
        <f>ROUND('[10]January 2025'!$G104,2)</f>
        <v>-7624.72</v>
      </c>
      <c r="G20" s="15">
        <f>ROUND('[10]February 2025'!$G104,2)</f>
        <v>-45020.480000000003</v>
      </c>
      <c r="H20" s="54">
        <f>ROUND('[10]March 2025'!$G104,2)</f>
        <v>-35299.75</v>
      </c>
      <c r="I20" s="151">
        <f>ROUND('[10]April 2025'!$G104,2)</f>
        <v>-23181.49</v>
      </c>
      <c r="J20" s="114">
        <f>ROUND('PCR Cycle 4'!K20*$M20,2)</f>
        <v>-24413.45</v>
      </c>
      <c r="K20" s="40">
        <f>ROUND('PCR Cycle 4'!L20*$M20,2)</f>
        <v>-30832.25</v>
      </c>
      <c r="L20" s="60">
        <f>ROUND('PCR Cycle 4'!M20*$M20,2)</f>
        <v>-42786.6</v>
      </c>
      <c r="M20" s="71">
        <v>-1.1E-4</v>
      </c>
      <c r="N20" s="4"/>
      <c r="O20" s="46">
        <f>-SUM(J20:L20)</f>
        <v>98032.299999999988</v>
      </c>
    </row>
    <row r="21" spans="1:17" x14ac:dyDescent="0.35">
      <c r="A21" s="45" t="s">
        <v>94</v>
      </c>
      <c r="C21" s="94">
        <v>0</v>
      </c>
      <c r="D21" s="445">
        <f>ROUND('[10]November 2024'!$G105,2)</f>
        <v>0</v>
      </c>
      <c r="E21" s="124">
        <f>ROUND('[10]December 2024'!$G105,2)</f>
        <v>0</v>
      </c>
      <c r="F21" s="124">
        <f>ROUND('[10]January 2025'!$G105,2)</f>
        <v>-9.81</v>
      </c>
      <c r="G21" s="15">
        <f>ROUND('[10]February 2025'!$G105,2)</f>
        <v>-13810.3</v>
      </c>
      <c r="H21" s="54">
        <f>ROUND('[10]March 2025'!$G105,2)</f>
        <v>-11652.24</v>
      </c>
      <c r="I21" s="151">
        <f>ROUND('[10]April 2025'!$G105,2)</f>
        <v>-9756.35</v>
      </c>
      <c r="J21" s="114">
        <f>ROUND('PCR Cycle 4'!K21*$M21,2)</f>
        <v>-9531.4599999999991</v>
      </c>
      <c r="K21" s="40">
        <f>ROUND('PCR Cycle 4'!L21*$M21,2)</f>
        <v>-10638.7</v>
      </c>
      <c r="L21" s="60">
        <f>ROUND('PCR Cycle 4'!M21*$M21,2)</f>
        <v>-11895.5</v>
      </c>
      <c r="M21" s="71">
        <v>-1E-4</v>
      </c>
      <c r="N21" s="4"/>
      <c r="O21" s="46">
        <f t="shared" ref="O21:O23" si="9">-SUM(J21:L21)</f>
        <v>32065.66</v>
      </c>
    </row>
    <row r="22" spans="1:17" x14ac:dyDescent="0.35">
      <c r="A22" s="45" t="s">
        <v>95</v>
      </c>
      <c r="C22" s="94">
        <v>0</v>
      </c>
      <c r="D22" s="445">
        <f>ROUND('[10]November 2024'!$G106,2)</f>
        <v>0</v>
      </c>
      <c r="E22" s="124">
        <f>ROUND('[10]December 2024'!$G106,2)</f>
        <v>0</v>
      </c>
      <c r="F22" s="124">
        <f>ROUND('[10]January 2025'!$G106,2)</f>
        <v>0</v>
      </c>
      <c r="G22" s="15">
        <f>ROUND('[10]February 2025'!$G106,2)</f>
        <v>-11454.03</v>
      </c>
      <c r="H22" s="54">
        <f>ROUND('[10]March 2025'!$G106,2)</f>
        <v>-10091.969999999999</v>
      </c>
      <c r="I22" s="151">
        <f>ROUND('[10]April 2025'!$G106,2)</f>
        <v>-9350.0499999999993</v>
      </c>
      <c r="J22" s="114">
        <f>ROUND('PCR Cycle 4'!K22*$M22,2)</f>
        <v>-9348.94</v>
      </c>
      <c r="K22" s="40">
        <f>ROUND('PCR Cycle 4'!L22*$M22,2)</f>
        <v>-10434.98</v>
      </c>
      <c r="L22" s="60">
        <f>ROUND('PCR Cycle 4'!M22*$M22,2)</f>
        <v>-11667.71</v>
      </c>
      <c r="M22" s="71">
        <v>-1.2E-4</v>
      </c>
      <c r="N22" s="4"/>
      <c r="O22" s="46">
        <f t="shared" si="9"/>
        <v>31451.629999999997</v>
      </c>
    </row>
    <row r="23" spans="1:17" x14ac:dyDescent="0.35">
      <c r="A23" s="45" t="s">
        <v>96</v>
      </c>
      <c r="C23" s="94">
        <v>0</v>
      </c>
      <c r="D23" s="445">
        <f>ROUND('[10]November 2024'!$G107,2)</f>
        <v>0</v>
      </c>
      <c r="E23" s="124">
        <f>ROUND('[10]December 2024'!$G107,2)</f>
        <v>0</v>
      </c>
      <c r="F23" s="124">
        <f>ROUND('[10]January 2025'!$G107,2)</f>
        <v>0</v>
      </c>
      <c r="G23" s="15">
        <f>ROUND('[10]February 2025'!$G107,2)</f>
        <v>-8448.5</v>
      </c>
      <c r="H23" s="54">
        <f>ROUND('[10]March 2025'!$G107,2)</f>
        <v>-8297.34</v>
      </c>
      <c r="I23" s="151">
        <f>ROUND('[10]April 2025'!$G107,2)</f>
        <v>-8355.42</v>
      </c>
      <c r="J23" s="114">
        <f>ROUND('PCR Cycle 4'!K23*$M23,2)</f>
        <v>-7035.92</v>
      </c>
      <c r="K23" s="40">
        <f>ROUND('PCR Cycle 4'!L23*$M23,2)</f>
        <v>-7853.26</v>
      </c>
      <c r="L23" s="60">
        <f>ROUND('PCR Cycle 4'!M23*$M23,2)</f>
        <v>-8781</v>
      </c>
      <c r="M23" s="71">
        <v>-1.2999999999999999E-4</v>
      </c>
      <c r="N23" s="4"/>
      <c r="O23" s="46">
        <f t="shared" si="9"/>
        <v>23670.18</v>
      </c>
    </row>
    <row r="24" spans="1:17" x14ac:dyDescent="0.35">
      <c r="C24" s="66"/>
      <c r="D24" s="67"/>
      <c r="E24" s="67"/>
      <c r="F24" s="67"/>
      <c r="G24" s="95"/>
      <c r="H24" s="67"/>
      <c r="I24" s="153"/>
      <c r="J24" s="55"/>
      <c r="K24" s="55"/>
      <c r="L24" s="12"/>
      <c r="N24" s="4"/>
    </row>
    <row r="25" spans="1:17" x14ac:dyDescent="0.35">
      <c r="A25" s="45" t="s">
        <v>81</v>
      </c>
      <c r="C25" s="35"/>
      <c r="D25" s="36"/>
      <c r="E25" s="36"/>
      <c r="F25" s="36"/>
      <c r="G25" s="35"/>
      <c r="H25" s="36"/>
      <c r="I25" s="155"/>
      <c r="J25" s="51"/>
      <c r="K25" s="51"/>
      <c r="L25" s="37"/>
    </row>
    <row r="26" spans="1:17" x14ac:dyDescent="0.35">
      <c r="A26" s="45" t="s">
        <v>22</v>
      </c>
      <c r="C26" s="94">
        <v>0</v>
      </c>
      <c r="D26" s="104">
        <v>0</v>
      </c>
      <c r="E26" s="104">
        <v>0</v>
      </c>
      <c r="F26" s="105">
        <v>0</v>
      </c>
      <c r="G26" s="15">
        <v>0</v>
      </c>
      <c r="H26" s="54">
        <v>0</v>
      </c>
      <c r="I26" s="151">
        <v>0</v>
      </c>
      <c r="J26" s="146">
        <v>0</v>
      </c>
      <c r="K26" s="130">
        <v>0</v>
      </c>
      <c r="L26" s="76"/>
      <c r="O26" s="46">
        <f>-SUM(J26:L26)</f>
        <v>0</v>
      </c>
    </row>
    <row r="27" spans="1:17" x14ac:dyDescent="0.35">
      <c r="A27" s="45" t="s">
        <v>94</v>
      </c>
      <c r="C27" s="94">
        <v>0</v>
      </c>
      <c r="D27" s="104">
        <v>0</v>
      </c>
      <c r="E27" s="104">
        <v>0</v>
      </c>
      <c r="F27" s="105">
        <v>0</v>
      </c>
      <c r="G27" s="15">
        <v>0</v>
      </c>
      <c r="H27" s="54">
        <v>0</v>
      </c>
      <c r="I27" s="151">
        <v>0</v>
      </c>
      <c r="J27" s="146">
        <v>0</v>
      </c>
      <c r="K27" s="130">
        <v>0</v>
      </c>
      <c r="L27" s="76"/>
      <c r="O27" s="46">
        <f t="shared" ref="O27:O31" si="10">-SUM(J27:L27)</f>
        <v>0</v>
      </c>
    </row>
    <row r="28" spans="1:17" x14ac:dyDescent="0.35">
      <c r="A28" s="45" t="s">
        <v>95</v>
      </c>
      <c r="C28" s="94">
        <v>0</v>
      </c>
      <c r="D28" s="104">
        <v>0</v>
      </c>
      <c r="E28" s="104">
        <v>0</v>
      </c>
      <c r="F28" s="105">
        <v>0</v>
      </c>
      <c r="G28" s="15">
        <v>0</v>
      </c>
      <c r="H28" s="54">
        <v>0</v>
      </c>
      <c r="I28" s="151">
        <v>0</v>
      </c>
      <c r="J28" s="146">
        <v>0</v>
      </c>
      <c r="K28" s="130">
        <v>0</v>
      </c>
      <c r="L28" s="76"/>
      <c r="O28" s="46">
        <f t="shared" si="10"/>
        <v>0</v>
      </c>
    </row>
    <row r="29" spans="1:17" x14ac:dyDescent="0.35">
      <c r="A29" s="45" t="s">
        <v>96</v>
      </c>
      <c r="C29" s="94">
        <v>0</v>
      </c>
      <c r="D29" s="104">
        <v>0</v>
      </c>
      <c r="E29" s="104">
        <v>0</v>
      </c>
      <c r="F29" s="105">
        <v>0</v>
      </c>
      <c r="G29" s="15">
        <v>0</v>
      </c>
      <c r="H29" s="54">
        <v>0</v>
      </c>
      <c r="I29" s="151">
        <v>0</v>
      </c>
      <c r="J29" s="146">
        <v>0</v>
      </c>
      <c r="K29" s="130">
        <v>0</v>
      </c>
      <c r="L29" s="76"/>
      <c r="N29" s="46"/>
      <c r="O29" s="46">
        <f t="shared" si="10"/>
        <v>0</v>
      </c>
    </row>
    <row r="30" spans="1:17" x14ac:dyDescent="0.35">
      <c r="C30" s="96"/>
      <c r="D30" s="17"/>
      <c r="E30" s="17"/>
      <c r="F30" s="17"/>
      <c r="G30" s="249"/>
      <c r="H30" s="17"/>
      <c r="I30" s="152"/>
      <c r="J30" s="55"/>
      <c r="K30" s="55"/>
      <c r="L30" s="12"/>
    </row>
    <row r="31" spans="1:17" ht="15" thickBot="1" x14ac:dyDescent="0.4">
      <c r="A31" s="3" t="s">
        <v>12</v>
      </c>
      <c r="B31" s="3"/>
      <c r="C31" s="98">
        <v>7673.54</v>
      </c>
      <c r="D31" s="124">
        <v>-3735.73</v>
      </c>
      <c r="E31" s="124">
        <v>-3600.7200000000003</v>
      </c>
      <c r="F31" s="125">
        <v>-3525.8700000000003</v>
      </c>
      <c r="G31" s="25">
        <v>-3348.0099999999998</v>
      </c>
      <c r="H31" s="113">
        <v>-3033.26</v>
      </c>
      <c r="I31" s="156">
        <v>-2783.0099999999998</v>
      </c>
      <c r="J31" s="147">
        <f>ROUND((SUM(I40:I43)+SUM(I47:I50)+SUM(J34:J37)/2)*J$45,2)</f>
        <v>-2562.25</v>
      </c>
      <c r="K31" s="132">
        <f>ROUND((SUM(J40:J43)+SUM(J47:J50)+SUM(K34:K37)/2)*K$45,2)</f>
        <v>-2319.38</v>
      </c>
      <c r="L31" s="79"/>
      <c r="O31" s="46">
        <f t="shared" si="10"/>
        <v>4881.63</v>
      </c>
      <c r="Q31" s="325"/>
    </row>
    <row r="32" spans="1:17" x14ac:dyDescent="0.35">
      <c r="C32" s="63"/>
      <c r="D32" s="136"/>
      <c r="E32" s="136"/>
      <c r="F32" s="137"/>
      <c r="G32" s="63"/>
      <c r="H32" s="32"/>
      <c r="I32" s="157"/>
      <c r="J32" s="33"/>
      <c r="K32" s="33"/>
      <c r="L32" s="59"/>
    </row>
    <row r="33" spans="1:15" x14ac:dyDescent="0.35">
      <c r="A33" s="45" t="s">
        <v>46</v>
      </c>
      <c r="C33" s="64"/>
      <c r="D33" s="137"/>
      <c r="E33" s="137"/>
      <c r="F33" s="137"/>
      <c r="G33" s="250"/>
      <c r="H33" s="34"/>
      <c r="I33" s="158"/>
      <c r="J33" s="33"/>
      <c r="K33" s="33"/>
      <c r="L33" s="59"/>
    </row>
    <row r="34" spans="1:15" x14ac:dyDescent="0.35">
      <c r="A34" s="45" t="s">
        <v>22</v>
      </c>
      <c r="C34" s="97">
        <f>C26-C20</f>
        <v>-19341.439999999999</v>
      </c>
      <c r="D34" s="40">
        <f t="shared" ref="D34:L34" si="11">D26-D20</f>
        <v>4100.28</v>
      </c>
      <c r="E34" s="40">
        <f t="shared" si="11"/>
        <v>5996.48</v>
      </c>
      <c r="F34" s="103">
        <f t="shared" si="11"/>
        <v>7624.72</v>
      </c>
      <c r="G34" s="39">
        <f t="shared" si="11"/>
        <v>45020.480000000003</v>
      </c>
      <c r="H34" s="40">
        <f t="shared" si="11"/>
        <v>35299.75</v>
      </c>
      <c r="I34" s="60">
        <f t="shared" si="11"/>
        <v>23181.49</v>
      </c>
      <c r="J34" s="114">
        <f t="shared" si="11"/>
        <v>24413.45</v>
      </c>
      <c r="K34" s="40">
        <f t="shared" si="11"/>
        <v>30832.25</v>
      </c>
      <c r="L34" s="60">
        <f t="shared" si="11"/>
        <v>42786.6</v>
      </c>
    </row>
    <row r="35" spans="1:15" x14ac:dyDescent="0.35">
      <c r="A35" s="45" t="s">
        <v>94</v>
      </c>
      <c r="C35" s="97">
        <f t="shared" ref="C35:L35" si="12">C27-C21</f>
        <v>0</v>
      </c>
      <c r="D35" s="40">
        <f t="shared" si="12"/>
        <v>0</v>
      </c>
      <c r="E35" s="40">
        <f t="shared" si="12"/>
        <v>0</v>
      </c>
      <c r="F35" s="103">
        <f t="shared" si="12"/>
        <v>9.81</v>
      </c>
      <c r="G35" s="39">
        <f t="shared" si="12"/>
        <v>13810.3</v>
      </c>
      <c r="H35" s="40">
        <f t="shared" si="12"/>
        <v>11652.24</v>
      </c>
      <c r="I35" s="60">
        <f t="shared" si="12"/>
        <v>9756.35</v>
      </c>
      <c r="J35" s="114">
        <f t="shared" si="12"/>
        <v>9531.4599999999991</v>
      </c>
      <c r="K35" s="40">
        <f t="shared" si="12"/>
        <v>10638.7</v>
      </c>
      <c r="L35" s="60">
        <f t="shared" si="12"/>
        <v>11895.5</v>
      </c>
    </row>
    <row r="36" spans="1:15" x14ac:dyDescent="0.35">
      <c r="A36" s="45" t="s">
        <v>95</v>
      </c>
      <c r="C36" s="97">
        <f t="shared" ref="C36:L36" si="13">C28-C22</f>
        <v>0</v>
      </c>
      <c r="D36" s="40">
        <f t="shared" si="13"/>
        <v>0</v>
      </c>
      <c r="E36" s="40">
        <f t="shared" si="13"/>
        <v>0</v>
      </c>
      <c r="F36" s="103">
        <f t="shared" si="13"/>
        <v>0</v>
      </c>
      <c r="G36" s="39">
        <f t="shared" si="13"/>
        <v>11454.03</v>
      </c>
      <c r="H36" s="40">
        <f t="shared" si="13"/>
        <v>10091.969999999999</v>
      </c>
      <c r="I36" s="60">
        <f t="shared" si="13"/>
        <v>9350.0499999999993</v>
      </c>
      <c r="J36" s="114">
        <f t="shared" si="13"/>
        <v>9348.94</v>
      </c>
      <c r="K36" s="40">
        <f t="shared" si="13"/>
        <v>10434.98</v>
      </c>
      <c r="L36" s="60">
        <f t="shared" si="13"/>
        <v>11667.71</v>
      </c>
    </row>
    <row r="37" spans="1:15" x14ac:dyDescent="0.35">
      <c r="A37" s="45" t="s">
        <v>96</v>
      </c>
      <c r="C37" s="97">
        <f t="shared" ref="C37:L37" si="14">C29-C23</f>
        <v>0</v>
      </c>
      <c r="D37" s="40">
        <f t="shared" si="14"/>
        <v>0</v>
      </c>
      <c r="E37" s="40">
        <f t="shared" si="14"/>
        <v>0</v>
      </c>
      <c r="F37" s="103">
        <f t="shared" si="14"/>
        <v>0</v>
      </c>
      <c r="G37" s="39">
        <f t="shared" si="14"/>
        <v>8448.5</v>
      </c>
      <c r="H37" s="40">
        <f t="shared" si="14"/>
        <v>8297.34</v>
      </c>
      <c r="I37" s="60">
        <f t="shared" si="14"/>
        <v>8355.42</v>
      </c>
      <c r="J37" s="114">
        <f t="shared" si="14"/>
        <v>7035.92</v>
      </c>
      <c r="K37" s="40">
        <f t="shared" si="14"/>
        <v>7853.26</v>
      </c>
      <c r="L37" s="60">
        <f t="shared" si="14"/>
        <v>8781</v>
      </c>
    </row>
    <row r="38" spans="1:15" x14ac:dyDescent="0.35">
      <c r="C38" s="96"/>
      <c r="D38" s="16"/>
      <c r="E38" s="16"/>
      <c r="F38" s="16"/>
      <c r="G38" s="27"/>
      <c r="H38" s="16"/>
      <c r="I38" s="10"/>
      <c r="J38" s="16"/>
      <c r="K38" s="16"/>
      <c r="L38" s="10"/>
    </row>
    <row r="39" spans="1:15" ht="15" thickBot="1" x14ac:dyDescent="0.4">
      <c r="A39" s="45" t="s">
        <v>47</v>
      </c>
      <c r="C39" s="96"/>
      <c r="D39" s="16"/>
      <c r="E39" s="16"/>
      <c r="F39" s="16"/>
      <c r="G39" s="27"/>
      <c r="H39" s="16"/>
      <c r="I39" s="10"/>
      <c r="J39" s="16"/>
      <c r="K39" s="16"/>
      <c r="L39" s="10"/>
    </row>
    <row r="40" spans="1:15" x14ac:dyDescent="0.35">
      <c r="A40" s="45" t="s">
        <v>22</v>
      </c>
      <c r="B40" s="309">
        <v>-423520.11999999982</v>
      </c>
      <c r="C40" s="97">
        <f>B40+C34+B47</f>
        <v>-442861.55999999982</v>
      </c>
      <c r="D40" s="40">
        <f t="shared" ref="D40:L40" si="15">C40+D34+C47</f>
        <v>-434420.92999999982</v>
      </c>
      <c r="E40" s="40">
        <f t="shared" si="15"/>
        <v>-430544.17999999982</v>
      </c>
      <c r="F40" s="103">
        <f t="shared" si="15"/>
        <v>-424952.34999999986</v>
      </c>
      <c r="G40" s="39">
        <f t="shared" si="15"/>
        <v>-381908.83999999985</v>
      </c>
      <c r="H40" s="40">
        <f t="shared" si="15"/>
        <v>-348476.58999999985</v>
      </c>
      <c r="I40" s="60">
        <f t="shared" si="15"/>
        <v>-326987.13999999984</v>
      </c>
      <c r="J40" s="114">
        <f t="shared" si="15"/>
        <v>-304140.51999999984</v>
      </c>
      <c r="K40" s="40">
        <f t="shared" si="15"/>
        <v>-274772.21999999986</v>
      </c>
      <c r="L40" s="60">
        <f t="shared" si="15"/>
        <v>-233328.51999999984</v>
      </c>
    </row>
    <row r="41" spans="1:15" x14ac:dyDescent="0.35">
      <c r="A41" s="45" t="s">
        <v>94</v>
      </c>
      <c r="B41" s="310">
        <v>-126058.58</v>
      </c>
      <c r="C41" s="97">
        <f t="shared" ref="C41:L41" si="16">B41+C35+B48</f>
        <v>-126058.58</v>
      </c>
      <c r="D41" s="40">
        <f t="shared" si="16"/>
        <v>-124808.34</v>
      </c>
      <c r="E41" s="40">
        <f t="shared" si="16"/>
        <v>-125414.48</v>
      </c>
      <c r="F41" s="103">
        <f t="shared" si="16"/>
        <v>-125992.74</v>
      </c>
      <c r="G41" s="39">
        <f t="shared" si="16"/>
        <v>-112763.40000000001</v>
      </c>
      <c r="H41" s="40">
        <f t="shared" si="16"/>
        <v>-101663.76000000001</v>
      </c>
      <c r="I41" s="60">
        <f t="shared" si="16"/>
        <v>-92404.17</v>
      </c>
      <c r="J41" s="114">
        <f t="shared" si="16"/>
        <v>-83322.899999999994</v>
      </c>
      <c r="K41" s="40">
        <f t="shared" si="16"/>
        <v>-73091.849999999991</v>
      </c>
      <c r="L41" s="60">
        <f t="shared" si="16"/>
        <v>-61559.209999999992</v>
      </c>
    </row>
    <row r="42" spans="1:15" x14ac:dyDescent="0.35">
      <c r="A42" s="45" t="s">
        <v>95</v>
      </c>
      <c r="B42" s="310">
        <v>-120988.99999999999</v>
      </c>
      <c r="C42" s="97">
        <f t="shared" ref="C42:L42" si="17">B42+C36+B49</f>
        <v>-120988.99999999999</v>
      </c>
      <c r="D42" s="40">
        <f t="shared" si="17"/>
        <v>-119789.04999999999</v>
      </c>
      <c r="E42" s="40">
        <f t="shared" si="17"/>
        <v>-120370.80999999998</v>
      </c>
      <c r="F42" s="103">
        <f t="shared" si="17"/>
        <v>-120935.22999999998</v>
      </c>
      <c r="G42" s="39">
        <f t="shared" si="17"/>
        <v>-110038.80999999998</v>
      </c>
      <c r="H42" s="40">
        <f t="shared" si="17"/>
        <v>-100481.41999999998</v>
      </c>
      <c r="I42" s="60">
        <f t="shared" si="17"/>
        <v>-91619.059999999983</v>
      </c>
      <c r="J42" s="114">
        <f t="shared" si="17"/>
        <v>-82715.739999999976</v>
      </c>
      <c r="K42" s="40">
        <f t="shared" si="17"/>
        <v>-72685.169999999984</v>
      </c>
      <c r="L42" s="60">
        <f t="shared" si="17"/>
        <v>-61377.969999999987</v>
      </c>
    </row>
    <row r="43" spans="1:15" ht="15" thickBot="1" x14ac:dyDescent="0.4">
      <c r="A43" s="45" t="s">
        <v>96</v>
      </c>
      <c r="B43" s="311">
        <v>-89031.530000000028</v>
      </c>
      <c r="C43" s="97">
        <f t="shared" ref="C43:L43" si="18">B43+C37+B50</f>
        <v>-89031.530000000028</v>
      </c>
      <c r="D43" s="40">
        <f t="shared" si="18"/>
        <v>-88148.530000000028</v>
      </c>
      <c r="E43" s="40">
        <f t="shared" si="18"/>
        <v>-88576.630000000034</v>
      </c>
      <c r="F43" s="103">
        <f t="shared" si="18"/>
        <v>-88991.97000000003</v>
      </c>
      <c r="G43" s="39">
        <f t="shared" si="18"/>
        <v>-80953.800000000032</v>
      </c>
      <c r="H43" s="40">
        <f t="shared" si="18"/>
        <v>-73049.790000000037</v>
      </c>
      <c r="I43" s="60">
        <f t="shared" si="18"/>
        <v>-65051.140000000036</v>
      </c>
      <c r="J43" s="114">
        <f t="shared" si="18"/>
        <v>-58335.59000000004</v>
      </c>
      <c r="K43" s="40">
        <f t="shared" si="18"/>
        <v>-50768.570000000036</v>
      </c>
      <c r="L43" s="60">
        <f t="shared" si="18"/>
        <v>-42240.680000000037</v>
      </c>
    </row>
    <row r="44" spans="1:15" x14ac:dyDescent="0.35">
      <c r="C44" s="96"/>
      <c r="D44" s="16"/>
      <c r="E44" s="16"/>
      <c r="F44" s="16"/>
      <c r="G44" s="9"/>
      <c r="H44" s="16"/>
      <c r="I44" s="10"/>
      <c r="J44" s="16"/>
      <c r="K44" s="16"/>
      <c r="L44" s="10"/>
    </row>
    <row r="45" spans="1:15" x14ac:dyDescent="0.35">
      <c r="A45" s="38" t="s">
        <v>77</v>
      </c>
      <c r="B45" s="38"/>
      <c r="C45" s="99"/>
      <c r="D45" s="292">
        <f>'PCR Cycle 3'!E45</f>
        <v>4.8565300000000004E-3</v>
      </c>
      <c r="E45" s="292">
        <f>'PCR Cycle 3'!F45</f>
        <v>4.6890200000000003E-3</v>
      </c>
      <c r="F45" s="292">
        <f>'PCR Cycle 3'!G45</f>
        <v>4.6108499999999997E-3</v>
      </c>
      <c r="G45" s="293">
        <f>'PCR Cycle 3'!H45</f>
        <v>4.6177400000000004E-3</v>
      </c>
      <c r="H45" s="292">
        <f>'PCR Cycle 3'!I45</f>
        <v>4.62145E-3</v>
      </c>
      <c r="I45" s="294">
        <f>'PCR Cycle 3'!J45</f>
        <v>4.6276800000000003E-3</v>
      </c>
      <c r="J45" s="355">
        <f>I45</f>
        <v>4.6276800000000003E-3</v>
      </c>
      <c r="K45" s="355">
        <f>I45</f>
        <v>4.6276800000000003E-3</v>
      </c>
      <c r="L45" s="82"/>
    </row>
    <row r="46" spans="1:15" x14ac:dyDescent="0.35">
      <c r="A46" s="38" t="s">
        <v>31</v>
      </c>
      <c r="B46" s="38"/>
      <c r="C46" s="101"/>
      <c r="D46" s="80"/>
      <c r="E46" s="80"/>
      <c r="F46" s="80"/>
      <c r="G46" s="81"/>
      <c r="H46" s="80"/>
      <c r="I46" s="82"/>
      <c r="J46" s="80"/>
      <c r="K46" s="80"/>
      <c r="L46" s="82"/>
    </row>
    <row r="47" spans="1:15" x14ac:dyDescent="0.35">
      <c r="A47" s="45" t="s">
        <v>22</v>
      </c>
      <c r="C47" s="312">
        <v>4340.3500000000004</v>
      </c>
      <c r="D47" s="40">
        <f>ROUND((C40+C47+D34/2)*D$45,2)</f>
        <v>-2119.73</v>
      </c>
      <c r="E47" s="40">
        <f t="shared" ref="E47:L47" si="19">ROUND((D40+D47+E34/2)*E$45,2)</f>
        <v>-2032.89</v>
      </c>
      <c r="F47" s="103">
        <f t="shared" si="19"/>
        <v>-1976.97</v>
      </c>
      <c r="G47" s="39">
        <f t="shared" si="19"/>
        <v>-1867.5</v>
      </c>
      <c r="H47" s="114">
        <f t="shared" si="19"/>
        <v>-1692.04</v>
      </c>
      <c r="I47" s="48">
        <f t="shared" si="19"/>
        <v>-1566.83</v>
      </c>
      <c r="J47" s="148">
        <f t="shared" si="19"/>
        <v>-1463.95</v>
      </c>
      <c r="K47" s="103">
        <f t="shared" si="19"/>
        <v>-1342.9</v>
      </c>
      <c r="L47" s="60">
        <f t="shared" si="19"/>
        <v>0</v>
      </c>
      <c r="O47" s="46">
        <f>-SUM(J47:L47)</f>
        <v>2806.8500000000004</v>
      </c>
    </row>
    <row r="48" spans="1:15" x14ac:dyDescent="0.35">
      <c r="A48" s="45" t="s">
        <v>94</v>
      </c>
      <c r="C48" s="312">
        <v>1250.2399999999998</v>
      </c>
      <c r="D48" s="40">
        <f t="shared" ref="D48:L48" si="20">ROUND((C41+C48+D35/2)*D$45,2)</f>
        <v>-606.14</v>
      </c>
      <c r="E48" s="40">
        <f t="shared" si="20"/>
        <v>-588.07000000000005</v>
      </c>
      <c r="F48" s="103">
        <f t="shared" si="20"/>
        <v>-580.96</v>
      </c>
      <c r="G48" s="39">
        <f t="shared" si="20"/>
        <v>-552.6</v>
      </c>
      <c r="H48" s="114">
        <f t="shared" si="20"/>
        <v>-496.76</v>
      </c>
      <c r="I48" s="48">
        <f t="shared" si="20"/>
        <v>-450.19</v>
      </c>
      <c r="J48" s="148">
        <f t="shared" si="20"/>
        <v>-407.65</v>
      </c>
      <c r="K48" s="103">
        <f t="shared" si="20"/>
        <v>-362.86</v>
      </c>
      <c r="L48" s="60">
        <f t="shared" si="20"/>
        <v>0</v>
      </c>
      <c r="O48" s="46">
        <f t="shared" ref="O48:O50" si="21">-SUM(J48:L48)</f>
        <v>770.51</v>
      </c>
    </row>
    <row r="49" spans="1:17" x14ac:dyDescent="0.35">
      <c r="A49" s="45" t="s">
        <v>95</v>
      </c>
      <c r="C49" s="312">
        <v>1199.95</v>
      </c>
      <c r="D49" s="40">
        <f t="shared" ref="D49:L49" si="22">ROUND((C42+C49+D36/2)*D$45,2)</f>
        <v>-581.76</v>
      </c>
      <c r="E49" s="40">
        <f t="shared" si="22"/>
        <v>-564.41999999999996</v>
      </c>
      <c r="F49" s="103">
        <f t="shared" si="22"/>
        <v>-557.61</v>
      </c>
      <c r="G49" s="39">
        <f t="shared" si="22"/>
        <v>-534.58000000000004</v>
      </c>
      <c r="H49" s="114">
        <f t="shared" si="22"/>
        <v>-487.69</v>
      </c>
      <c r="I49" s="48">
        <f t="shared" si="22"/>
        <v>-445.62</v>
      </c>
      <c r="J49" s="148">
        <f t="shared" si="22"/>
        <v>-404.41</v>
      </c>
      <c r="K49" s="103">
        <f t="shared" si="22"/>
        <v>-360.51</v>
      </c>
      <c r="L49" s="60">
        <f t="shared" si="22"/>
        <v>0</v>
      </c>
      <c r="O49" s="46">
        <f t="shared" si="21"/>
        <v>764.92000000000007</v>
      </c>
    </row>
    <row r="50" spans="1:17" ht="15" thickBot="1" x14ac:dyDescent="0.4">
      <c r="A50" s="45" t="s">
        <v>96</v>
      </c>
      <c r="C50" s="312">
        <v>883</v>
      </c>
      <c r="D50" s="40">
        <f t="shared" ref="D50:L50" si="23">ROUND((C43+C50+D37/2)*D$45,2)</f>
        <v>-428.1</v>
      </c>
      <c r="E50" s="40">
        <f t="shared" si="23"/>
        <v>-415.34</v>
      </c>
      <c r="F50" s="103">
        <f t="shared" si="23"/>
        <v>-410.33</v>
      </c>
      <c r="G50" s="39">
        <f t="shared" si="23"/>
        <v>-393.33</v>
      </c>
      <c r="H50" s="114">
        <f t="shared" si="23"/>
        <v>-356.77</v>
      </c>
      <c r="I50" s="48">
        <f t="shared" si="23"/>
        <v>-320.37</v>
      </c>
      <c r="J50" s="148">
        <f t="shared" si="23"/>
        <v>-286.24</v>
      </c>
      <c r="K50" s="103">
        <f t="shared" si="23"/>
        <v>-253.11</v>
      </c>
      <c r="L50" s="60">
        <f t="shared" si="23"/>
        <v>0</v>
      </c>
      <c r="O50" s="46">
        <f t="shared" si="21"/>
        <v>539.35</v>
      </c>
    </row>
    <row r="51" spans="1:17" ht="15.5" thickTop="1" thickBot="1" x14ac:dyDescent="0.4">
      <c r="A51" s="53" t="s">
        <v>20</v>
      </c>
      <c r="B51" s="53"/>
      <c r="C51" s="102">
        <v>0</v>
      </c>
      <c r="D51" s="41">
        <f t="shared" ref="D51:I51" si="24">SUM(D47:D50)+SUM(D40:D43)-D54</f>
        <v>0</v>
      </c>
      <c r="E51" s="41">
        <f t="shared" si="24"/>
        <v>0</v>
      </c>
      <c r="F51" s="49">
        <f t="shared" ref="F51:H51" si="25">SUM(F47:F50)+SUM(F40:F43)-F54</f>
        <v>0</v>
      </c>
      <c r="G51" s="251">
        <f t="shared" si="25"/>
        <v>0</v>
      </c>
      <c r="H51" s="49">
        <f t="shared" si="25"/>
        <v>0</v>
      </c>
      <c r="I51" s="61">
        <f t="shared" si="24"/>
        <v>0</v>
      </c>
      <c r="J51" s="149">
        <f t="shared" ref="J51:L51" si="26">SUM(J47:J50)+SUM(J40:J43)-J54</f>
        <v>0</v>
      </c>
      <c r="K51" s="49">
        <f t="shared" si="26"/>
        <v>0</v>
      </c>
      <c r="L51" s="61">
        <f t="shared" si="26"/>
        <v>0</v>
      </c>
    </row>
    <row r="52" spans="1:17" ht="15.5" thickTop="1" thickBot="1" x14ac:dyDescent="0.4">
      <c r="A52" s="53" t="s">
        <v>21</v>
      </c>
      <c r="B52" s="53"/>
      <c r="C52" s="102">
        <v>0</v>
      </c>
      <c r="D52" s="41">
        <f t="shared" ref="D52:I52" si="27">SUM(D47:D50)-D31</f>
        <v>0</v>
      </c>
      <c r="E52" s="41">
        <f t="shared" si="27"/>
        <v>0</v>
      </c>
      <c r="F52" s="49">
        <f t="shared" ref="F52:H52" si="28">SUM(F47:F50)-F31</f>
        <v>0</v>
      </c>
      <c r="G52" s="251">
        <f t="shared" si="28"/>
        <v>0</v>
      </c>
      <c r="H52" s="49">
        <f t="shared" si="28"/>
        <v>0</v>
      </c>
      <c r="I52" s="61">
        <f t="shared" si="27"/>
        <v>0</v>
      </c>
      <c r="J52" s="150">
        <f t="shared" ref="J52:L52" si="29">SUM(J47:J50)-J31</f>
        <v>0</v>
      </c>
      <c r="K52" s="41">
        <f t="shared" si="29"/>
        <v>0</v>
      </c>
      <c r="L52" s="41">
        <f t="shared" si="29"/>
        <v>0</v>
      </c>
    </row>
    <row r="53" spans="1:17" ht="15.5" thickTop="1" thickBot="1" x14ac:dyDescent="0.4">
      <c r="C53" s="96"/>
      <c r="D53" s="16"/>
      <c r="E53" s="16"/>
      <c r="F53" s="16"/>
      <c r="G53" s="9"/>
      <c r="H53" s="16"/>
      <c r="I53" s="10"/>
      <c r="J53" s="16"/>
      <c r="K53" s="16"/>
      <c r="L53" s="10"/>
    </row>
    <row r="54" spans="1:17" ht="15" thickBot="1" x14ac:dyDescent="0.4">
      <c r="A54" s="45" t="s">
        <v>30</v>
      </c>
      <c r="B54" s="111">
        <f>SUM(B40:B43)</f>
        <v>-759599.22999999986</v>
      </c>
      <c r="C54" s="97">
        <f t="shared" ref="C54:L54" si="30">(C17-SUM(C20:C23))+SUM(C47:C50)+B54</f>
        <v>-771267.12999999989</v>
      </c>
      <c r="D54" s="40">
        <f t="shared" si="30"/>
        <v>-770902.57999999984</v>
      </c>
      <c r="E54" s="40">
        <f t="shared" si="30"/>
        <v>-768506.81999999983</v>
      </c>
      <c r="F54" s="103">
        <f t="shared" si="30"/>
        <v>-764398.1599999998</v>
      </c>
      <c r="G54" s="39">
        <f t="shared" si="30"/>
        <v>-689012.85999999975</v>
      </c>
      <c r="H54" s="40">
        <f t="shared" si="30"/>
        <v>-626704.81999999972</v>
      </c>
      <c r="I54" s="60">
        <f t="shared" si="30"/>
        <v>-578844.51999999967</v>
      </c>
      <c r="J54" s="148">
        <f t="shared" si="30"/>
        <v>-531076.99999999965</v>
      </c>
      <c r="K54" s="103">
        <f t="shared" si="30"/>
        <v>-473637.18999999965</v>
      </c>
      <c r="L54" s="60">
        <f t="shared" si="30"/>
        <v>-398506.37999999966</v>
      </c>
      <c r="P54" s="515"/>
      <c r="Q54" s="515"/>
    </row>
    <row r="55" spans="1:17" x14ac:dyDescent="0.35">
      <c r="A55" s="45" t="s">
        <v>10</v>
      </c>
      <c r="C55" s="112"/>
      <c r="D55" s="16"/>
      <c r="E55" s="16"/>
      <c r="F55" s="16"/>
      <c r="G55" s="9"/>
      <c r="H55" s="16"/>
      <c r="I55" s="10"/>
      <c r="J55" s="16"/>
      <c r="K55" s="16"/>
      <c r="L55" s="10"/>
      <c r="P55" s="515"/>
      <c r="Q55" s="515"/>
    </row>
    <row r="56" spans="1:17" ht="15" thickBot="1" x14ac:dyDescent="0.4">
      <c r="A56" s="36"/>
      <c r="B56" s="36"/>
      <c r="C56" s="135"/>
      <c r="D56" s="43"/>
      <c r="E56" s="43"/>
      <c r="F56" s="43"/>
      <c r="G56" s="42"/>
      <c r="H56" s="43"/>
      <c r="I56" s="44"/>
      <c r="J56" s="43"/>
      <c r="K56" s="43"/>
      <c r="L56" s="44"/>
      <c r="P56" s="515"/>
      <c r="Q56" s="515"/>
    </row>
    <row r="57" spans="1:17" x14ac:dyDescent="0.35">
      <c r="P57" s="515"/>
      <c r="Q57" s="515"/>
    </row>
    <row r="58" spans="1:17" x14ac:dyDescent="0.35">
      <c r="A58" s="68" t="s">
        <v>9</v>
      </c>
      <c r="B58" s="68"/>
      <c r="C58" s="68"/>
    </row>
    <row r="59" spans="1:17" x14ac:dyDescent="0.35">
      <c r="A59" s="529" t="s">
        <v>151</v>
      </c>
      <c r="B59" s="529"/>
      <c r="C59" s="529"/>
      <c r="D59" s="529"/>
      <c r="E59" s="529"/>
      <c r="F59" s="529"/>
      <c r="G59" s="529"/>
      <c r="H59" s="529"/>
      <c r="I59" s="529"/>
      <c r="J59" s="259"/>
      <c r="K59" s="259"/>
      <c r="L59" s="259"/>
    </row>
    <row r="60" spans="1:17" ht="58.5" customHeight="1" x14ac:dyDescent="0.35">
      <c r="A60" s="529" t="s">
        <v>258</v>
      </c>
      <c r="B60" s="529"/>
      <c r="C60" s="529"/>
      <c r="D60" s="529"/>
      <c r="E60" s="529"/>
      <c r="F60" s="529"/>
      <c r="G60" s="529"/>
      <c r="H60" s="529"/>
      <c r="I60" s="529"/>
      <c r="J60" s="259"/>
      <c r="K60" s="259"/>
    </row>
    <row r="61" spans="1:17" x14ac:dyDescent="0.35">
      <c r="A61" s="529" t="s">
        <v>219</v>
      </c>
      <c r="B61" s="529"/>
      <c r="C61" s="529"/>
      <c r="D61" s="529"/>
      <c r="E61" s="529"/>
      <c r="F61" s="529"/>
      <c r="G61" s="529"/>
      <c r="H61" s="529"/>
      <c r="I61" s="529"/>
      <c r="J61" s="259"/>
      <c r="K61" s="259"/>
      <c r="L61" s="259"/>
    </row>
    <row r="62" spans="1:17" x14ac:dyDescent="0.35">
      <c r="A62" s="412" t="s">
        <v>263</v>
      </c>
      <c r="B62" s="412"/>
      <c r="C62" s="412"/>
      <c r="D62" s="392"/>
      <c r="E62" s="392"/>
      <c r="F62" s="392"/>
      <c r="G62" s="392"/>
      <c r="H62" s="392"/>
      <c r="I62" s="321"/>
    </row>
    <row r="63" spans="1:17" x14ac:dyDescent="0.35">
      <c r="A63" s="412" t="s">
        <v>110</v>
      </c>
      <c r="B63" s="412"/>
      <c r="C63" s="412"/>
      <c r="D63" s="392"/>
      <c r="E63" s="392"/>
      <c r="F63" s="392"/>
      <c r="G63" s="392"/>
      <c r="H63" s="392"/>
      <c r="I63" s="321"/>
    </row>
    <row r="64" spans="1:17" x14ac:dyDescent="0.35">
      <c r="A64" s="412"/>
      <c r="B64" s="412"/>
      <c r="C64" s="412"/>
      <c r="D64" s="392"/>
      <c r="E64" s="392"/>
      <c r="F64" s="392"/>
      <c r="G64" s="392"/>
      <c r="H64" s="392"/>
      <c r="I64" s="392"/>
    </row>
    <row r="65" spans="1:9" x14ac:dyDescent="0.35">
      <c r="A65" s="412"/>
      <c r="B65" s="412"/>
      <c r="C65" s="412"/>
      <c r="D65" s="392"/>
      <c r="E65" s="392"/>
      <c r="F65" s="392"/>
      <c r="G65" s="392"/>
      <c r="H65" s="392"/>
      <c r="I65" s="392"/>
    </row>
  </sheetData>
  <mergeCells count="6">
    <mergeCell ref="A61:I61"/>
    <mergeCell ref="D15:F15"/>
    <mergeCell ref="G15:I15"/>
    <mergeCell ref="J15:L15"/>
    <mergeCell ref="A59:I59"/>
    <mergeCell ref="A60:I60"/>
  </mergeCells>
  <pageMargins left="0.2" right="0.2" top="0.75" bottom="0.25" header="0.3" footer="0.3"/>
  <pageSetup scale="62" orientation="landscape" r:id="rId1"/>
  <headerFooter>
    <oddHeader>&amp;C&amp;F &amp;A&amp;R&amp;"Arial"&amp;10&amp;K000000CONFIDENTIAL</oddHeader>
    <oddFooter xml:space="preserve">&amp;R_x000D_&amp;1#&amp;"Calibri"&amp;10&amp;KA80000 Restricted – Sensitive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AG50"/>
  <sheetViews>
    <sheetView tabSelected="1" zoomScale="90" zoomScaleNormal="90" workbookViewId="0">
      <selection activeCell="G14" sqref="G14"/>
    </sheetView>
  </sheetViews>
  <sheetFormatPr defaultRowHeight="14.5" outlineLevelCol="1" x14ac:dyDescent="0.35"/>
  <cols>
    <col min="2" max="2" width="25.1796875" customWidth="1"/>
    <col min="3" max="4" width="16.7265625" bestFit="1" customWidth="1"/>
    <col min="5" max="5" width="15.453125" bestFit="1" customWidth="1"/>
    <col min="6" max="6" width="14.269531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2" width="13.7265625" bestFit="1" customWidth="1"/>
    <col min="13" max="13" width="14.26953125" bestFit="1" customWidth="1"/>
    <col min="14" max="14" width="12.26953125" bestFit="1" customWidth="1"/>
    <col min="15" max="16" width="16" bestFit="1" customWidth="1" outlineLevel="1"/>
    <col min="17" max="17" width="16" style="45" customWidth="1" outlineLevel="1"/>
    <col min="18" max="18" width="9.1796875" customWidth="1" outlineLevel="1"/>
    <col min="19" max="20" width="16.7265625" bestFit="1" customWidth="1" outlineLevel="1"/>
    <col min="21" max="21" width="16.7265625" style="45" bestFit="1" customWidth="1" outlineLevel="1"/>
    <col min="22" max="22" width="16.7265625" bestFit="1" customWidth="1" outlineLevel="1"/>
    <col min="23" max="23" width="9.1796875" customWidth="1" outlineLevel="1"/>
    <col min="24" max="27" width="16.7265625" bestFit="1" customWidth="1" outlineLevel="1"/>
    <col min="28" max="28" width="12.81640625" bestFit="1" customWidth="1"/>
    <col min="29" max="32" width="16.7265625" customWidth="1"/>
    <col min="33" max="33" width="12.81640625" bestFit="1" customWidth="1"/>
  </cols>
  <sheetData>
    <row r="1" spans="1:33" x14ac:dyDescent="0.35">
      <c r="A1" s="3" t="str">
        <f>+'PTD Cycle 3'!A1</f>
        <v>Evergy Missouri West, Inc. - DSIM Rider Update Filed 06/02/2025</v>
      </c>
    </row>
    <row r="2" spans="1:33" ht="15" thickBot="1" x14ac:dyDescent="0.4">
      <c r="H2" s="45"/>
      <c r="I2" s="45"/>
      <c r="J2" s="47"/>
      <c r="K2" s="47"/>
    </row>
    <row r="3" spans="1:33" ht="27.5" thickBot="1" x14ac:dyDescent="0.4">
      <c r="B3" s="84" t="s">
        <v>5</v>
      </c>
      <c r="C3" s="121" t="s">
        <v>17</v>
      </c>
      <c r="D3" s="121" t="s">
        <v>18</v>
      </c>
      <c r="E3" s="121" t="s">
        <v>51</v>
      </c>
      <c r="F3" s="121" t="s">
        <v>19</v>
      </c>
      <c r="G3" s="121" t="s">
        <v>32</v>
      </c>
      <c r="H3" s="86" t="s">
        <v>25</v>
      </c>
      <c r="I3" s="38"/>
      <c r="J3" s="85" t="s">
        <v>11</v>
      </c>
      <c r="K3" s="86" t="s">
        <v>50</v>
      </c>
      <c r="L3" s="86" t="s">
        <v>63</v>
      </c>
      <c r="M3" s="86" t="s">
        <v>64</v>
      </c>
      <c r="N3" s="273" t="s">
        <v>195</v>
      </c>
      <c r="O3" s="16"/>
    </row>
    <row r="4" spans="1:33" ht="15" thickBot="1" x14ac:dyDescent="0.4">
      <c r="B4" s="87" t="s">
        <v>22</v>
      </c>
      <c r="C4" s="119">
        <f t="shared" ref="C4:F7" si="0">C12+C20</f>
        <v>6419135.7999999998</v>
      </c>
      <c r="D4" s="120">
        <f t="shared" si="0"/>
        <v>409598.76000000007</v>
      </c>
      <c r="E4" s="120">
        <f t="shared" si="0"/>
        <v>1927462.5978200003</v>
      </c>
      <c r="F4" s="120">
        <f t="shared" si="0"/>
        <v>-233328.51999999979</v>
      </c>
      <c r="G4" s="361">
        <f>SUM('[1]GMO Billed kWh Sales'!$E39:$F39)</f>
        <v>3792335398.566391</v>
      </c>
      <c r="H4" s="246">
        <f>ROUND(SUM(C4:F4)/G4,5)</f>
        <v>2.2499999999999998E-3</v>
      </c>
      <c r="I4" s="247"/>
      <c r="J4" s="520">
        <f>ROUND((C12+C20)/G4,5)</f>
        <v>1.6900000000000001E-3</v>
      </c>
      <c r="K4" s="253">
        <f>ROUND((D12+D20)/G4,5)</f>
        <v>1.1E-4</v>
      </c>
      <c r="L4" s="123">
        <f>ROUND((E12+E20)/G4,5)</f>
        <v>5.1000000000000004E-4</v>
      </c>
      <c r="M4" s="123">
        <f>ROUND((F12+F20)/G4,5)</f>
        <v>-6.0000000000000002E-5</v>
      </c>
      <c r="N4" s="272">
        <f>+H4-SUM(J4:M4)</f>
        <v>0</v>
      </c>
      <c r="O4" s="230"/>
      <c r="P4" s="230"/>
      <c r="Q4" s="230"/>
      <c r="R4" s="230"/>
      <c r="S4" s="230"/>
    </row>
    <row r="5" spans="1:33" ht="15" thickBot="1" x14ac:dyDescent="0.4">
      <c r="B5" s="87" t="s">
        <v>94</v>
      </c>
      <c r="C5" s="119">
        <f t="shared" si="0"/>
        <v>1915235.3899999997</v>
      </c>
      <c r="D5" s="120">
        <f t="shared" si="0"/>
        <v>483590.43000000005</v>
      </c>
      <c r="E5" s="120">
        <f t="shared" si="0"/>
        <v>519608.91000000003</v>
      </c>
      <c r="F5" s="120">
        <f t="shared" si="0"/>
        <v>-61559.21</v>
      </c>
      <c r="G5" s="361">
        <f>SUM('[1]GMO Billed kWh Sales'!$E40:$F40)</f>
        <v>1207399878</v>
      </c>
      <c r="H5" s="246">
        <f>ROUND(SUM(C5:F5)/G5,5)</f>
        <v>2.3700000000000001E-3</v>
      </c>
      <c r="I5" s="247"/>
      <c r="J5" s="520">
        <f>ROUND((C13+C21)/G5,5)</f>
        <v>1.5900000000000001E-3</v>
      </c>
      <c r="K5" s="253">
        <f>ROUND((D13+D21)/G5,5)</f>
        <v>4.0000000000000002E-4</v>
      </c>
      <c r="L5" s="123">
        <f>ROUND((E13+E21)/G5,5)</f>
        <v>4.2999999999999999E-4</v>
      </c>
      <c r="M5" s="123">
        <f>ROUND((F13+F21)/G5,5)</f>
        <v>-5.0000000000000002E-5</v>
      </c>
      <c r="N5" s="272">
        <f t="shared" ref="N5:N7" si="1">+H5-SUM(J5:M5)</f>
        <v>0</v>
      </c>
      <c r="O5" s="230">
        <f>C5/SUM(C$5:C$7)</f>
        <v>0.2931033512551936</v>
      </c>
      <c r="P5" s="230">
        <f t="shared" ref="P5:Q5" si="2">D5/SUM(D$5:D$7)</f>
        <v>0.53102854259132493</v>
      </c>
      <c r="Q5" s="230">
        <f t="shared" si="2"/>
        <v>0.33415564695417527</v>
      </c>
      <c r="R5" s="230">
        <f>F5/SUM(F$5:F$7)</f>
        <v>0.37268439002660519</v>
      </c>
      <c r="S5" s="230">
        <f>G5/SUM(G$5:G$7)</f>
        <v>0.41925115480405367</v>
      </c>
    </row>
    <row r="6" spans="1:33" s="45" customFormat="1" ht="15" thickBot="1" x14ac:dyDescent="0.4">
      <c r="B6" s="87" t="s">
        <v>95</v>
      </c>
      <c r="C6" s="119">
        <f t="shared" si="0"/>
        <v>2512529.1899999995</v>
      </c>
      <c r="D6" s="120">
        <f t="shared" si="0"/>
        <v>346218.87000000005</v>
      </c>
      <c r="E6" s="120">
        <f t="shared" si="0"/>
        <v>633771.04000000015</v>
      </c>
      <c r="F6" s="120">
        <f t="shared" si="0"/>
        <v>-61377.969999999987</v>
      </c>
      <c r="G6" s="361">
        <f>SUM('[1]GMO Billed kWh Sales'!$E41:$F41)</f>
        <v>986899053</v>
      </c>
      <c r="H6" s="246">
        <f>ROUND(SUM(C6:F6)/G6,5)</f>
        <v>3.48E-3</v>
      </c>
      <c r="I6" s="247"/>
      <c r="J6" s="520">
        <f>ROUND((C14+C22)/G6,5)</f>
        <v>2.5500000000000002E-3</v>
      </c>
      <c r="K6" s="253">
        <f>ROUND((D14+D22)/G6,5)</f>
        <v>3.5E-4</v>
      </c>
      <c r="L6" s="123">
        <f>ROUND((E14+E22)/G6,5)</f>
        <v>6.4000000000000005E-4</v>
      </c>
      <c r="M6" s="123">
        <f>ROUND((F14+F22)/G6,5)</f>
        <v>-6.0000000000000002E-5</v>
      </c>
      <c r="N6" s="272">
        <f t="shared" si="1"/>
        <v>0</v>
      </c>
      <c r="O6" s="230">
        <f t="shared" ref="O6:O7" si="3">C6/SUM(C$5:C$7)</f>
        <v>0.38451186186335928</v>
      </c>
      <c r="P6" s="230">
        <f t="shared" ref="P6:P7" si="4">D6/SUM(D$5:D$7)</f>
        <v>0.38018143153435729</v>
      </c>
      <c r="Q6" s="230">
        <f t="shared" ref="Q6:Q7" si="5">E6/SUM(E$5:E$7)</f>
        <v>0.40757224869762249</v>
      </c>
      <c r="R6" s="230">
        <f>F6/SUM(F$5:F$7)</f>
        <v>0.37158714854399966</v>
      </c>
      <c r="S6" s="230">
        <f t="shared" ref="S6:S7" si="6">G6/SUM(G$5:G$7)</f>
        <v>0.34268561326231722</v>
      </c>
    </row>
    <row r="7" spans="1:33" s="45" customFormat="1" ht="15" thickBot="1" x14ac:dyDescent="0.4">
      <c r="B7" s="87" t="s">
        <v>96</v>
      </c>
      <c r="C7" s="119">
        <f t="shared" si="0"/>
        <v>2106570.0900000012</v>
      </c>
      <c r="D7" s="120">
        <f t="shared" si="0"/>
        <v>80858.190000000031</v>
      </c>
      <c r="E7" s="120">
        <f t="shared" si="0"/>
        <v>401610.70999999996</v>
      </c>
      <c r="F7" s="120">
        <f t="shared" si="0"/>
        <v>-42240.680000000022</v>
      </c>
      <c r="G7" s="361">
        <f>SUM('[1]GMO Billed kWh Sales'!$E42:$F42)</f>
        <v>685597437</v>
      </c>
      <c r="H7" s="246">
        <f>ROUND(SUM(C7:F7)/G7,5)</f>
        <v>3.7100000000000002E-3</v>
      </c>
      <c r="I7" s="247"/>
      <c r="J7" s="323">
        <f>ROUND((C15+C23)/G7,5)-0.00001</f>
        <v>3.0599999999999998E-3</v>
      </c>
      <c r="K7" s="253">
        <f>ROUND((D15+D23)/G7,5)</f>
        <v>1.2E-4</v>
      </c>
      <c r="L7" s="123">
        <f>ROUND((E15+E23)/G7,5)</f>
        <v>5.9000000000000003E-4</v>
      </c>
      <c r="M7" s="123">
        <f>ROUND((F15+F23)/G7,5)</f>
        <v>-6.0000000000000002E-5</v>
      </c>
      <c r="N7" s="272">
        <f t="shared" si="1"/>
        <v>0</v>
      </c>
      <c r="O7" s="230">
        <f t="shared" si="3"/>
        <v>0.32238478688144717</v>
      </c>
      <c r="P7" s="230">
        <f t="shared" si="4"/>
        <v>8.8790025874317779E-2</v>
      </c>
      <c r="Q7" s="230">
        <f t="shared" si="5"/>
        <v>0.25827210434820225</v>
      </c>
      <c r="R7" s="230">
        <f>F7/SUM(F$5:F$7)</f>
        <v>0.25572846142939509</v>
      </c>
      <c r="S7" s="230">
        <f t="shared" si="6"/>
        <v>0.23806323193362908</v>
      </c>
    </row>
    <row r="8" spans="1:33" x14ac:dyDescent="0.35">
      <c r="C8" s="118"/>
      <c r="D8" s="118"/>
      <c r="E8" s="118"/>
      <c r="F8" s="118"/>
      <c r="G8" s="117"/>
      <c r="H8" s="248"/>
      <c r="I8" s="248"/>
      <c r="J8" s="248"/>
    </row>
    <row r="9" spans="1:33" x14ac:dyDescent="0.35">
      <c r="C9" s="118"/>
      <c r="D9" s="118"/>
      <c r="E9" s="118"/>
      <c r="F9" s="118"/>
      <c r="G9" s="117"/>
      <c r="H9" s="45"/>
      <c r="I9" s="45"/>
      <c r="J9" s="16"/>
      <c r="K9" s="16"/>
      <c r="L9" s="45"/>
      <c r="M9" s="45"/>
    </row>
    <row r="10" spans="1:33" ht="15" thickBot="1" x14ac:dyDescent="0.4">
      <c r="C10" s="118"/>
      <c r="D10" s="118"/>
      <c r="E10" s="118"/>
      <c r="F10" s="118"/>
      <c r="G10" s="117"/>
      <c r="H10" s="45"/>
      <c r="I10" s="45"/>
      <c r="J10" s="16"/>
      <c r="K10" s="16"/>
      <c r="L10" s="45"/>
      <c r="M10" s="45"/>
    </row>
    <row r="11" spans="1:33" ht="15" thickBot="1" x14ac:dyDescent="0.4">
      <c r="B11" s="84" t="s">
        <v>5</v>
      </c>
      <c r="C11" s="122" t="s">
        <v>4</v>
      </c>
      <c r="D11" s="122" t="s">
        <v>14</v>
      </c>
      <c r="E11" s="122" t="s">
        <v>52</v>
      </c>
      <c r="F11" s="122" t="s">
        <v>15</v>
      </c>
      <c r="G11" s="117"/>
      <c r="H11" s="45"/>
      <c r="I11" s="45"/>
      <c r="J11" s="16"/>
      <c r="K11" s="16"/>
      <c r="L11" s="45"/>
      <c r="M11" s="45"/>
      <c r="O11" s="122" t="s">
        <v>65</v>
      </c>
      <c r="P11" s="122" t="s">
        <v>66</v>
      </c>
      <c r="Q11" s="122" t="s">
        <v>73</v>
      </c>
      <c r="R11" s="45"/>
      <c r="S11" s="122" t="s">
        <v>67</v>
      </c>
      <c r="T11" s="122" t="s">
        <v>68</v>
      </c>
      <c r="U11" s="122" t="s">
        <v>90</v>
      </c>
      <c r="V11" s="122" t="s">
        <v>82</v>
      </c>
      <c r="X11" s="122" t="s">
        <v>99</v>
      </c>
      <c r="Y11" s="122" t="s">
        <v>100</v>
      </c>
      <c r="Z11" s="122" t="s">
        <v>101</v>
      </c>
      <c r="AA11" s="122" t="s">
        <v>102</v>
      </c>
      <c r="AC11" s="122" t="s">
        <v>206</v>
      </c>
      <c r="AD11" s="122" t="s">
        <v>207</v>
      </c>
      <c r="AE11" s="122" t="s">
        <v>208</v>
      </c>
      <c r="AF11" s="122" t="s">
        <v>209</v>
      </c>
      <c r="AG11" s="45"/>
    </row>
    <row r="12" spans="1:33" ht="15" thickBot="1" x14ac:dyDescent="0.4">
      <c r="B12" s="87" t="s">
        <v>22</v>
      </c>
      <c r="C12" s="271">
        <f>+'PPC Cycle 4'!C5</f>
        <v>6488335.5700000003</v>
      </c>
      <c r="D12" s="271">
        <f>+'PTD Cycle 3'!C6+'PTD Cycle 4'!C6</f>
        <v>392484.82000000007</v>
      </c>
      <c r="E12" s="271">
        <f>+'EO Cycle 2'!G7+'EO Cycle 3'!G8+'EO Cycle 4'!G8</f>
        <v>1199967.0900000001</v>
      </c>
      <c r="F12" s="271">
        <f>+'OA Cycle 3'!F9</f>
        <v>0</v>
      </c>
      <c r="G12" s="117"/>
      <c r="H12" s="45"/>
      <c r="I12" s="45"/>
      <c r="J12" s="45"/>
      <c r="K12" s="45"/>
      <c r="L12" s="45"/>
      <c r="M12" s="45"/>
      <c r="O12" s="274">
        <v>0</v>
      </c>
      <c r="P12" s="274">
        <v>0</v>
      </c>
      <c r="Q12" s="275">
        <v>0</v>
      </c>
      <c r="R12" s="143"/>
      <c r="S12" s="276">
        <v>0</v>
      </c>
      <c r="T12" s="276">
        <v>0</v>
      </c>
      <c r="U12" s="277">
        <f>ROUND('EO Cycle 2'!G7/'Tariff Tables'!G4,5)</f>
        <v>0</v>
      </c>
      <c r="V12" s="276">
        <v>0</v>
      </c>
      <c r="X12" s="276">
        <v>0</v>
      </c>
      <c r="Y12" s="277">
        <f>ROUND('PTD Cycle 3'!C6/'Tariff Tables'!G4,5)</f>
        <v>6.9999999999999994E-5</v>
      </c>
      <c r="Z12" s="277">
        <f>ROUND('EO Cycle 3'!G8/'Tariff Tables'!G4,5)</f>
        <v>3.2000000000000003E-4</v>
      </c>
      <c r="AA12" s="277">
        <f>ROUND('OA Cycle 3'!F9/'Tariff Tables'!G4,5)</f>
        <v>0</v>
      </c>
      <c r="AB12" s="143"/>
      <c r="AC12" s="277">
        <f>ROUND('PPC Cycle 4'!C5/'Tariff Tables'!$G4,5)</f>
        <v>1.7099999999999999E-3</v>
      </c>
      <c r="AD12" s="277">
        <f>ROUND('PTD Cycle 4'!C6/'Tariff Tables'!G4,5)</f>
        <v>4.0000000000000003E-5</v>
      </c>
      <c r="AE12" s="277">
        <f>ROUND('EO Cycle 4'!G8/'Tariff Tables'!G4,5)</f>
        <v>0</v>
      </c>
      <c r="AF12" s="277"/>
      <c r="AG12" s="143">
        <f ca="1">SUM($O12:OFFSET(AG12,0,-1),$O20:OFFSET(AG20,0,-1))</f>
        <v>2.2499999999999998E-3</v>
      </c>
    </row>
    <row r="13" spans="1:33" ht="15" thickBot="1" x14ac:dyDescent="0.4">
      <c r="B13" s="87" t="s">
        <v>94</v>
      </c>
      <c r="C13" s="271">
        <f>+'PPC Cycle 4'!C6</f>
        <v>1660213.88</v>
      </c>
      <c r="D13" s="271">
        <f>+'PTD Cycle 3'!C7+'PTD Cycle 4'!C7</f>
        <v>483954.36000000004</v>
      </c>
      <c r="E13" s="271">
        <f>+'EO Cycle 2'!G11+'EO Cycle 3'!G12+'EO Cycle 4'!G12</f>
        <v>408588.11000000004</v>
      </c>
      <c r="F13" s="271">
        <f>+'OA Cycle 3'!F14</f>
        <v>0</v>
      </c>
      <c r="G13" s="117"/>
      <c r="H13" s="45"/>
      <c r="I13" s="45"/>
      <c r="J13" s="45"/>
      <c r="K13" s="45"/>
      <c r="L13" s="45"/>
      <c r="M13" s="45"/>
      <c r="O13" s="274">
        <v>0</v>
      </c>
      <c r="P13" s="274">
        <v>0</v>
      </c>
      <c r="Q13" s="275">
        <v>0</v>
      </c>
      <c r="R13" s="143"/>
      <c r="S13" s="276">
        <v>0</v>
      </c>
      <c r="T13" s="276">
        <v>0</v>
      </c>
      <c r="U13" s="279">
        <f>ROUND('EO Cycle 2'!G11/'Tariff Tables'!G5,5)</f>
        <v>0</v>
      </c>
      <c r="V13" s="276">
        <v>0</v>
      </c>
      <c r="X13" s="276">
        <v>0</v>
      </c>
      <c r="Y13" s="277">
        <f>ROUND('PTD Cycle 3'!C7/'Tariff Tables'!G5,5)</f>
        <v>3.5E-4</v>
      </c>
      <c r="Z13" s="277">
        <f>ROUND('EO Cycle 3'!G12/'Tariff Tables'!G5,5)</f>
        <v>3.4000000000000002E-4</v>
      </c>
      <c r="AA13" s="277">
        <f>ROUND(0/'Tariff Tables'!G5,5)</f>
        <v>0</v>
      </c>
      <c r="AB13" s="143"/>
      <c r="AC13" s="277">
        <f>ROUND('PPC Cycle 4'!C6/'Tariff Tables'!$G5,5)</f>
        <v>1.3799999999999999E-3</v>
      </c>
      <c r="AD13" s="277">
        <f>ROUND('PTD Cycle 4'!C7/'Tariff Tables'!G5,5)</f>
        <v>5.0000000000000002E-5</v>
      </c>
      <c r="AE13" s="277">
        <f>ROUND('EO Cycle 4'!G12/'Tariff Tables'!G5,5)</f>
        <v>0</v>
      </c>
      <c r="AF13" s="277"/>
      <c r="AG13" s="143">
        <f ca="1">SUM($O13:OFFSET(AG13,0,-1),$O21:OFFSET(AG21,0,-1))</f>
        <v>2.3699999999999997E-3</v>
      </c>
    </row>
    <row r="14" spans="1:33" s="45" customFormat="1" ht="15" thickBot="1" x14ac:dyDescent="0.4">
      <c r="B14" s="87" t="s">
        <v>95</v>
      </c>
      <c r="C14" s="271">
        <f>+'PPC Cycle 4'!C7</f>
        <v>2925209.67</v>
      </c>
      <c r="D14" s="271">
        <f>+'PTD Cycle 3'!C8+'PTD Cycle 4'!C8</f>
        <v>290793.52</v>
      </c>
      <c r="E14" s="271">
        <f>+'EO Cycle 2'!G12+'EO Cycle 3'!G13+'EO Cycle 4'!G13</f>
        <v>416878.02</v>
      </c>
      <c r="F14" s="271">
        <f>+'OA Cycle 3'!F15</f>
        <v>0</v>
      </c>
      <c r="G14" s="117"/>
      <c r="O14" s="274">
        <v>0</v>
      </c>
      <c r="P14" s="274">
        <v>0</v>
      </c>
      <c r="Q14" s="275">
        <v>0</v>
      </c>
      <c r="R14" s="209"/>
      <c r="S14" s="276">
        <v>0</v>
      </c>
      <c r="T14" s="276">
        <v>0</v>
      </c>
      <c r="U14" s="279">
        <f>ROUND('EO Cycle 2'!G12/'Tariff Tables'!G6,5)</f>
        <v>0</v>
      </c>
      <c r="V14" s="276">
        <v>0</v>
      </c>
      <c r="X14" s="276">
        <v>0</v>
      </c>
      <c r="Y14" s="277">
        <f>ROUND('PTD Cycle 3'!C8/'Tariff Tables'!G6,5)</f>
        <v>2.5999999999999998E-4</v>
      </c>
      <c r="Z14" s="277">
        <f>ROUND('EO Cycle 3'!G13/'Tariff Tables'!G6,5)</f>
        <v>4.2000000000000002E-4</v>
      </c>
      <c r="AA14" s="277">
        <f>ROUND(0/'Tariff Tables'!G6,5)</f>
        <v>0</v>
      </c>
      <c r="AB14" s="143"/>
      <c r="AC14" s="277">
        <f>ROUND('PPC Cycle 4'!C7/'Tariff Tables'!$G6,5)</f>
        <v>2.96E-3</v>
      </c>
      <c r="AD14" s="277">
        <f>ROUND('PTD Cycle 4'!C8/'Tariff Tables'!G6,5)</f>
        <v>4.0000000000000003E-5</v>
      </c>
      <c r="AE14" s="277">
        <f>ROUND('EO Cycle 4'!G13/'Tariff Tables'!G6,5)</f>
        <v>0</v>
      </c>
      <c r="AF14" s="277"/>
      <c r="AG14" s="143">
        <f ca="1">SUM($O14:OFFSET(AG14,0,-1),$O22:OFFSET(AG22,0,-1))</f>
        <v>3.48E-3</v>
      </c>
    </row>
    <row r="15" spans="1:33" s="45" customFormat="1" ht="15" thickBot="1" x14ac:dyDescent="0.4">
      <c r="B15" s="87" t="s">
        <v>96</v>
      </c>
      <c r="C15" s="271">
        <f>+'PPC Cycle 4'!C8</f>
        <v>3217169.49</v>
      </c>
      <c r="D15" s="271">
        <f>+'PTD Cycle 3'!C9+'PTD Cycle 4'!C9</f>
        <v>69382.39</v>
      </c>
      <c r="E15" s="271">
        <f>+'EO Cycle 2'!G13+'EO Cycle 3'!G14+'EO Cycle 4'!G14</f>
        <v>280988.05</v>
      </c>
      <c r="F15" s="271">
        <f>+'OA Cycle 3'!F16</f>
        <v>0</v>
      </c>
      <c r="G15" s="117"/>
      <c r="O15" s="274">
        <v>0</v>
      </c>
      <c r="P15" s="274">
        <v>0</v>
      </c>
      <c r="Q15" s="275">
        <v>0</v>
      </c>
      <c r="R15" s="209"/>
      <c r="S15" s="276">
        <v>0</v>
      </c>
      <c r="T15" s="276">
        <v>0</v>
      </c>
      <c r="U15" s="279">
        <f>ROUND('EO Cycle 2'!G13/'Tariff Tables'!G7,5)</f>
        <v>0</v>
      </c>
      <c r="V15" s="276">
        <v>0</v>
      </c>
      <c r="X15" s="276">
        <v>0</v>
      </c>
      <c r="Y15" s="277">
        <f>ROUND('PTD Cycle 3'!C9/'Tariff Tables'!G7,5)</f>
        <v>9.0000000000000006E-5</v>
      </c>
      <c r="Z15" s="277">
        <f>ROUND('EO Cycle 3'!G14/'Tariff Tables'!G7,5)</f>
        <v>4.0999999999999999E-4</v>
      </c>
      <c r="AA15" s="277">
        <f>ROUND(0/'Tariff Tables'!G7,5)</f>
        <v>0</v>
      </c>
      <c r="AB15" s="143"/>
      <c r="AC15" s="277">
        <f>ROUND('PPC Cycle 4'!C8/'Tariff Tables'!$G7,5)</f>
        <v>4.6899999999999997E-3</v>
      </c>
      <c r="AD15" s="277">
        <f>ROUND('PTD Cycle 4'!C9/'Tariff Tables'!G7,5)</f>
        <v>1.0000000000000001E-5</v>
      </c>
      <c r="AE15" s="277">
        <f>ROUND('EO Cycle 4'!G14/'Tariff Tables'!G7,5)</f>
        <v>0</v>
      </c>
      <c r="AF15" s="277"/>
      <c r="AG15" s="143">
        <f ca="1">SUM($O15:OFFSET(AG15,0,-1),$O23:OFFSET(AG23,0,-1))</f>
        <v>3.7099999999999989E-3</v>
      </c>
    </row>
    <row r="16" spans="1:33" x14ac:dyDescent="0.35">
      <c r="C16" s="117"/>
      <c r="D16" s="117"/>
      <c r="E16" s="117"/>
      <c r="F16" s="117"/>
      <c r="G16" s="117"/>
      <c r="J16" s="16"/>
      <c r="K16" s="16"/>
      <c r="O16" s="163"/>
      <c r="P16" s="163"/>
      <c r="Q16" s="210"/>
      <c r="R16" s="209"/>
      <c r="S16" s="209"/>
      <c r="T16" s="209"/>
      <c r="U16" s="209"/>
      <c r="V16" s="143"/>
      <c r="X16" s="209"/>
      <c r="Y16" s="209"/>
      <c r="Z16" s="209"/>
      <c r="AA16" s="209"/>
      <c r="AC16" s="209"/>
      <c r="AD16" s="209"/>
      <c r="AE16" s="209"/>
      <c r="AF16" s="209"/>
      <c r="AG16" s="45"/>
    </row>
    <row r="17" spans="2:33" x14ac:dyDescent="0.35">
      <c r="C17" s="118"/>
      <c r="D17" s="118"/>
      <c r="E17" s="118"/>
      <c r="F17" s="118"/>
      <c r="G17" s="117"/>
      <c r="J17" s="16"/>
      <c r="K17" s="16"/>
      <c r="O17" s="163"/>
      <c r="P17" s="163"/>
      <c r="Q17" s="210"/>
      <c r="R17" s="209"/>
      <c r="S17" s="209"/>
      <c r="T17" s="209"/>
      <c r="U17" s="209"/>
      <c r="V17" s="143"/>
      <c r="X17" s="209"/>
      <c r="Y17" s="209"/>
      <c r="Z17" s="209"/>
      <c r="AA17" s="209"/>
      <c r="AC17" s="209"/>
      <c r="AD17" s="209"/>
      <c r="AE17" s="209"/>
      <c r="AF17" s="209"/>
      <c r="AG17" s="45"/>
    </row>
    <row r="18" spans="2:33" ht="15" thickBot="1" x14ac:dyDescent="0.4">
      <c r="C18" s="118"/>
      <c r="D18" s="118"/>
      <c r="E18" s="118"/>
      <c r="F18" s="118"/>
      <c r="G18" s="117"/>
      <c r="J18" s="16"/>
      <c r="K18" s="16"/>
      <c r="O18" s="163"/>
      <c r="P18" s="163"/>
      <c r="Q18" s="210"/>
      <c r="R18" s="209"/>
      <c r="S18" s="209"/>
      <c r="T18" s="209"/>
      <c r="U18" s="209"/>
      <c r="V18" s="209"/>
      <c r="W18" s="248"/>
      <c r="X18" s="209"/>
      <c r="Y18" s="209"/>
      <c r="Z18" s="209"/>
      <c r="AA18" s="209"/>
      <c r="AC18" s="209"/>
      <c r="AD18" s="209"/>
      <c r="AE18" s="209"/>
      <c r="AF18" s="209"/>
      <c r="AG18" s="45"/>
    </row>
    <row r="19" spans="2:33" ht="15" thickBot="1" x14ac:dyDescent="0.4">
      <c r="B19" s="84" t="s">
        <v>5</v>
      </c>
      <c r="C19" s="122" t="s">
        <v>2</v>
      </c>
      <c r="D19" s="122" t="s">
        <v>7</v>
      </c>
      <c r="E19" s="122" t="s">
        <v>53</v>
      </c>
      <c r="F19" s="122" t="s">
        <v>16</v>
      </c>
      <c r="G19" s="117"/>
      <c r="O19" s="164" t="s">
        <v>69</v>
      </c>
      <c r="P19" s="164" t="s">
        <v>70</v>
      </c>
      <c r="Q19" s="211" t="s">
        <v>74</v>
      </c>
      <c r="R19" s="209"/>
      <c r="S19" s="212" t="s">
        <v>71</v>
      </c>
      <c r="T19" s="212" t="s">
        <v>72</v>
      </c>
      <c r="U19" s="211" t="s">
        <v>93</v>
      </c>
      <c r="V19" s="212" t="s">
        <v>83</v>
      </c>
      <c r="W19" s="248"/>
      <c r="X19" s="212" t="s">
        <v>103</v>
      </c>
      <c r="Y19" s="212" t="s">
        <v>104</v>
      </c>
      <c r="Z19" s="211" t="s">
        <v>105</v>
      </c>
      <c r="AA19" s="212" t="s">
        <v>106</v>
      </c>
      <c r="AC19" s="212" t="s">
        <v>210</v>
      </c>
      <c r="AD19" s="212" t="s">
        <v>211</v>
      </c>
      <c r="AE19" s="211" t="s">
        <v>212</v>
      </c>
      <c r="AF19" s="212" t="s">
        <v>213</v>
      </c>
      <c r="AG19" s="45"/>
    </row>
    <row r="20" spans="2:33" ht="15" thickBot="1" x14ac:dyDescent="0.4">
      <c r="B20" s="87" t="s">
        <v>22</v>
      </c>
      <c r="C20" s="271">
        <f>+'PCR Cycle 4'!K4+'PCR Cycle 3'!K4</f>
        <v>-69199.770000000251</v>
      </c>
      <c r="D20" s="271">
        <f>'TDR Cycle 4'!K4+'TDR Cycle 3'!K4+'TDR Cycle 2'!K4</f>
        <v>17113.940000000017</v>
      </c>
      <c r="E20" s="271">
        <f>+'EOR Cycle 2'!I4+'EOR Cycle 3'!J4</f>
        <v>727495.50782000006</v>
      </c>
      <c r="F20" s="271">
        <f>+'OAR Cycle 3'!I4</f>
        <v>-233328.51999999979</v>
      </c>
      <c r="G20" s="117"/>
      <c r="O20" s="274">
        <v>0</v>
      </c>
      <c r="P20" s="274">
        <v>0</v>
      </c>
      <c r="Q20" s="274">
        <v>0</v>
      </c>
      <c r="R20" s="209"/>
      <c r="S20" s="276">
        <v>0</v>
      </c>
      <c r="T20" s="277">
        <f>ROUND(+'TDR Cycle 2'!K4/'Tariff Tables'!G4,5)</f>
        <v>1.0000000000000001E-5</v>
      </c>
      <c r="U20" s="277">
        <f>ROUND('EOR Cycle 2'!I4/'Tariff Tables'!G4,5)</f>
        <v>0</v>
      </c>
      <c r="V20" s="276">
        <v>0</v>
      </c>
      <c r="W20" s="248"/>
      <c r="X20" s="277">
        <f>ROUND('PCR Cycle 3'!K4/'Tariff Tables'!G4,5)</f>
        <v>3.8000000000000002E-4</v>
      </c>
      <c r="Y20" s="277">
        <f>ROUND('TDR Cycle 3'!$K4/'Tariff Tables'!$G4,5)</f>
        <v>1.0000000000000001E-5</v>
      </c>
      <c r="Z20" s="277">
        <f>ROUND('EOR Cycle 3'!J4/'Tariff Tables'!G4,5)</f>
        <v>1.9000000000000001E-4</v>
      </c>
      <c r="AA20" s="277">
        <f>ROUND('OAR Cycle 3'!I4/'Tariff Tables'!G4,5)</f>
        <v>-6.0000000000000002E-5</v>
      </c>
      <c r="AC20" s="278">
        <f>ROUND('PCR Cycle 4'!$K4/'Tariff Tables'!$G4,5)</f>
        <v>-4.0000000000000002E-4</v>
      </c>
      <c r="AD20" s="277">
        <f>ROUND('TDR Cycle 4'!$K4/'Tariff Tables'!$G4,5)</f>
        <v>-2.0000000000000002E-5</v>
      </c>
      <c r="AE20" s="277"/>
      <c r="AF20" s="280"/>
      <c r="AG20" s="45"/>
    </row>
    <row r="21" spans="2:33" ht="15" thickBot="1" x14ac:dyDescent="0.4">
      <c r="B21" s="87" t="s">
        <v>94</v>
      </c>
      <c r="C21" s="271">
        <f>+'PCR Cycle 4'!K5+'PCR Cycle 3'!K5</f>
        <v>255021.50999999978</v>
      </c>
      <c r="D21" s="519">
        <f>'TDR Cycle 4'!K5+'TDR Cycle 3'!K5+'TDR Cycle 2'!K8</f>
        <v>-363.92999999999483</v>
      </c>
      <c r="E21" s="519">
        <f>+'EOR Cycle 2'!I8+'EOR Cycle 3'!J5</f>
        <v>111020.79999999999</v>
      </c>
      <c r="F21" s="271">
        <f>+'OAR Cycle 3'!I5</f>
        <v>-61559.21</v>
      </c>
      <c r="G21" s="117"/>
      <c r="O21" s="274">
        <v>0</v>
      </c>
      <c r="P21" s="274">
        <v>0</v>
      </c>
      <c r="Q21" s="274">
        <v>0</v>
      </c>
      <c r="R21" s="209"/>
      <c r="S21" s="276">
        <v>0</v>
      </c>
      <c r="T21" s="278">
        <f>ROUND(+'TDR Cycle 2'!K8/'Tariff Tables'!G5,5)</f>
        <v>1.0000000000000001E-5</v>
      </c>
      <c r="U21" s="521">
        <f>ROUND('EOR Cycle 2'!I8/'Tariff Tables'!G5,5)-0.00001</f>
        <v>0</v>
      </c>
      <c r="V21" s="276">
        <v>0</v>
      </c>
      <c r="W21" s="248"/>
      <c r="X21" s="322">
        <f>ROUND('PCR Cycle 3'!K5/'Tariff Tables'!G5,5)-0.00001</f>
        <v>3.6999999999999999E-4</v>
      </c>
      <c r="Y21" s="277">
        <f>ROUND('TDR Cycle 3'!$K5/'Tariff Tables'!$G5,5)</f>
        <v>-1.0000000000000001E-5</v>
      </c>
      <c r="Z21" s="277">
        <f>ROUND('EOR Cycle 3'!J5/'Tariff Tables'!G5,5)</f>
        <v>9.0000000000000006E-5</v>
      </c>
      <c r="AA21" s="277">
        <f>ROUND('OAR Cycle 3'!I5/'Tariff Tables'!G5,5)</f>
        <v>-5.0000000000000002E-5</v>
      </c>
      <c r="AC21" s="278">
        <f>ROUND('PCR Cycle 4'!$K5/'Tariff Tables'!$G5,5)</f>
        <v>-1.6000000000000001E-4</v>
      </c>
      <c r="AD21" s="277">
        <f>ROUND('TDR Cycle 4'!$K5/'Tariff Tables'!$G5,5)</f>
        <v>0</v>
      </c>
      <c r="AE21" s="277"/>
      <c r="AF21" s="277"/>
      <c r="AG21" s="45"/>
    </row>
    <row r="22" spans="2:33" s="45" customFormat="1" ht="15" thickBot="1" x14ac:dyDescent="0.4">
      <c r="B22" s="87" t="s">
        <v>95</v>
      </c>
      <c r="C22" s="271">
        <f>+'PCR Cycle 4'!K6+'PCR Cycle 3'!K6</f>
        <v>-412680.48000000056</v>
      </c>
      <c r="D22" s="519">
        <f>'TDR Cycle 4'!K6+'TDR Cycle 3'!K6+'TDR Cycle 2'!K9</f>
        <v>55425.350000000057</v>
      </c>
      <c r="E22" s="519">
        <f>+'EOR Cycle 2'!I9+'EOR Cycle 3'!J6</f>
        <v>216893.02000000011</v>
      </c>
      <c r="F22" s="271">
        <f>+'OAR Cycle 3'!I6</f>
        <v>-61377.969999999987</v>
      </c>
      <c r="G22" s="117"/>
      <c r="O22" s="274">
        <v>0</v>
      </c>
      <c r="P22" s="274">
        <v>0</v>
      </c>
      <c r="Q22" s="274">
        <v>0</v>
      </c>
      <c r="R22" s="209"/>
      <c r="S22" s="276">
        <v>0</v>
      </c>
      <c r="T22" s="278">
        <f>ROUND(+'TDR Cycle 2'!K9/'Tariff Tables'!G6,5)</f>
        <v>1.0000000000000001E-5</v>
      </c>
      <c r="U22" s="278">
        <f>ROUND('EOR Cycle 2'!I9/'Tariff Tables'!G6,5)</f>
        <v>1.0000000000000001E-5</v>
      </c>
      <c r="V22" s="276">
        <v>0</v>
      </c>
      <c r="W22" s="248"/>
      <c r="X22" s="277">
        <f>ROUND('PCR Cycle 3'!K6/'Tariff Tables'!G6,5)</f>
        <v>1.8000000000000001E-4</v>
      </c>
      <c r="Y22" s="322">
        <f>ROUND('TDR Cycle 3'!$K6/'Tariff Tables'!$G6,5)-0.00001</f>
        <v>4.0000000000000003E-5</v>
      </c>
      <c r="Z22" s="277">
        <f>ROUND('EOR Cycle 3'!J6/'Tariff Tables'!G6,5)</f>
        <v>2.1000000000000001E-4</v>
      </c>
      <c r="AA22" s="277">
        <f>ROUND('OAR Cycle 3'!I6/'Tariff Tables'!G6,5)</f>
        <v>-6.0000000000000002E-5</v>
      </c>
      <c r="AC22" s="521">
        <f>ROUND('PCR Cycle 4'!$K6/'Tariff Tables'!$G6,5)+0.00001</f>
        <v>-5.8999999999999992E-4</v>
      </c>
      <c r="AD22" s="277">
        <f>ROUND('TDR Cycle 4'!$K6/'Tariff Tables'!$G6,5)</f>
        <v>0</v>
      </c>
      <c r="AE22" s="277"/>
      <c r="AF22" s="277"/>
    </row>
    <row r="23" spans="2:33" s="45" customFormat="1" ht="15" thickBot="1" x14ac:dyDescent="0.4">
      <c r="B23" s="87" t="s">
        <v>96</v>
      </c>
      <c r="C23" s="271">
        <f>+'PCR Cycle 4'!K7+'PCR Cycle 3'!K7</f>
        <v>-1110599.399999999</v>
      </c>
      <c r="D23" s="519">
        <f>'TDR Cycle 4'!K7+'TDR Cycle 3'!K7+'TDR Cycle 2'!K10</f>
        <v>11475.800000000039</v>
      </c>
      <c r="E23" s="519">
        <f>+'EOR Cycle 2'!I10+'EOR Cycle 3'!J7</f>
        <v>120622.66</v>
      </c>
      <c r="F23" s="271">
        <f>+'OAR Cycle 3'!I7</f>
        <v>-42240.680000000022</v>
      </c>
      <c r="G23" s="117"/>
      <c r="O23" s="274">
        <v>0</v>
      </c>
      <c r="P23" s="274">
        <v>0</v>
      </c>
      <c r="Q23" s="274">
        <v>0</v>
      </c>
      <c r="R23" s="209"/>
      <c r="S23" s="276">
        <v>0</v>
      </c>
      <c r="T23" s="278">
        <f>ROUND(+'TDR Cycle 2'!K10/'Tariff Tables'!G7,5)</f>
        <v>1.0000000000000001E-5</v>
      </c>
      <c r="U23" s="278">
        <f>ROUND('EOR Cycle 2'!I10/'Tariff Tables'!G7,5)</f>
        <v>0</v>
      </c>
      <c r="V23" s="276">
        <v>0</v>
      </c>
      <c r="W23" s="248"/>
      <c r="X23" s="322">
        <f>ROUND('PCR Cycle 3'!K7/'Tariff Tables'!G7,5)-0.00001</f>
        <v>-4.3000000000000004E-4</v>
      </c>
      <c r="Y23" s="277">
        <f>ROUND('TDR Cycle 3'!$K7/'Tariff Tables'!$G7,5)</f>
        <v>1.0000000000000001E-5</v>
      </c>
      <c r="Z23" s="322">
        <f>ROUND('EOR Cycle 3'!J7/'Tariff Tables'!G7,5)+0.00001</f>
        <v>1.8000000000000001E-4</v>
      </c>
      <c r="AA23" s="277">
        <f>ROUND('OAR Cycle 3'!I7/'Tariff Tables'!G7,5)</f>
        <v>-6.0000000000000002E-5</v>
      </c>
      <c r="AC23" s="278">
        <f>ROUND('PCR Cycle 4'!$K7/'Tariff Tables'!$G7,5)</f>
        <v>-1.1999999999999999E-3</v>
      </c>
      <c r="AD23" s="322">
        <f>ROUND('TDR Cycle 4'!$K7/'Tariff Tables'!$G7,5)+0.00001</f>
        <v>0</v>
      </c>
      <c r="AE23" s="277"/>
      <c r="AF23" s="277"/>
    </row>
    <row r="24" spans="2:33" x14ac:dyDescent="0.35">
      <c r="C24" s="117"/>
      <c r="D24" s="117"/>
      <c r="E24" s="117"/>
      <c r="F24" s="117"/>
      <c r="O24" s="45"/>
      <c r="P24" s="45"/>
      <c r="R24" s="45"/>
      <c r="S24" s="248"/>
      <c r="T24" s="248"/>
      <c r="U24" s="248"/>
      <c r="V24" s="248"/>
      <c r="W24" s="248"/>
      <c r="X24" s="248"/>
      <c r="Y24" s="248"/>
      <c r="Z24" s="248"/>
    </row>
    <row r="25" spans="2:33" x14ac:dyDescent="0.35">
      <c r="B25" s="90" t="s">
        <v>33</v>
      </c>
      <c r="R25" t="s">
        <v>134</v>
      </c>
      <c r="S25" s="313">
        <f>+J4-O12-O20-S12-S20-X12-X20-AC12-AC20</f>
        <v>0</v>
      </c>
      <c r="T25" s="313">
        <f t="shared" ref="T25:V25" si="7">+K4-P12-P20-T12-T20-Y12-Y20-AD12-AD20</f>
        <v>0</v>
      </c>
      <c r="U25" s="313">
        <f t="shared" si="7"/>
        <v>0</v>
      </c>
      <c r="V25" s="313">
        <f t="shared" si="7"/>
        <v>0</v>
      </c>
      <c r="W25" s="248"/>
      <c r="X25" s="248"/>
      <c r="Y25" s="248"/>
      <c r="Z25" s="248"/>
    </row>
    <row r="26" spans="2:33" x14ac:dyDescent="0.35">
      <c r="B26" s="91" t="s">
        <v>34</v>
      </c>
      <c r="R26" t="s">
        <v>135</v>
      </c>
      <c r="S26" s="313">
        <f t="shared" ref="S26:V26" si="8">+J5-O13-O21-S13-S21-X13-X21-AC13-AC21</f>
        <v>2.439454888092385E-19</v>
      </c>
      <c r="T26" s="313">
        <f t="shared" si="8"/>
        <v>-6.7762635780344027E-21</v>
      </c>
      <c r="U26" s="313">
        <f t="shared" si="8"/>
        <v>-4.0657581468206416E-20</v>
      </c>
      <c r="V26" s="313">
        <f t="shared" si="8"/>
        <v>0</v>
      </c>
      <c r="W26" s="248"/>
      <c r="X26" s="248"/>
      <c r="Y26" s="248"/>
      <c r="Z26" s="248"/>
    </row>
    <row r="27" spans="2:33" x14ac:dyDescent="0.35">
      <c r="B27" s="91" t="s">
        <v>37</v>
      </c>
      <c r="R27" t="s">
        <v>136</v>
      </c>
      <c r="S27" s="314">
        <f t="shared" ref="S27:V27" si="9">+J6-O14-O22-S14-S22-X14-X22-AC14-AC22</f>
        <v>0</v>
      </c>
      <c r="T27" s="314">
        <f t="shared" si="9"/>
        <v>-1.3552527156068805E-20</v>
      </c>
      <c r="U27" s="314">
        <f t="shared" si="9"/>
        <v>0</v>
      </c>
      <c r="V27" s="313">
        <f t="shared" si="9"/>
        <v>0</v>
      </c>
    </row>
    <row r="28" spans="2:33" x14ac:dyDescent="0.35">
      <c r="B28" s="91" t="s">
        <v>127</v>
      </c>
      <c r="R28" t="s">
        <v>137</v>
      </c>
      <c r="S28" s="314">
        <f t="shared" ref="S28:V28" si="10">+J7-O15-O23-S15-S23-X15-X23-AC15-AC23</f>
        <v>0</v>
      </c>
      <c r="T28" s="314">
        <f t="shared" si="10"/>
        <v>-3.3881317890172014E-21</v>
      </c>
      <c r="U28" s="314">
        <f t="shared" si="10"/>
        <v>2.7105054312137611E-20</v>
      </c>
      <c r="V28" s="313">
        <f t="shared" si="10"/>
        <v>0</v>
      </c>
    </row>
    <row r="29" spans="2:33" x14ac:dyDescent="0.35">
      <c r="B29" s="91" t="s">
        <v>35</v>
      </c>
      <c r="R29" s="45"/>
      <c r="S29" s="45"/>
      <c r="T29" s="45"/>
    </row>
    <row r="30" spans="2:33" x14ac:dyDescent="0.35">
      <c r="B30" s="91" t="s">
        <v>132</v>
      </c>
      <c r="O30" s="223"/>
      <c r="P30" s="223"/>
      <c r="Q30" s="223"/>
      <c r="R30" s="138"/>
      <c r="S30" s="138"/>
      <c r="T30" s="45"/>
    </row>
    <row r="31" spans="2:33" x14ac:dyDescent="0.35">
      <c r="B31" s="91" t="s">
        <v>126</v>
      </c>
      <c r="O31" s="138"/>
      <c r="P31" s="138"/>
      <c r="Q31" s="224"/>
      <c r="R31" s="138"/>
      <c r="S31" s="138"/>
      <c r="T31" s="45"/>
    </row>
    <row r="32" spans="2:33" x14ac:dyDescent="0.35">
      <c r="B32" s="91" t="s">
        <v>42</v>
      </c>
      <c r="O32" s="225"/>
      <c r="P32" s="138"/>
      <c r="Q32" s="224"/>
      <c r="R32" s="138"/>
      <c r="S32" s="138"/>
      <c r="T32" s="45"/>
    </row>
    <row r="33" spans="2:20" x14ac:dyDescent="0.35">
      <c r="B33" s="91" t="s">
        <v>131</v>
      </c>
      <c r="O33" s="226"/>
      <c r="P33" s="227"/>
      <c r="Q33" s="224"/>
      <c r="R33" s="224"/>
      <c r="S33" s="138"/>
      <c r="T33" s="45"/>
    </row>
    <row r="34" spans="2:20" x14ac:dyDescent="0.35">
      <c r="B34" s="91" t="s">
        <v>128</v>
      </c>
      <c r="O34" s="226"/>
      <c r="P34" s="227"/>
      <c r="Q34" s="224"/>
      <c r="R34" s="224"/>
      <c r="S34" s="138"/>
      <c r="T34" s="45"/>
    </row>
    <row r="35" spans="2:20" x14ac:dyDescent="0.35">
      <c r="B35" s="91" t="s">
        <v>129</v>
      </c>
      <c r="O35" s="226"/>
      <c r="P35" s="227"/>
      <c r="Q35" s="224"/>
      <c r="R35" s="224"/>
      <c r="S35" s="138"/>
      <c r="T35" s="45"/>
    </row>
    <row r="36" spans="2:20" x14ac:dyDescent="0.35">
      <c r="B36" s="91" t="s">
        <v>133</v>
      </c>
      <c r="O36" s="226"/>
      <c r="P36" s="227"/>
      <c r="Q36" s="224"/>
      <c r="R36" s="224"/>
      <c r="S36" s="138"/>
      <c r="T36" s="45"/>
    </row>
    <row r="37" spans="2:20" x14ac:dyDescent="0.35">
      <c r="B37" s="91" t="s">
        <v>36</v>
      </c>
      <c r="O37" s="226"/>
      <c r="P37" s="227"/>
      <c r="Q37" s="224"/>
      <c r="R37" s="224"/>
      <c r="S37" s="138"/>
      <c r="T37" s="45"/>
    </row>
    <row r="38" spans="2:20" x14ac:dyDescent="0.35">
      <c r="B38" s="91" t="s">
        <v>130</v>
      </c>
      <c r="O38" s="226"/>
      <c r="P38" s="227"/>
      <c r="Q38" s="224"/>
      <c r="R38" s="224"/>
      <c r="S38" s="138"/>
      <c r="T38" s="45"/>
    </row>
    <row r="39" spans="2:20" x14ac:dyDescent="0.35">
      <c r="B39" s="91" t="s">
        <v>165</v>
      </c>
      <c r="O39" s="228"/>
      <c r="P39" s="227"/>
      <c r="Q39" s="224"/>
      <c r="R39" s="224"/>
      <c r="S39" s="138"/>
      <c r="T39" s="45"/>
    </row>
    <row r="40" spans="2:20" x14ac:dyDescent="0.35">
      <c r="B40" s="91" t="s">
        <v>166</v>
      </c>
      <c r="O40" s="138"/>
      <c r="P40" s="229"/>
      <c r="Q40" s="224"/>
      <c r="R40" s="224"/>
      <c r="S40" s="138"/>
      <c r="T40" s="45"/>
    </row>
    <row r="41" spans="2:20" x14ac:dyDescent="0.35">
      <c r="O41" s="225"/>
      <c r="P41" s="138"/>
      <c r="Q41" s="224"/>
      <c r="R41" s="224"/>
      <c r="S41" s="138"/>
      <c r="T41" s="45"/>
    </row>
    <row r="42" spans="2:20" x14ac:dyDescent="0.35">
      <c r="O42" s="226"/>
      <c r="P42" s="227"/>
      <c r="Q42" s="224"/>
      <c r="R42" s="224"/>
      <c r="S42" s="138"/>
      <c r="T42" s="45"/>
    </row>
    <row r="43" spans="2:20" x14ac:dyDescent="0.35">
      <c r="B43" s="404" t="s">
        <v>9</v>
      </c>
      <c r="C43" s="363"/>
      <c r="D43" s="363"/>
      <c r="E43" s="363"/>
      <c r="F43" s="363"/>
      <c r="G43" s="363"/>
      <c r="O43" s="226"/>
      <c r="P43" s="227"/>
      <c r="Q43" s="224"/>
      <c r="R43" s="224"/>
      <c r="S43" s="138"/>
      <c r="T43" s="45"/>
    </row>
    <row r="44" spans="2:20" ht="32.25" customHeight="1" x14ac:dyDescent="0.35">
      <c r="B44" s="526" t="s">
        <v>275</v>
      </c>
      <c r="C44" s="526"/>
      <c r="D44" s="526"/>
      <c r="E44" s="526"/>
      <c r="F44" s="526"/>
      <c r="G44" s="526"/>
      <c r="O44" s="226"/>
      <c r="P44" s="227"/>
      <c r="Q44" s="224"/>
      <c r="R44" s="224"/>
      <c r="S44" s="138"/>
      <c r="T44" s="45"/>
    </row>
    <row r="45" spans="2:20" x14ac:dyDescent="0.35">
      <c r="O45" s="226"/>
      <c r="P45" s="227"/>
      <c r="Q45" s="224"/>
      <c r="R45" s="224"/>
      <c r="S45" s="138"/>
      <c r="T45" s="45"/>
    </row>
    <row r="46" spans="2:20" x14ac:dyDescent="0.35">
      <c r="O46" s="226"/>
      <c r="P46" s="227"/>
      <c r="Q46" s="224"/>
      <c r="R46" s="224"/>
      <c r="S46" s="138"/>
      <c r="T46" s="45"/>
    </row>
    <row r="47" spans="2:20" x14ac:dyDescent="0.35">
      <c r="O47" s="226"/>
      <c r="P47" s="227"/>
      <c r="Q47" s="224"/>
      <c r="R47" s="224"/>
      <c r="S47" s="138"/>
      <c r="T47" s="45"/>
    </row>
    <row r="48" spans="2:20" x14ac:dyDescent="0.35">
      <c r="O48" s="228"/>
      <c r="P48" s="227"/>
      <c r="Q48" s="224"/>
      <c r="R48" s="224"/>
      <c r="S48" s="138"/>
    </row>
    <row r="49" spans="15:19" x14ac:dyDescent="0.35">
      <c r="O49" s="138"/>
      <c r="P49" s="229"/>
      <c r="Q49" s="224"/>
      <c r="R49" s="224"/>
      <c r="S49" s="138"/>
    </row>
    <row r="50" spans="15:19" x14ac:dyDescent="0.35">
      <c r="O50" s="138"/>
      <c r="P50" s="138"/>
      <c r="Q50" s="224"/>
      <c r="R50" s="224"/>
      <c r="S50" s="138"/>
    </row>
  </sheetData>
  <mergeCells count="1">
    <mergeCell ref="B44:G44"/>
  </mergeCells>
  <pageMargins left="0.2" right="0.2" top="0.75" bottom="0.25" header="0.3" footer="0.3"/>
  <pageSetup scale="43" orientation="landscape" r:id="rId1"/>
  <headerFooter>
    <oddHeader>&amp;C&amp;F &amp;A&amp;R&amp;"Arial"&amp;10&amp;K000000CONFIDENTIAL</oddHeader>
    <oddFooter xml:space="preserve">&amp;R_x000D_&amp;1#&amp;"Calibri"&amp;10&amp;KA80000 Restricted – Sensitive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sheetPr>
    <tabColor rgb="FF7030A0"/>
  </sheetPr>
  <dimension ref="A2:S37"/>
  <sheetViews>
    <sheetView workbookViewId="0"/>
  </sheetViews>
  <sheetFormatPr defaultRowHeight="14.5" x14ac:dyDescent="0.35"/>
  <cols>
    <col min="1" max="1" width="27.7265625" customWidth="1"/>
    <col min="2" max="2" width="11.26953125" bestFit="1" customWidth="1"/>
    <col min="3" max="3" width="10.1796875" bestFit="1" customWidth="1"/>
    <col min="4" max="5" width="11.26953125" bestFit="1" customWidth="1"/>
    <col min="6" max="6" width="10.1796875" bestFit="1" customWidth="1"/>
  </cols>
  <sheetData>
    <row r="2" spans="1:6" x14ac:dyDescent="0.35">
      <c r="A2" s="3" t="str">
        <f>+'Tariff Tables'!A1</f>
        <v>Evergy Missouri West, Inc. - DSIM Rider Update Filed 06/02/2025</v>
      </c>
    </row>
    <row r="3" spans="1:6" ht="15" thickBot="1" x14ac:dyDescent="0.4">
      <c r="A3" s="3" t="s">
        <v>111</v>
      </c>
    </row>
    <row r="4" spans="1:6" ht="27.5" thickBot="1" x14ac:dyDescent="0.4">
      <c r="A4" s="84" t="s">
        <v>118</v>
      </c>
      <c r="B4" s="121" t="s">
        <v>117</v>
      </c>
      <c r="C4" s="121" t="s">
        <v>116</v>
      </c>
      <c r="D4" s="121" t="s">
        <v>115</v>
      </c>
      <c r="E4" s="121" t="s">
        <v>114</v>
      </c>
      <c r="F4" s="86" t="s">
        <v>25</v>
      </c>
    </row>
    <row r="5" spans="1:6" ht="15" thickBot="1" x14ac:dyDescent="0.4">
      <c r="A5" s="87" t="s">
        <v>22</v>
      </c>
      <c r="B5" s="281">
        <f>+'Tariff Tables'!S12+'Tariff Tables'!S20</f>
        <v>0</v>
      </c>
      <c r="C5" s="281">
        <f>+'Tariff Tables'!T12+'Tariff Tables'!T20</f>
        <v>1.0000000000000001E-5</v>
      </c>
      <c r="D5" s="281">
        <f>+'Tariff Tables'!U12+'Tariff Tables'!U20</f>
        <v>0</v>
      </c>
      <c r="E5" s="281">
        <f>+'Tariff Tables'!V12+'Tariff Tables'!V20</f>
        <v>0</v>
      </c>
      <c r="F5" s="205">
        <f>SUM(B5:E5)</f>
        <v>1.0000000000000001E-5</v>
      </c>
    </row>
    <row r="6" spans="1:6" ht="15" thickBot="1" x14ac:dyDescent="0.4">
      <c r="A6" s="87" t="s">
        <v>94</v>
      </c>
      <c r="B6" s="281">
        <f>+'Tariff Tables'!S13+'Tariff Tables'!S21</f>
        <v>0</v>
      </c>
      <c r="C6" s="281">
        <f>+'Tariff Tables'!T13+'Tariff Tables'!T21</f>
        <v>1.0000000000000001E-5</v>
      </c>
      <c r="D6" s="281">
        <f>+'Tariff Tables'!U13+'Tariff Tables'!U21</f>
        <v>0</v>
      </c>
      <c r="E6" s="281">
        <f>+'Tariff Tables'!V13+'Tariff Tables'!V21</f>
        <v>0</v>
      </c>
      <c r="F6" s="205">
        <f t="shared" ref="F6:F8" si="0">SUM(B6:E6)</f>
        <v>1.0000000000000001E-5</v>
      </c>
    </row>
    <row r="7" spans="1:6" ht="15" thickBot="1" x14ac:dyDescent="0.4">
      <c r="A7" s="87" t="s">
        <v>95</v>
      </c>
      <c r="B7" s="281">
        <f>+'Tariff Tables'!S14+'Tariff Tables'!S22</f>
        <v>0</v>
      </c>
      <c r="C7" s="281">
        <f>+'Tariff Tables'!T14+'Tariff Tables'!T22</f>
        <v>1.0000000000000001E-5</v>
      </c>
      <c r="D7" s="281">
        <f>+'Tariff Tables'!U14+'Tariff Tables'!U22</f>
        <v>1.0000000000000001E-5</v>
      </c>
      <c r="E7" s="281">
        <f>+'Tariff Tables'!V14+'Tariff Tables'!V22</f>
        <v>0</v>
      </c>
      <c r="F7" s="205">
        <f t="shared" si="0"/>
        <v>2.0000000000000002E-5</v>
      </c>
    </row>
    <row r="8" spans="1:6" ht="15" thickBot="1" x14ac:dyDescent="0.4">
      <c r="A8" s="87" t="s">
        <v>96</v>
      </c>
      <c r="B8" s="281">
        <f>+'Tariff Tables'!S15+'Tariff Tables'!S23</f>
        <v>0</v>
      </c>
      <c r="C8" s="281">
        <f>+'Tariff Tables'!T15+'Tariff Tables'!T23</f>
        <v>1.0000000000000001E-5</v>
      </c>
      <c r="D8" s="281">
        <f>+'Tariff Tables'!U15+'Tariff Tables'!U23</f>
        <v>0</v>
      </c>
      <c r="E8" s="281">
        <f>+'Tariff Tables'!V15+'Tariff Tables'!V23</f>
        <v>0</v>
      </c>
      <c r="F8" s="205">
        <f t="shared" si="0"/>
        <v>1.0000000000000001E-5</v>
      </c>
    </row>
    <row r="11" spans="1:6" ht="15" thickBot="1" x14ac:dyDescent="0.4">
      <c r="A11" s="3" t="s">
        <v>112</v>
      </c>
      <c r="B11" s="45"/>
      <c r="C11" s="45"/>
      <c r="D11" s="45"/>
      <c r="E11" s="45"/>
      <c r="F11" s="45"/>
    </row>
    <row r="12" spans="1:6" ht="27.5" thickBot="1" x14ac:dyDescent="0.4">
      <c r="A12" s="84" t="s">
        <v>118</v>
      </c>
      <c r="B12" s="121" t="s">
        <v>117</v>
      </c>
      <c r="C12" s="121" t="s">
        <v>116</v>
      </c>
      <c r="D12" s="121" t="s">
        <v>115</v>
      </c>
      <c r="E12" s="121" t="s">
        <v>114</v>
      </c>
      <c r="F12" s="86" t="s">
        <v>25</v>
      </c>
    </row>
    <row r="13" spans="1:6" ht="15" thickBot="1" x14ac:dyDescent="0.4">
      <c r="A13" s="87" t="s">
        <v>22</v>
      </c>
      <c r="B13" s="281">
        <f>+'Tariff Tables'!X12+'Tariff Tables'!X20</f>
        <v>3.8000000000000002E-4</v>
      </c>
      <c r="C13" s="281">
        <f>+'Tariff Tables'!Y12+'Tariff Tables'!Y20</f>
        <v>7.9999999999999993E-5</v>
      </c>
      <c r="D13" s="281">
        <f>+'Tariff Tables'!Z12+'Tariff Tables'!Z20</f>
        <v>5.1000000000000004E-4</v>
      </c>
      <c r="E13" s="281">
        <f>+'Tariff Tables'!AA12+'Tariff Tables'!AA20</f>
        <v>-6.0000000000000002E-5</v>
      </c>
      <c r="F13" s="205">
        <f>SUM(B13:E13)</f>
        <v>9.1E-4</v>
      </c>
    </row>
    <row r="14" spans="1:6" ht="15" thickBot="1" x14ac:dyDescent="0.4">
      <c r="A14" s="87" t="s">
        <v>94</v>
      </c>
      <c r="B14" s="281">
        <f>+'Tariff Tables'!X13+'Tariff Tables'!X21</f>
        <v>3.6999999999999999E-4</v>
      </c>
      <c r="C14" s="281">
        <f>+'Tariff Tables'!Y13+'Tariff Tables'!Y21</f>
        <v>3.3999999999999997E-4</v>
      </c>
      <c r="D14" s="281">
        <f>+'Tariff Tables'!Z13+'Tariff Tables'!Z21</f>
        <v>4.3000000000000004E-4</v>
      </c>
      <c r="E14" s="281">
        <f>+'Tariff Tables'!AA13+'Tariff Tables'!AA21</f>
        <v>-5.0000000000000002E-5</v>
      </c>
      <c r="F14" s="205">
        <f t="shared" ref="F14:F16" si="1">SUM(B14:E14)</f>
        <v>1.09E-3</v>
      </c>
    </row>
    <row r="15" spans="1:6" ht="15" thickBot="1" x14ac:dyDescent="0.4">
      <c r="A15" s="87" t="s">
        <v>95</v>
      </c>
      <c r="B15" s="281">
        <f>+'Tariff Tables'!X14+'Tariff Tables'!X22</f>
        <v>1.8000000000000001E-4</v>
      </c>
      <c r="C15" s="281">
        <f>+'Tariff Tables'!Y14+'Tariff Tables'!Y22</f>
        <v>2.9999999999999997E-4</v>
      </c>
      <c r="D15" s="281">
        <f>+'Tariff Tables'!Z14+'Tariff Tables'!Z22</f>
        <v>6.3000000000000003E-4</v>
      </c>
      <c r="E15" s="281">
        <f>+'Tariff Tables'!AA14+'Tariff Tables'!AA22</f>
        <v>-6.0000000000000002E-5</v>
      </c>
      <c r="F15" s="205">
        <f t="shared" si="1"/>
        <v>1.0499999999999999E-3</v>
      </c>
    </row>
    <row r="16" spans="1:6" ht="15" thickBot="1" x14ac:dyDescent="0.4">
      <c r="A16" s="87" t="s">
        <v>96</v>
      </c>
      <c r="B16" s="281">
        <f>+'Tariff Tables'!X15+'Tariff Tables'!X23</f>
        <v>-4.3000000000000004E-4</v>
      </c>
      <c r="C16" s="281">
        <f>+'Tariff Tables'!Y15+'Tariff Tables'!Y23</f>
        <v>1E-4</v>
      </c>
      <c r="D16" s="281">
        <f>+'Tariff Tables'!Z15+'Tariff Tables'!Z23</f>
        <v>5.9000000000000003E-4</v>
      </c>
      <c r="E16" s="281">
        <f>+'Tariff Tables'!AA15+'Tariff Tables'!AA23</f>
        <v>-6.0000000000000002E-5</v>
      </c>
      <c r="F16" s="205">
        <f t="shared" si="1"/>
        <v>1.9999999999999998E-4</v>
      </c>
    </row>
    <row r="17" spans="1:19" s="45" customFormat="1" x14ac:dyDescent="0.35">
      <c r="I17"/>
      <c r="J17"/>
      <c r="K17"/>
      <c r="L17"/>
      <c r="M17"/>
      <c r="N17"/>
      <c r="O17"/>
      <c r="P17"/>
      <c r="Q17"/>
      <c r="R17"/>
      <c r="S17"/>
    </row>
    <row r="18" spans="1:19" s="45" customFormat="1" x14ac:dyDescent="0.35">
      <c r="I18"/>
      <c r="J18"/>
      <c r="K18"/>
      <c r="L18"/>
      <c r="M18"/>
      <c r="N18"/>
      <c r="O18"/>
      <c r="P18"/>
      <c r="Q18"/>
      <c r="R18"/>
      <c r="S18"/>
    </row>
    <row r="19" spans="1:19" s="45" customFormat="1" ht="15" thickBot="1" x14ac:dyDescent="0.4">
      <c r="A19" s="3" t="s">
        <v>214</v>
      </c>
      <c r="I19"/>
      <c r="J19"/>
      <c r="K19"/>
      <c r="L19"/>
      <c r="M19"/>
      <c r="N19"/>
      <c r="O19"/>
      <c r="P19"/>
      <c r="Q19"/>
      <c r="R19"/>
      <c r="S19"/>
    </row>
    <row r="20" spans="1:19" s="45" customFormat="1" ht="27.5" thickBot="1" x14ac:dyDescent="0.4">
      <c r="A20" s="84" t="s">
        <v>118</v>
      </c>
      <c r="B20" s="121" t="s">
        <v>117</v>
      </c>
      <c r="C20" s="121" t="s">
        <v>116</v>
      </c>
      <c r="D20" s="121" t="s">
        <v>115</v>
      </c>
      <c r="E20" s="121" t="s">
        <v>114</v>
      </c>
      <c r="F20" s="86" t="s">
        <v>25</v>
      </c>
      <c r="I20"/>
      <c r="J20"/>
      <c r="K20"/>
      <c r="L20"/>
      <c r="M20"/>
      <c r="N20"/>
      <c r="O20"/>
      <c r="P20"/>
      <c r="Q20"/>
      <c r="R20"/>
      <c r="S20"/>
    </row>
    <row r="21" spans="1:19" s="45" customFormat="1" ht="15" thickBot="1" x14ac:dyDescent="0.4">
      <c r="A21" s="87" t="s">
        <v>22</v>
      </c>
      <c r="B21" s="281">
        <f>+'Tariff Tables'!AC12+'Tariff Tables'!AC20</f>
        <v>1.31E-3</v>
      </c>
      <c r="C21" s="281">
        <f>+'Tariff Tables'!AD12+'Tariff Tables'!AD20</f>
        <v>2.0000000000000002E-5</v>
      </c>
      <c r="D21" s="281">
        <f>+'Tariff Tables'!AE12+'Tariff Tables'!AE20</f>
        <v>0</v>
      </c>
      <c r="E21" s="281">
        <f>+'Tariff Tables'!AF12+'Tariff Tables'!AF20</f>
        <v>0</v>
      </c>
      <c r="F21" s="205">
        <f>SUM(B21:E21)</f>
        <v>1.33E-3</v>
      </c>
      <c r="I21"/>
      <c r="J21"/>
      <c r="K21"/>
      <c r="L21"/>
      <c r="M21"/>
      <c r="N21"/>
      <c r="O21"/>
      <c r="P21"/>
      <c r="Q21"/>
      <c r="R21"/>
      <c r="S21"/>
    </row>
    <row r="22" spans="1:19" s="45" customFormat="1" ht="15" thickBot="1" x14ac:dyDescent="0.4">
      <c r="A22" s="87" t="s">
        <v>94</v>
      </c>
      <c r="B22" s="281">
        <f>+'Tariff Tables'!AC13+'Tariff Tables'!AC21</f>
        <v>1.2199999999999999E-3</v>
      </c>
      <c r="C22" s="281">
        <f>+'Tariff Tables'!AD13+'Tariff Tables'!AD21</f>
        <v>5.0000000000000002E-5</v>
      </c>
      <c r="D22" s="281">
        <f>+'Tariff Tables'!AE13+'Tariff Tables'!AE21</f>
        <v>0</v>
      </c>
      <c r="E22" s="281">
        <f>+'Tariff Tables'!AF13+'Tariff Tables'!AF21</f>
        <v>0</v>
      </c>
      <c r="F22" s="205">
        <f t="shared" ref="F22:F24" si="2">SUM(B22:E22)</f>
        <v>1.2699999999999999E-3</v>
      </c>
      <c r="I22"/>
      <c r="J22"/>
      <c r="K22"/>
      <c r="L22"/>
      <c r="M22"/>
      <c r="N22"/>
      <c r="O22"/>
      <c r="P22"/>
      <c r="Q22"/>
      <c r="R22"/>
      <c r="S22"/>
    </row>
    <row r="23" spans="1:19" s="45" customFormat="1" ht="15" thickBot="1" x14ac:dyDescent="0.4">
      <c r="A23" s="87" t="s">
        <v>95</v>
      </c>
      <c r="B23" s="281">
        <f>+'Tariff Tables'!AC14+'Tariff Tables'!AC22</f>
        <v>2.3700000000000001E-3</v>
      </c>
      <c r="C23" s="281">
        <f>+'Tariff Tables'!AD14+'Tariff Tables'!AD22</f>
        <v>4.0000000000000003E-5</v>
      </c>
      <c r="D23" s="281">
        <f>+'Tariff Tables'!AE14+'Tariff Tables'!AE22</f>
        <v>0</v>
      </c>
      <c r="E23" s="281">
        <f>+'Tariff Tables'!AF14+'Tariff Tables'!AF22</f>
        <v>0</v>
      </c>
      <c r="F23" s="205">
        <f t="shared" si="2"/>
        <v>2.4100000000000002E-3</v>
      </c>
      <c r="I23"/>
      <c r="J23"/>
      <c r="K23"/>
      <c r="L23"/>
      <c r="M23"/>
      <c r="N23"/>
      <c r="O23"/>
      <c r="P23"/>
      <c r="Q23"/>
      <c r="R23"/>
      <c r="S23"/>
    </row>
    <row r="24" spans="1:19" s="45" customFormat="1" ht="15" thickBot="1" x14ac:dyDescent="0.4">
      <c r="A24" s="87" t="s">
        <v>96</v>
      </c>
      <c r="B24" s="281">
        <f>+'Tariff Tables'!AC15+'Tariff Tables'!AC23</f>
        <v>3.49E-3</v>
      </c>
      <c r="C24" s="281">
        <f>+'Tariff Tables'!AD15+'Tariff Tables'!AD23</f>
        <v>1.0000000000000001E-5</v>
      </c>
      <c r="D24" s="281">
        <f>+'Tariff Tables'!AE15+'Tariff Tables'!AE23</f>
        <v>0</v>
      </c>
      <c r="E24" s="281">
        <f>+'Tariff Tables'!AF15+'Tariff Tables'!AF23</f>
        <v>0</v>
      </c>
      <c r="F24" s="205">
        <f t="shared" si="2"/>
        <v>3.5000000000000001E-3</v>
      </c>
      <c r="I24"/>
      <c r="J24"/>
      <c r="K24"/>
      <c r="L24"/>
      <c r="M24"/>
      <c r="N24"/>
      <c r="O24"/>
      <c r="P24"/>
      <c r="Q24"/>
      <c r="R24"/>
      <c r="S24"/>
    </row>
    <row r="27" spans="1:19" ht="15" thickBot="1" x14ac:dyDescent="0.4">
      <c r="A27" s="3" t="s">
        <v>113</v>
      </c>
      <c r="B27" s="45"/>
      <c r="C27" s="45"/>
      <c r="D27" s="45"/>
      <c r="E27" s="45"/>
      <c r="F27" s="45"/>
    </row>
    <row r="28" spans="1:19" ht="27.5" thickBot="1" x14ac:dyDescent="0.4">
      <c r="A28" s="84" t="s">
        <v>118</v>
      </c>
      <c r="B28" s="121" t="s">
        <v>117</v>
      </c>
      <c r="C28" s="121" t="s">
        <v>116</v>
      </c>
      <c r="D28" s="121" t="s">
        <v>115</v>
      </c>
      <c r="E28" s="121" t="s">
        <v>114</v>
      </c>
      <c r="F28" s="86" t="s">
        <v>25</v>
      </c>
    </row>
    <row r="29" spans="1:19" ht="15" thickBot="1" x14ac:dyDescent="0.4">
      <c r="A29" s="87" t="s">
        <v>22</v>
      </c>
      <c r="B29" s="206">
        <f>SUMIFS(B$2:B$27,$A$2:$A$27,$A29)</f>
        <v>1.6900000000000001E-3</v>
      </c>
      <c r="C29" s="207">
        <f t="shared" ref="C29:E32" si="3">SUMIFS(C$2:C$27,$A$2:$A$27,$A29)</f>
        <v>1.0999999999999999E-4</v>
      </c>
      <c r="D29" s="207">
        <f t="shared" si="3"/>
        <v>5.1000000000000004E-4</v>
      </c>
      <c r="E29" s="207">
        <f t="shared" si="3"/>
        <v>-6.0000000000000002E-5</v>
      </c>
      <c r="F29" s="205">
        <f>SUM(B29:E29)</f>
        <v>2.2500000000000003E-3</v>
      </c>
      <c r="G29" s="282">
        <f>+F29-'Tariff Tables'!H4</f>
        <v>0</v>
      </c>
    </row>
    <row r="30" spans="1:19" ht="15" thickBot="1" x14ac:dyDescent="0.4">
      <c r="A30" s="87" t="s">
        <v>94</v>
      </c>
      <c r="B30" s="206">
        <f t="shared" ref="B30:B32" si="4">SUMIFS(B$2:B$27,$A$2:$A$27,$A30)</f>
        <v>1.5899999999999998E-3</v>
      </c>
      <c r="C30" s="207">
        <f t="shared" si="3"/>
        <v>4.0000000000000002E-4</v>
      </c>
      <c r="D30" s="207">
        <f t="shared" si="3"/>
        <v>4.3000000000000004E-4</v>
      </c>
      <c r="E30" s="207">
        <f t="shared" si="3"/>
        <v>-5.0000000000000002E-5</v>
      </c>
      <c r="F30" s="205">
        <f t="shared" ref="F30:F32" si="5">SUM(B30:E30)</f>
        <v>2.3700000000000001E-3</v>
      </c>
      <c r="G30" s="282">
        <f>+F30-'Tariff Tables'!H5</f>
        <v>0</v>
      </c>
    </row>
    <row r="31" spans="1:19" ht="15" thickBot="1" x14ac:dyDescent="0.4">
      <c r="A31" s="87" t="s">
        <v>95</v>
      </c>
      <c r="B31" s="206">
        <f t="shared" si="4"/>
        <v>2.5500000000000002E-3</v>
      </c>
      <c r="C31" s="207">
        <f t="shared" si="3"/>
        <v>3.5E-4</v>
      </c>
      <c r="D31" s="207">
        <f t="shared" si="3"/>
        <v>6.4000000000000005E-4</v>
      </c>
      <c r="E31" s="207">
        <f t="shared" si="3"/>
        <v>-6.0000000000000002E-5</v>
      </c>
      <c r="F31" s="205">
        <f t="shared" si="5"/>
        <v>3.48E-3</v>
      </c>
      <c r="G31" s="282">
        <f>+F31-'Tariff Tables'!H6</f>
        <v>0</v>
      </c>
    </row>
    <row r="32" spans="1:19" ht="15" thickBot="1" x14ac:dyDescent="0.4">
      <c r="A32" s="87" t="s">
        <v>96</v>
      </c>
      <c r="B32" s="206">
        <f t="shared" si="4"/>
        <v>3.0600000000000002E-3</v>
      </c>
      <c r="C32" s="207">
        <f t="shared" si="3"/>
        <v>1.2E-4</v>
      </c>
      <c r="D32" s="207">
        <f t="shared" si="3"/>
        <v>5.9000000000000003E-4</v>
      </c>
      <c r="E32" s="207">
        <f t="shared" si="3"/>
        <v>-6.0000000000000002E-5</v>
      </c>
      <c r="F32" s="205">
        <f t="shared" si="5"/>
        <v>3.7099999999999998E-3</v>
      </c>
      <c r="G32" s="282">
        <f>+F32-'Tariff Tables'!H7</f>
        <v>0</v>
      </c>
    </row>
    <row r="34" spans="1:6" x14ac:dyDescent="0.35">
      <c r="A34" s="283" t="s">
        <v>195</v>
      </c>
      <c r="B34" s="282">
        <f>+B29-'Tariff Tables'!J4</f>
        <v>0</v>
      </c>
      <c r="C34" s="282">
        <f>+C29-'Tariff Tables'!K4</f>
        <v>0</v>
      </c>
      <c r="D34" s="282">
        <f>+D29-'Tariff Tables'!L4</f>
        <v>0</v>
      </c>
      <c r="E34" s="282">
        <f>+E29-'Tariff Tables'!M4</f>
        <v>0</v>
      </c>
      <c r="F34" s="208"/>
    </row>
    <row r="35" spans="1:6" x14ac:dyDescent="0.35">
      <c r="B35" s="282">
        <f>+B30-'Tariff Tables'!J5</f>
        <v>0</v>
      </c>
      <c r="C35" s="282">
        <f>+C30-'Tariff Tables'!K5</f>
        <v>0</v>
      </c>
      <c r="D35" s="282">
        <f>+D30-'Tariff Tables'!L5</f>
        <v>0</v>
      </c>
      <c r="E35" s="282">
        <f>+E30-'Tariff Tables'!M5</f>
        <v>0</v>
      </c>
      <c r="F35" s="208"/>
    </row>
    <row r="36" spans="1:6" x14ac:dyDescent="0.35">
      <c r="B36" s="282">
        <f>+B31-'Tariff Tables'!J6</f>
        <v>0</v>
      </c>
      <c r="C36" s="282">
        <f>+C31-'Tariff Tables'!K6</f>
        <v>0</v>
      </c>
      <c r="D36" s="282">
        <f>+D31-'Tariff Tables'!L6</f>
        <v>0</v>
      </c>
      <c r="E36" s="282">
        <f>+E31-'Tariff Tables'!M6</f>
        <v>0</v>
      </c>
      <c r="F36" s="208"/>
    </row>
    <row r="37" spans="1:6" x14ac:dyDescent="0.35">
      <c r="B37" s="282">
        <f>+B32-'Tariff Tables'!J7</f>
        <v>0</v>
      </c>
      <c r="C37" s="282">
        <f>+C32-'Tariff Tables'!K7</f>
        <v>0</v>
      </c>
      <c r="D37" s="282">
        <f>+D32-'Tariff Tables'!L7</f>
        <v>0</v>
      </c>
      <c r="E37" s="282">
        <f>+E32-'Tariff Tables'!M7</f>
        <v>0</v>
      </c>
      <c r="F37" s="208"/>
    </row>
  </sheetData>
  <pageMargins left="0.7" right="0.7" top="0.75" bottom="0.75" header="0.3" footer="0.3"/>
  <pageSetup orientation="portrait" r:id="rId1"/>
  <headerFooter>
    <oddFooter xml:space="preserve">&amp;R_x000D_&amp;1#&amp;"Calibri"&amp;10&amp;KA80000 Restricted – Sensitive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CC6D-CEF5-4D7F-9B4F-45C78C8935E8}">
  <sheetPr>
    <pageSetUpPr fitToPage="1"/>
  </sheetPr>
  <dimension ref="A1:X48"/>
  <sheetViews>
    <sheetView workbookViewId="0"/>
  </sheetViews>
  <sheetFormatPr defaultColWidth="9.1796875" defaultRowHeight="14.5" x14ac:dyDescent="0.35"/>
  <cols>
    <col min="1" max="1" width="20.81640625" style="45" customWidth="1"/>
    <col min="2" max="2" width="22" style="45" customWidth="1"/>
    <col min="3" max="3" width="17.26953125" style="45" customWidth="1"/>
    <col min="4" max="4" width="12.54296875" style="45" bestFit="1" customWidth="1"/>
    <col min="5" max="5" width="15.26953125" style="45" customWidth="1"/>
    <col min="6" max="6" width="12.54296875" style="45" customWidth="1"/>
    <col min="7" max="16384" width="9.1796875" style="45"/>
  </cols>
  <sheetData>
    <row r="1" spans="1:24" x14ac:dyDescent="0.35">
      <c r="A1" s="365" t="str">
        <f>+'PTD Cycle 3'!A1</f>
        <v>Evergy Missouri West, Inc. - DSIM Rider Update Filed 06/02/2025</v>
      </c>
    </row>
    <row r="2" spans="1:24" x14ac:dyDescent="0.35">
      <c r="A2" s="347" t="str">
        <f>SUBSTITUTE(+'PTD Cycle 3'!A2,"Cycle 3","Cycle 4")</f>
        <v>Projections for Cycle 4 July 2025 - June 2026 DSIM</v>
      </c>
    </row>
    <row r="3" spans="1:24" ht="35.25" customHeight="1" x14ac:dyDescent="0.35">
      <c r="B3" s="527" t="s">
        <v>233</v>
      </c>
      <c r="C3" s="527"/>
    </row>
    <row r="4" spans="1:24" ht="43.5" x14ac:dyDescent="0.35">
      <c r="B4" s="231" t="s">
        <v>38</v>
      </c>
      <c r="C4" s="203" t="s">
        <v>24</v>
      </c>
      <c r="D4" s="514" t="s">
        <v>270</v>
      </c>
    </row>
    <row r="5" spans="1:24" x14ac:dyDescent="0.35">
      <c r="A5" s="19" t="s">
        <v>22</v>
      </c>
      <c r="B5" s="518">
        <f>+'Tariff Tables'!G4</f>
        <v>3792335398.566391</v>
      </c>
      <c r="C5" s="201">
        <f>SUM(D5:F5)</f>
        <v>6488335.5700000003</v>
      </c>
      <c r="D5" s="201">
        <f>SUM('[2]GMO STIP IMPORT'!$AU104:$AV104)</f>
        <v>6488335.5700000003</v>
      </c>
      <c r="F5" s="230"/>
      <c r="G5" s="230"/>
    </row>
    <row r="6" spans="1:24" x14ac:dyDescent="0.35">
      <c r="A6" s="19" t="s">
        <v>94</v>
      </c>
      <c r="B6" s="518">
        <f>+'Tariff Tables'!G5</f>
        <v>1207399878</v>
      </c>
      <c r="C6" s="201">
        <f t="shared" ref="C6:C8" si="0">SUM(D6:F6)</f>
        <v>1660213.88</v>
      </c>
      <c r="D6" s="201">
        <f>SUM('[2]GMO STIP IMPORT'!$AU105:$AV105)</f>
        <v>1660213.88</v>
      </c>
      <c r="F6" s="230"/>
      <c r="G6" s="230"/>
      <c r="H6" s="230"/>
    </row>
    <row r="7" spans="1:24" x14ac:dyDescent="0.35">
      <c r="A7" s="19" t="s">
        <v>95</v>
      </c>
      <c r="B7" s="518">
        <f>+'Tariff Tables'!G6</f>
        <v>986899053</v>
      </c>
      <c r="C7" s="201">
        <f t="shared" si="0"/>
        <v>2925209.67</v>
      </c>
      <c r="D7" s="201">
        <f>SUM('[2]GMO STIP IMPORT'!$AU107:$AV107)</f>
        <v>2925209.67</v>
      </c>
      <c r="F7" s="230"/>
      <c r="G7" s="230"/>
      <c r="H7" s="230"/>
    </row>
    <row r="8" spans="1:24" x14ac:dyDescent="0.35">
      <c r="A8" s="19" t="s">
        <v>96</v>
      </c>
      <c r="B8" s="518">
        <f>+'Tariff Tables'!G7</f>
        <v>685597437</v>
      </c>
      <c r="C8" s="201">
        <f t="shared" si="0"/>
        <v>3217169.49</v>
      </c>
      <c r="D8" s="201">
        <f>SUM('[2]GMO STIP IMPORT'!$AU108:$AV108)</f>
        <v>3217169.49</v>
      </c>
      <c r="F8" s="230"/>
      <c r="G8" s="230"/>
      <c r="H8" s="230"/>
      <c r="O8" s="1"/>
      <c r="P8" s="1"/>
      <c r="Q8" s="1"/>
      <c r="R8" s="1"/>
      <c r="S8" s="1"/>
      <c r="T8" s="1"/>
      <c r="U8" s="1"/>
      <c r="V8" s="1"/>
      <c r="W8" s="1"/>
      <c r="X8" s="1"/>
    </row>
    <row r="9" spans="1:24" x14ac:dyDescent="0.35">
      <c r="A9" s="29" t="s">
        <v>97</v>
      </c>
      <c r="B9" s="232">
        <f>SUM(B5:B8)</f>
        <v>6672231766.566391</v>
      </c>
      <c r="C9" s="202">
        <f>SUM(C5:C8)</f>
        <v>14290928.610000001</v>
      </c>
      <c r="D9" s="202">
        <f t="shared" ref="D9" si="1">SUM(D5:D8)</f>
        <v>14290928.610000001</v>
      </c>
      <c r="O9" s="1"/>
      <c r="P9" s="1"/>
      <c r="Q9" s="1"/>
      <c r="R9" s="1"/>
      <c r="S9" s="1"/>
      <c r="T9" s="1"/>
      <c r="U9" s="1"/>
      <c r="V9" s="1"/>
      <c r="W9" s="1"/>
      <c r="X9" s="1"/>
    </row>
    <row r="11" spans="1:24" x14ac:dyDescent="0.35">
      <c r="A11" s="52" t="s">
        <v>9</v>
      </c>
    </row>
    <row r="12" spans="1:24" ht="29.5" customHeight="1" x14ac:dyDescent="0.35">
      <c r="A12" s="526" t="s">
        <v>276</v>
      </c>
      <c r="B12" s="526"/>
      <c r="C12" s="526"/>
      <c r="D12" s="526"/>
      <c r="E12" s="526"/>
      <c r="F12" s="256"/>
      <c r="G12" s="258"/>
      <c r="H12" s="258"/>
      <c r="I12" s="258"/>
    </row>
    <row r="13" spans="1:24" ht="18.75" customHeight="1" x14ac:dyDescent="0.35">
      <c r="A13" s="526" t="s">
        <v>232</v>
      </c>
      <c r="B13" s="526"/>
      <c r="C13" s="526"/>
      <c r="D13" s="526"/>
      <c r="E13" s="526"/>
    </row>
    <row r="14" spans="1:24" ht="30" customHeight="1" x14ac:dyDescent="0.35">
      <c r="A14" s="526" t="s">
        <v>278</v>
      </c>
      <c r="B14" s="526"/>
      <c r="C14" s="526"/>
      <c r="D14" s="526"/>
      <c r="E14" s="526"/>
    </row>
    <row r="15" spans="1:24" ht="32.5" customHeight="1" x14ac:dyDescent="0.35">
      <c r="A15" s="392"/>
      <c r="B15" s="392"/>
      <c r="C15" s="392"/>
      <c r="D15" s="392"/>
      <c r="E15" s="392"/>
    </row>
    <row r="22" spans="3:3" x14ac:dyDescent="0.35">
      <c r="C22" s="2"/>
    </row>
    <row r="44" spans="2:3" x14ac:dyDescent="0.35">
      <c r="B44" s="7"/>
      <c r="C44" s="7"/>
    </row>
    <row r="48" spans="2:3" x14ac:dyDescent="0.35">
      <c r="B48" s="7"/>
      <c r="C48" s="7"/>
    </row>
  </sheetData>
  <mergeCells count="4">
    <mergeCell ref="B3:C3"/>
    <mergeCell ref="A12:E12"/>
    <mergeCell ref="A13:E13"/>
    <mergeCell ref="A14:E14"/>
  </mergeCells>
  <pageMargins left="0.2" right="0.2" top="0.75" bottom="0.25" header="0.3" footer="0.3"/>
  <pageSetup scale="80" orientation="landscape" r:id="rId1"/>
  <headerFooter>
    <oddHeader>&amp;C&amp;F &amp;A&amp;R&amp;"Arial"&amp;10&amp;K000000CONFIDENTIAL</oddHeader>
    <oddFooter xml:space="preserve">&amp;R_x000D_&amp;1#&amp;"Calibri"&amp;10&amp;KA80000 Restricted – Sensitive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J74"/>
  <sheetViews>
    <sheetView zoomScale="85" zoomScaleNormal="85" workbookViewId="0">
      <pane xSplit="2" ySplit="11" topLeftCell="C12" activePane="bottomRight" state="frozen"/>
      <selection activeCell="E77" sqref="E77"/>
      <selection pane="topRight" activeCell="E77" sqref="E77"/>
      <selection pane="bottomLeft" activeCell="E77" sqref="E77"/>
      <selection pane="bottomRight" activeCell="C12" sqref="C12"/>
    </sheetView>
  </sheetViews>
  <sheetFormatPr defaultColWidth="9.1796875" defaultRowHeight="14.5" outlineLevelCol="1" x14ac:dyDescent="0.35"/>
  <cols>
    <col min="1" max="1" width="54.54296875" style="45" customWidth="1"/>
    <col min="2" max="2" width="14.7265625" style="45" customWidth="1"/>
    <col min="3" max="3" width="15" style="45" customWidth="1"/>
    <col min="4" max="4" width="15" style="45" customWidth="1" outlineLevel="1"/>
    <col min="5" max="5" width="15.26953125" style="45" customWidth="1"/>
    <col min="6" max="6" width="15.81640625" style="45" customWidth="1"/>
    <col min="7" max="7" width="17.54296875" style="45" customWidth="1"/>
    <col min="8" max="9" width="13.26953125" style="45" customWidth="1"/>
    <col min="10" max="10" width="15.7265625" style="45" customWidth="1"/>
    <col min="11" max="12" width="12.54296875" style="45" bestFit="1" customWidth="1"/>
    <col min="13" max="13" width="14.453125" style="45" customWidth="1"/>
    <col min="14" max="14" width="15" style="45" bestFit="1" customWidth="1"/>
    <col min="15" max="15" width="16.26953125" style="45" bestFit="1" customWidth="1"/>
    <col min="16" max="16" width="16.26953125" style="45" hidden="1" customWidth="1" outlineLevel="1"/>
    <col min="17" max="17" width="16.1796875" style="45" customWidth="1" collapsed="1"/>
    <col min="18" max="18" width="17.26953125" style="45" bestFit="1" customWidth="1"/>
    <col min="19" max="19" width="17.453125" style="45" customWidth="1"/>
    <col min="20" max="20" width="15.54296875" style="45" customWidth="1"/>
    <col min="21" max="21" width="13" style="45" customWidth="1"/>
    <col min="22" max="22" width="9.1796875" style="45"/>
    <col min="23" max="23" width="14.26953125" style="45" bestFit="1" customWidth="1"/>
    <col min="24" max="24" width="11.26953125" style="45" bestFit="1" customWidth="1"/>
    <col min="25" max="16384" width="9.1796875" style="45"/>
  </cols>
  <sheetData>
    <row r="1" spans="1:36" x14ac:dyDescent="0.35">
      <c r="A1" s="3" t="str">
        <f>+'PTD Cycle 3'!A1</f>
        <v>Evergy Missouri West, Inc. - DSIM Rider Update Filed 06/02/2025</v>
      </c>
      <c r="B1" s="3"/>
      <c r="C1" s="3"/>
      <c r="D1" s="3"/>
    </row>
    <row r="2" spans="1:36" x14ac:dyDescent="0.35">
      <c r="E2" s="3" t="s">
        <v>122</v>
      </c>
    </row>
    <row r="3" spans="1:36" ht="29" x14ac:dyDescent="0.35">
      <c r="E3" s="47" t="s">
        <v>40</v>
      </c>
      <c r="F3" s="47" t="s">
        <v>39</v>
      </c>
      <c r="G3" s="69" t="s">
        <v>0</v>
      </c>
      <c r="H3" s="47" t="s">
        <v>1</v>
      </c>
      <c r="I3" s="69" t="s">
        <v>49</v>
      </c>
      <c r="J3" s="47" t="s">
        <v>8</v>
      </c>
      <c r="K3" s="47" t="s">
        <v>2</v>
      </c>
    </row>
    <row r="4" spans="1:36" x14ac:dyDescent="0.35">
      <c r="A4" s="19" t="s">
        <v>22</v>
      </c>
      <c r="E4" s="21">
        <f>SUM(C26:M26)</f>
        <v>1160766.3399999999</v>
      </c>
      <c r="F4" s="126">
        <f>SUM(C20:M20)</f>
        <v>1750975745.3601213</v>
      </c>
      <c r="G4" s="21">
        <f>SUM(C14:L14)</f>
        <v>118503.04000000015</v>
      </c>
      <c r="H4" s="21">
        <f>G4-E4</f>
        <v>-1042263.2999999997</v>
      </c>
      <c r="I4" s="21">
        <f>+B40</f>
        <v>2424446.2899999996</v>
      </c>
      <c r="J4" s="21">
        <f>SUM(C47:L47)</f>
        <v>56799.58</v>
      </c>
      <c r="K4" s="24">
        <f>SUM(H4:J4)</f>
        <v>1438982.5699999998</v>
      </c>
      <c r="L4" s="289">
        <f>+K4-M40</f>
        <v>0</v>
      </c>
    </row>
    <row r="5" spans="1:36" x14ac:dyDescent="0.35">
      <c r="A5" s="19" t="s">
        <v>94</v>
      </c>
      <c r="E5" s="21">
        <f>SUM(C27:M27)</f>
        <v>804076.95000000007</v>
      </c>
      <c r="F5" s="126">
        <f>SUM(C21:M21)</f>
        <v>684438260.34360015</v>
      </c>
      <c r="G5" s="21">
        <f>SUM(C15:L15)</f>
        <v>-167610.22999999984</v>
      </c>
      <c r="H5" s="21">
        <f>G5-E5</f>
        <v>-971687.17999999993</v>
      </c>
      <c r="I5" s="21">
        <f>+B41</f>
        <v>1401672.7099999997</v>
      </c>
      <c r="J5" s="21">
        <f>SUM(C48:L48)</f>
        <v>23165.469999999998</v>
      </c>
      <c r="K5" s="24">
        <f>SUM(H5:J5)</f>
        <v>453150.99999999977</v>
      </c>
      <c r="L5" s="289">
        <f t="shared" ref="L5:L6" si="0">+K5-M41</f>
        <v>0</v>
      </c>
    </row>
    <row r="6" spans="1:36" x14ac:dyDescent="0.35">
      <c r="A6" s="19" t="s">
        <v>95</v>
      </c>
      <c r="E6" s="21">
        <f>SUM(C28:M28)</f>
        <v>290231.69999999995</v>
      </c>
      <c r="F6" s="126">
        <f>SUM(C22:M22)</f>
        <v>507050490.94970012</v>
      </c>
      <c r="G6" s="21">
        <f>SUM(C16:L16)</f>
        <v>-70935.950000000099</v>
      </c>
      <c r="H6" s="21">
        <f>G6-E6</f>
        <v>-361167.65</v>
      </c>
      <c r="I6" s="21">
        <f>+B42</f>
        <v>530408.38999999955</v>
      </c>
      <c r="J6" s="21">
        <f>SUM(C49:L49)</f>
        <v>8351.630000000001</v>
      </c>
      <c r="K6" s="24">
        <f>SUM(H6:J6)</f>
        <v>177592.36999999953</v>
      </c>
      <c r="L6" s="289">
        <f t="shared" si="0"/>
        <v>0</v>
      </c>
    </row>
    <row r="7" spans="1:36" ht="15" thickBot="1" x14ac:dyDescent="0.4">
      <c r="A7" s="19" t="s">
        <v>96</v>
      </c>
      <c r="E7" s="21">
        <f>SUM(C29:M29)</f>
        <v>11837.57</v>
      </c>
      <c r="F7" s="126">
        <f>SUM(C23:M23)</f>
        <v>387585870.59939992</v>
      </c>
      <c r="G7" s="21">
        <f>SUM(C17:L17)</f>
        <v>-263394.34000000003</v>
      </c>
      <c r="H7" s="21">
        <f>G7-E7</f>
        <v>-275231.91000000003</v>
      </c>
      <c r="I7" s="21">
        <f>+B43</f>
        <v>-4226.3299999989713</v>
      </c>
      <c r="J7" s="21">
        <f>SUM(C50:L50)</f>
        <v>-9074.8300000000017</v>
      </c>
      <c r="K7" s="24">
        <f>SUM(H7:J7)</f>
        <v>-288533.06999999902</v>
      </c>
      <c r="L7" s="289">
        <f>+K7-M43</f>
        <v>0</v>
      </c>
    </row>
    <row r="8" spans="1:36" ht="15.5" thickTop="1" thickBot="1" x14ac:dyDescent="0.4">
      <c r="E8" s="26">
        <f t="shared" ref="E8:K8" si="1">SUM(E4:E7)</f>
        <v>2266912.56</v>
      </c>
      <c r="F8" s="26">
        <f t="shared" si="1"/>
        <v>3330050367.2528214</v>
      </c>
      <c r="G8" s="26">
        <f t="shared" si="1"/>
        <v>-383437.47999999981</v>
      </c>
      <c r="H8" s="26">
        <f t="shared" si="1"/>
        <v>-2650350.0399999996</v>
      </c>
      <c r="I8" s="26">
        <f t="shared" si="1"/>
        <v>4352301.0599999996</v>
      </c>
      <c r="J8" s="26">
        <f t="shared" si="1"/>
        <v>79241.850000000006</v>
      </c>
      <c r="K8" s="26">
        <f t="shared" si="1"/>
        <v>1781192.87</v>
      </c>
    </row>
    <row r="9" spans="1:36" ht="15.5" thickTop="1" thickBot="1" x14ac:dyDescent="0.4"/>
    <row r="10" spans="1:36" ht="87.5" thickBot="1" x14ac:dyDescent="0.4">
      <c r="B10" s="110" t="str">
        <f>+'PCR Cycle 4'!B10</f>
        <v>Cumulative Over/Under Carryover From 12/01/2024 Filing</v>
      </c>
      <c r="C10" s="140" t="str">
        <f>+'PCR Cycle 4'!C10</f>
        <v>Reverse November 2024 - January 2025 Forecast From 12/01/2024 Filing</v>
      </c>
      <c r="D10" s="245"/>
      <c r="E10" s="530" t="s">
        <v>28</v>
      </c>
      <c r="F10" s="530"/>
      <c r="G10" s="531"/>
      <c r="H10" s="532" t="s">
        <v>28</v>
      </c>
      <c r="I10" s="533"/>
      <c r="J10" s="534"/>
      <c r="K10" s="535" t="s">
        <v>6</v>
      </c>
      <c r="L10" s="536"/>
      <c r="M10" s="537"/>
      <c r="P10" s="264" t="s">
        <v>196</v>
      </c>
    </row>
    <row r="11" spans="1:36" x14ac:dyDescent="0.35">
      <c r="C11" s="13"/>
      <c r="D11" s="18"/>
      <c r="E11" s="18">
        <f>+'PCR Cycle 4'!E$11</f>
        <v>45626</v>
      </c>
      <c r="F11" s="18">
        <f>+'PCR Cycle 4'!F$11</f>
        <v>45657</v>
      </c>
      <c r="G11" s="18">
        <f>+'PCR Cycle 4'!G$11</f>
        <v>45688</v>
      </c>
      <c r="H11" s="13">
        <f>+'PCR Cycle 4'!H$11</f>
        <v>45716</v>
      </c>
      <c r="I11" s="18">
        <f>+'PCR Cycle 4'!I$11</f>
        <v>45747</v>
      </c>
      <c r="J11" s="14">
        <f>+'PCR Cycle 4'!J$11</f>
        <v>45777</v>
      </c>
      <c r="K11" s="18">
        <f>+'PCR Cycle 4'!K$11</f>
        <v>45808</v>
      </c>
      <c r="L11" s="18">
        <f>+'PCR Cycle 4'!L$11</f>
        <v>45838</v>
      </c>
      <c r="M11" s="92">
        <f>+'PCR Cycle 4'!M$11</f>
        <v>45869</v>
      </c>
      <c r="AA11" s="1"/>
      <c r="AB11" s="1"/>
      <c r="AC11" s="1"/>
      <c r="AD11" s="1"/>
      <c r="AE11" s="1"/>
      <c r="AF11" s="1"/>
      <c r="AG11" s="1"/>
      <c r="AH11" s="1"/>
      <c r="AI11" s="1"/>
      <c r="AJ11" s="1"/>
    </row>
    <row r="12" spans="1:36" x14ac:dyDescent="0.35">
      <c r="C12" s="95"/>
      <c r="D12" s="236"/>
      <c r="E12" s="30"/>
      <c r="F12" s="30"/>
      <c r="G12" s="30"/>
      <c r="H12" s="27"/>
      <c r="I12" s="30"/>
      <c r="J12" s="10"/>
      <c r="K12" s="30"/>
      <c r="L12" s="30"/>
      <c r="M12" s="28"/>
      <c r="P12" s="46"/>
    </row>
    <row r="13" spans="1:36" x14ac:dyDescent="0.35">
      <c r="A13" s="45" t="s">
        <v>123</v>
      </c>
      <c r="C13" s="96"/>
      <c r="D13" s="138"/>
      <c r="E13" s="30"/>
      <c r="F13" s="30"/>
      <c r="G13" s="30"/>
      <c r="H13" s="95"/>
      <c r="I13" s="236"/>
      <c r="J13" s="299"/>
      <c r="K13" s="138"/>
      <c r="L13" s="138"/>
      <c r="M13" s="10"/>
      <c r="P13" s="46"/>
    </row>
    <row r="14" spans="1:36" x14ac:dyDescent="0.35">
      <c r="A14" s="45" t="s">
        <v>22</v>
      </c>
      <c r="C14" s="348">
        <v>-1426588.3399999999</v>
      </c>
      <c r="D14" s="237"/>
      <c r="E14" s="104">
        <f>ROUND('[3]Pivot - SI Project'!$N$34,2)</f>
        <v>497103.75</v>
      </c>
      <c r="F14" s="104">
        <f>ROUND('[4]Pivot - SI Project'!$N$34,2)</f>
        <v>757440.14</v>
      </c>
      <c r="G14" s="105">
        <f>ROUND('[5]Pivot - SI Project'!$N$34,2)</f>
        <v>84006.48</v>
      </c>
      <c r="H14" s="15">
        <f>ROUND('[6]Pivot - SI Project'!$N$34,2)</f>
        <v>-14365.74</v>
      </c>
      <c r="I14" s="54">
        <f>ROUND('[7]Pivot - SI Project'!$N$34,2)</f>
        <v>92434.48</v>
      </c>
      <c r="J14" s="151">
        <f>ROUND('[8]Pivot - SI Project'!$N$34,2)</f>
        <v>45668.25</v>
      </c>
      <c r="K14" s="358">
        <f>ROUND('[9]Pivot - SI Project'!$N$34,2)</f>
        <v>82804.02</v>
      </c>
      <c r="L14" s="359"/>
      <c r="M14" s="357"/>
      <c r="P14" s="46">
        <f>-SUM(K14:M14)</f>
        <v>-82804.02</v>
      </c>
    </row>
    <row r="15" spans="1:36" x14ac:dyDescent="0.35">
      <c r="A15" s="45" t="s">
        <v>94</v>
      </c>
      <c r="C15" s="348">
        <v>-913072.15999999992</v>
      </c>
      <c r="D15" s="237"/>
      <c r="E15" s="517">
        <f>ROUND('[3]Pivot - SI Project'!$O$34,2)</f>
        <v>140421.81</v>
      </c>
      <c r="F15" s="104">
        <f>ROUND('[4]Pivot - SI Project'!$O$34,2)</f>
        <v>395010.39</v>
      </c>
      <c r="G15" s="105">
        <f>ROUND('[5]Pivot - SI Project'!$O$34,2)</f>
        <v>149086.95000000001</v>
      </c>
      <c r="H15" s="15">
        <f>ROUND('[6]Pivot - SI Project'!$O$34,2)</f>
        <v>14021.71</v>
      </c>
      <c r="I15" s="54">
        <f>ROUND('[7]Pivot - SI Project'!$O$34,2)</f>
        <v>11400.85</v>
      </c>
      <c r="J15" s="151">
        <f>ROUND('[8]Pivot - SI Project'!$O$34,2)</f>
        <v>445.04</v>
      </c>
      <c r="K15" s="358">
        <f>ROUND('[9]Pivot - SI Project'!$O$34,2)</f>
        <v>35075.18</v>
      </c>
      <c r="L15" s="359"/>
      <c r="M15" s="357"/>
      <c r="P15" s="46">
        <f t="shared" ref="P15:P17" si="2">-SUM(K15:M15)</f>
        <v>-35075.18</v>
      </c>
    </row>
    <row r="16" spans="1:36" x14ac:dyDescent="0.35">
      <c r="A16" s="45" t="s">
        <v>95</v>
      </c>
      <c r="C16" s="348">
        <v>-876351.97</v>
      </c>
      <c r="D16" s="237"/>
      <c r="E16" s="517">
        <f>ROUND('[3]Pivot - SI Project'!$Q$34,2)</f>
        <v>94696.44</v>
      </c>
      <c r="F16" s="104">
        <f>ROUND('[4]Pivot - SI Project'!$Q$34,2)</f>
        <v>630783.31999999995</v>
      </c>
      <c r="G16" s="105">
        <f>ROUND('[5]Pivot - SI Project'!$Q$34,2)</f>
        <v>42011.199999999997</v>
      </c>
      <c r="H16" s="15">
        <f>ROUND('[6]Pivot - SI Project'!$Q$34,2)</f>
        <v>7838.9</v>
      </c>
      <c r="I16" s="54">
        <f>ROUND('[7]Pivot - SI Project'!$Q$34,2)</f>
        <v>7033.84</v>
      </c>
      <c r="J16" s="151">
        <f>ROUND('[8]Pivot - SI Project'!$Q$34,2)</f>
        <v>1528.26</v>
      </c>
      <c r="K16" s="358">
        <f>ROUND('[9]Pivot - SI Project'!$Q$34,2)</f>
        <v>21524.06</v>
      </c>
      <c r="L16" s="359"/>
      <c r="M16" s="357"/>
      <c r="P16" s="46">
        <f t="shared" si="2"/>
        <v>-21524.06</v>
      </c>
    </row>
    <row r="17" spans="1:24" x14ac:dyDescent="0.35">
      <c r="A17" s="45" t="s">
        <v>96</v>
      </c>
      <c r="C17" s="348">
        <v>-644876.5</v>
      </c>
      <c r="D17" s="237"/>
      <c r="E17" s="517">
        <f>ROUND('[3]Pivot - SI Project'!$R$34,2)</f>
        <v>57604.7</v>
      </c>
      <c r="F17" s="104">
        <f>ROUND('[4]Pivot - SI Project'!$R$34,2)</f>
        <v>304040.26</v>
      </c>
      <c r="G17" s="105">
        <f>ROUND('[5]Pivot - SI Project'!$R$34,2)</f>
        <v>-541.41</v>
      </c>
      <c r="H17" s="15">
        <f>ROUND('[6]Pivot - SI Project'!$R$34,2)</f>
        <v>3841.97</v>
      </c>
      <c r="I17" s="54">
        <f>ROUND('[7]Pivot - SI Project'!$R$34,2)</f>
        <v>3833.89</v>
      </c>
      <c r="J17" s="151">
        <f>ROUND('[8]Pivot - SI Project'!$R$34,2)</f>
        <v>1348.85</v>
      </c>
      <c r="K17" s="358">
        <f>ROUND('[9]Pivot - SI Project'!$R$34,2)</f>
        <v>11353.9</v>
      </c>
      <c r="L17" s="359"/>
      <c r="M17" s="357"/>
      <c r="P17" s="46">
        <f t="shared" si="2"/>
        <v>-11353.9</v>
      </c>
    </row>
    <row r="18" spans="1:24" x14ac:dyDescent="0.35">
      <c r="C18" s="284"/>
      <c r="D18" s="138"/>
      <c r="E18" s="30"/>
      <c r="F18" s="30"/>
      <c r="G18" s="30"/>
      <c r="H18" s="27"/>
      <c r="I18" s="30"/>
      <c r="J18" s="10"/>
      <c r="K18" s="16"/>
      <c r="L18" s="16"/>
      <c r="M18" s="10"/>
      <c r="P18" s="46"/>
    </row>
    <row r="19" spans="1:24" x14ac:dyDescent="0.35">
      <c r="A19" s="38" t="s">
        <v>41</v>
      </c>
      <c r="B19" s="38"/>
      <c r="C19" s="285"/>
      <c r="D19" s="238"/>
      <c r="E19" s="30"/>
      <c r="F19" s="30"/>
      <c r="G19" s="30"/>
      <c r="H19" s="95"/>
      <c r="I19" s="236"/>
      <c r="J19" s="298"/>
      <c r="K19" s="16"/>
      <c r="L19" s="16"/>
      <c r="M19" s="10"/>
      <c r="P19" s="46"/>
    </row>
    <row r="20" spans="1:24" x14ac:dyDescent="0.35">
      <c r="A20" s="45" t="s">
        <v>22</v>
      </c>
      <c r="C20" s="349">
        <v>-967071770</v>
      </c>
      <c r="D20" s="239"/>
      <c r="E20" s="106">
        <f>'PCR Cycle 4'!E20</f>
        <v>205019778.92699975</v>
      </c>
      <c r="F20" s="106">
        <f>'PCR Cycle 4'!F20</f>
        <v>299802577.8136999</v>
      </c>
      <c r="G20" s="106">
        <f>'PCR Cycle 4'!G20</f>
        <v>380980161.07039958</v>
      </c>
      <c r="H20" s="165">
        <f>'PCR Cycle 4'!H20</f>
        <v>409301197.12469983</v>
      </c>
      <c r="I20" s="166">
        <f>'PCR Cycle 4'!I20</f>
        <v>320989943.20819992</v>
      </c>
      <c r="J20" s="162">
        <f>'PCR Cycle 4'!J20</f>
        <v>210751155.08590007</v>
      </c>
      <c r="K20" s="159">
        <f>'PCR Cycle 4'!K20</f>
        <v>221940439.98763728</v>
      </c>
      <c r="L20" s="128">
        <f>'PCR Cycle 4'!L20</f>
        <v>280293167.59118003</v>
      </c>
      <c r="M20" s="74">
        <f>'PCR Cycle 4'!M20</f>
        <v>388969094.5514046</v>
      </c>
      <c r="P20" s="46">
        <f>-SUM(K20:M20)</f>
        <v>-891202702.13022184</v>
      </c>
      <c r="X20" s="319"/>
    </row>
    <row r="21" spans="1:24" x14ac:dyDescent="0.35">
      <c r="A21" s="45" t="s">
        <v>94</v>
      </c>
      <c r="C21" s="349">
        <v>-325221005</v>
      </c>
      <c r="D21" s="239"/>
      <c r="E21" s="106">
        <f>'PCR Cycle 4'!E21</f>
        <v>99494068.543500021</v>
      </c>
      <c r="F21" s="106">
        <f>'PCR Cycle 4'!F21</f>
        <v>117104646.73519997</v>
      </c>
      <c r="G21" s="106">
        <f>'PCR Cycle 4'!G21</f>
        <v>129128549.50220008</v>
      </c>
      <c r="H21" s="165">
        <f>'PCR Cycle 4'!H21</f>
        <v>138865860.31440005</v>
      </c>
      <c r="I21" s="166">
        <f>'PCR Cycle 4'!I21</f>
        <v>106808584.12380005</v>
      </c>
      <c r="J21" s="162">
        <f>'PCR Cycle 4'!J21</f>
        <v>97600984.124499962</v>
      </c>
      <c r="K21" s="159">
        <f>'PCR Cycle 4'!K21</f>
        <v>95314590</v>
      </c>
      <c r="L21" s="128">
        <f>'PCR Cycle 4'!L21</f>
        <v>106387006</v>
      </c>
      <c r="M21" s="74">
        <f>'PCR Cycle 4'!M21</f>
        <v>118954976</v>
      </c>
      <c r="P21" s="46">
        <f t="shared" ref="P21:P23" si="3">-SUM(K21:M21)</f>
        <v>-320656572</v>
      </c>
    </row>
    <row r="22" spans="1:24" x14ac:dyDescent="0.35">
      <c r="A22" s="45" t="s">
        <v>95</v>
      </c>
      <c r="C22" s="349">
        <v>-275875207</v>
      </c>
      <c r="D22" s="239"/>
      <c r="E22" s="106">
        <f>'PCR Cycle 4'!E22</f>
        <v>84660915.921300024</v>
      </c>
      <c r="F22" s="106">
        <f>'PCR Cycle 4'!F22</f>
        <v>89669675.407700032</v>
      </c>
      <c r="G22" s="106">
        <f>'PCR Cycle 4'!G22</f>
        <v>89115094.340200022</v>
      </c>
      <c r="H22" s="165">
        <f>'PCR Cycle 4'!H22</f>
        <v>95474788.685300022</v>
      </c>
      <c r="I22" s="166">
        <f>'PCR Cycle 4'!I22</f>
        <v>83991348.890899986</v>
      </c>
      <c r="J22" s="162">
        <f>'PCR Cycle 4'!J22</f>
        <v>77917055.704300016</v>
      </c>
      <c r="K22" s="362">
        <f>'PCR Cycle 4'!K22</f>
        <v>77907809</v>
      </c>
      <c r="L22" s="128">
        <f>'PCR Cycle 4'!L22</f>
        <v>86958130</v>
      </c>
      <c r="M22" s="74">
        <f>'PCR Cycle 4'!M22</f>
        <v>97230880</v>
      </c>
      <c r="P22" s="46">
        <f t="shared" si="3"/>
        <v>-262096819</v>
      </c>
    </row>
    <row r="23" spans="1:24" x14ac:dyDescent="0.35">
      <c r="A23" s="45" t="s">
        <v>96</v>
      </c>
      <c r="C23" s="349">
        <v>-182281363</v>
      </c>
      <c r="D23" s="239"/>
      <c r="E23" s="106">
        <f>'PCR Cycle 4'!E23</f>
        <v>64064030.454799987</v>
      </c>
      <c r="F23" s="106">
        <f>'PCR Cycle 4'!F23</f>
        <v>64956128.984200008</v>
      </c>
      <c r="G23" s="106">
        <f>'PCR Cycle 4'!G23</f>
        <v>61704135.04519999</v>
      </c>
      <c r="H23" s="165">
        <f>'PCR Cycle 4'!H23</f>
        <v>67626318.628900006</v>
      </c>
      <c r="I23" s="166">
        <f>'PCR Cycle 4'!I23</f>
        <v>65165838.21289999</v>
      </c>
      <c r="J23" s="162">
        <f>'PCR Cycle 4'!J23</f>
        <v>64272477.273399979</v>
      </c>
      <c r="K23" s="360">
        <f>'PCR Cycle 4'!K23</f>
        <v>54122449</v>
      </c>
      <c r="L23" s="128">
        <f>'PCR Cycle 4'!L23</f>
        <v>60409695</v>
      </c>
      <c r="M23" s="74">
        <f>'PCR Cycle 4'!M23</f>
        <v>67546161</v>
      </c>
      <c r="P23" s="46">
        <f t="shared" si="3"/>
        <v>-182078305</v>
      </c>
    </row>
    <row r="24" spans="1:24" x14ac:dyDescent="0.35">
      <c r="C24" s="284"/>
      <c r="D24" s="138"/>
      <c r="E24" s="30"/>
      <c r="F24" s="30"/>
      <c r="G24" s="30"/>
      <c r="H24" s="27"/>
      <c r="I24" s="30"/>
      <c r="J24" s="10"/>
      <c r="K24" s="16"/>
      <c r="L24" s="16"/>
      <c r="M24" s="10"/>
      <c r="P24" s="46"/>
    </row>
    <row r="25" spans="1:24" x14ac:dyDescent="0.35">
      <c r="A25" s="45" t="s">
        <v>29</v>
      </c>
      <c r="C25" s="284"/>
      <c r="D25" s="138"/>
      <c r="E25" s="17"/>
      <c r="F25" s="17"/>
      <c r="G25" s="17"/>
      <c r="H25" s="88"/>
      <c r="I25" s="17"/>
      <c r="J25" s="10"/>
      <c r="K25" s="56"/>
      <c r="L25" s="56"/>
      <c r="M25" s="57"/>
      <c r="N25" s="412" t="s">
        <v>44</v>
      </c>
      <c r="O25" s="38"/>
      <c r="P25" s="46"/>
    </row>
    <row r="26" spans="1:24" x14ac:dyDescent="0.35">
      <c r="A26" s="45" t="s">
        <v>22</v>
      </c>
      <c r="C26" s="348">
        <v>-1015425.3600000001</v>
      </c>
      <c r="D26" s="237"/>
      <c r="E26" s="104">
        <f>ROUND('[10]November 2024'!$G76+'[10]November 2024'!$G83,2)</f>
        <v>215271.21</v>
      </c>
      <c r="F26" s="104">
        <f>ROUND('[10]December 2024'!$G76+'[10]December 2024'!$G83,2)</f>
        <v>314810.94</v>
      </c>
      <c r="G26" s="104">
        <f>ROUND('[10]January 2025'!$G76+'[10]January 2025'!$G83,2)</f>
        <v>400108.59</v>
      </c>
      <c r="H26" s="165">
        <f>ROUND('[10]February 2025'!$G76+'[10]February 2025'!$G83,2)</f>
        <v>278343.88</v>
      </c>
      <c r="I26" s="166">
        <f>ROUND('[10]March 2025'!$G76+'[10]March 2025'!$G83,2)</f>
        <v>218286.81</v>
      </c>
      <c r="J26" s="162">
        <f>ROUND('[10]April 2025'!$G76+'[10]April 2025'!$G83,2)</f>
        <v>143352.44</v>
      </c>
      <c r="K26" s="114">
        <f>ROUND(K20*$N26,2)</f>
        <v>150919.5</v>
      </c>
      <c r="L26" s="40">
        <f t="shared" ref="K26:M29" si="4">ROUND(L20*$N26,2)</f>
        <v>190599.35</v>
      </c>
      <c r="M26" s="60">
        <f t="shared" si="4"/>
        <v>264498.98</v>
      </c>
      <c r="N26" s="71">
        <v>6.7999999999999994E-4</v>
      </c>
      <c r="P26" s="46">
        <f>-SUM(K26:M26)</f>
        <v>-606017.82999999996</v>
      </c>
    </row>
    <row r="27" spans="1:24" x14ac:dyDescent="0.35">
      <c r="A27" s="45" t="s">
        <v>94</v>
      </c>
      <c r="C27" s="348">
        <v>-253672.38</v>
      </c>
      <c r="D27" s="237"/>
      <c r="E27" s="517">
        <f>ROUND('[10]November 2024'!$G77+'[10]November 2024'!$G84,2)</f>
        <v>77616.06</v>
      </c>
      <c r="F27" s="104">
        <f>ROUND('[10]December 2024'!$G77+'[10]December 2024'!$G84,2)</f>
        <v>91364.4</v>
      </c>
      <c r="G27" s="104">
        <f>ROUND('[10]January 2025'!$G77+'[10]January 2025'!$G84,2)</f>
        <v>100768.25</v>
      </c>
      <c r="H27" s="165">
        <f>ROUND('[10]February 2025'!$G77+'[10]February 2025'!$G84,2)</f>
        <v>165026.35</v>
      </c>
      <c r="I27" s="166">
        <f>ROUND('[10]March 2025'!$G77+'[10]March 2025'!$G84,2)</f>
        <v>125123.79</v>
      </c>
      <c r="J27" s="162">
        <f>ROUND('[10]April 2025'!$G77+'[10]April 2025'!$G84,2)</f>
        <v>116269.16</v>
      </c>
      <c r="K27" s="114">
        <f t="shared" si="4"/>
        <v>113424.36</v>
      </c>
      <c r="L27" s="40">
        <f t="shared" si="4"/>
        <v>126600.54</v>
      </c>
      <c r="M27" s="60">
        <f t="shared" si="4"/>
        <v>141556.42000000001</v>
      </c>
      <c r="N27" s="71">
        <v>1.1900000000000001E-3</v>
      </c>
      <c r="P27" s="46">
        <f t="shared" ref="P27:P31" si="5">-SUM(K27:M27)</f>
        <v>-381581.32</v>
      </c>
    </row>
    <row r="28" spans="1:24" x14ac:dyDescent="0.35">
      <c r="A28" s="45" t="s">
        <v>95</v>
      </c>
      <c r="C28" s="348">
        <v>-96556.33</v>
      </c>
      <c r="D28" s="237"/>
      <c r="E28" s="517">
        <f>ROUND('[10]November 2024'!$G78+'[10]November 2024'!$G85,2)</f>
        <v>29700.080000000002</v>
      </c>
      <c r="F28" s="104">
        <f>ROUND('[10]December 2024'!$G78+'[10]December 2024'!$G85,2)</f>
        <v>31440.6</v>
      </c>
      <c r="G28" s="104">
        <f>ROUND('[10]January 2025'!$G78+'[10]January 2025'!$G85,2)</f>
        <v>31202.22</v>
      </c>
      <c r="H28" s="165">
        <f>ROUND('[10]February 2025'!$G78+'[10]February 2025'!$G85,2)</f>
        <v>54451.68</v>
      </c>
      <c r="I28" s="166">
        <f>ROUND('[10]March 2025'!$G78+'[10]March 2025'!$G85,2)</f>
        <v>46176.53</v>
      </c>
      <c r="J28" s="162">
        <f>ROUND('[10]April 2025'!$G78+'[10]April 2025'!$G85,2)</f>
        <v>44421.74</v>
      </c>
      <c r="K28" s="114">
        <f t="shared" si="4"/>
        <v>44407.45</v>
      </c>
      <c r="L28" s="40">
        <f t="shared" si="4"/>
        <v>49566.13</v>
      </c>
      <c r="M28" s="60">
        <f t="shared" si="4"/>
        <v>55421.599999999999</v>
      </c>
      <c r="N28" s="71">
        <v>5.7000000000000009E-4</v>
      </c>
      <c r="P28" s="46">
        <f t="shared" si="5"/>
        <v>-149395.18</v>
      </c>
    </row>
    <row r="29" spans="1:24" x14ac:dyDescent="0.35">
      <c r="A29" s="45" t="s">
        <v>96</v>
      </c>
      <c r="C29" s="348">
        <v>54684.41</v>
      </c>
      <c r="D29" s="237"/>
      <c r="E29" s="517">
        <f>ROUND('[10]November 2024'!$G79+'[10]November 2024'!$G86,2)</f>
        <v>-19187.97</v>
      </c>
      <c r="F29" s="104">
        <f>ROUND('[10]December 2024'!$G79+'[10]December 2024'!$G86,2)</f>
        <v>-19462.400000000001</v>
      </c>
      <c r="G29" s="104">
        <f>ROUND('[10]January 2025'!$G79+'[10]January 2025'!$G86,2)</f>
        <v>-18506.27</v>
      </c>
      <c r="H29" s="165">
        <f>ROUND('[10]February 2025'!$G79+'[10]February 2025'!$G86,2)</f>
        <v>1834.49</v>
      </c>
      <c r="I29" s="166">
        <f>ROUND('[10]March 2025'!$G79+'[10]March 2025'!$G86,2)</f>
        <v>2613.81</v>
      </c>
      <c r="J29" s="162">
        <f>ROUND('[10]April 2025'!$G79+'[10]April 2025'!$G86,2)</f>
        <v>2578.36</v>
      </c>
      <c r="K29" s="114">
        <f t="shared" si="4"/>
        <v>2164.9</v>
      </c>
      <c r="L29" s="40">
        <f t="shared" si="4"/>
        <v>2416.39</v>
      </c>
      <c r="M29" s="60">
        <f t="shared" si="4"/>
        <v>2701.85</v>
      </c>
      <c r="N29" s="71">
        <v>3.9999999999999996E-5</v>
      </c>
      <c r="P29" s="46">
        <f t="shared" si="5"/>
        <v>-7283.1399999999994</v>
      </c>
    </row>
    <row r="30" spans="1:24" x14ac:dyDescent="0.35">
      <c r="C30" s="286"/>
      <c r="D30" s="67"/>
      <c r="E30" s="17"/>
      <c r="F30" s="17"/>
      <c r="G30" s="17"/>
      <c r="H30" s="88"/>
      <c r="I30" s="17"/>
      <c r="J30" s="10"/>
      <c r="K30" s="55"/>
      <c r="L30" s="55"/>
      <c r="M30" s="12"/>
      <c r="N30" s="4"/>
      <c r="P30" s="46"/>
    </row>
    <row r="31" spans="1:24" ht="15" thickBot="1" x14ac:dyDescent="0.4">
      <c r="A31" s="45" t="s">
        <v>12</v>
      </c>
      <c r="C31" s="350">
        <v>-30107.62</v>
      </c>
      <c r="D31" s="240"/>
      <c r="E31" s="107">
        <v>9788.27</v>
      </c>
      <c r="F31" s="107">
        <f>14550.27-0.01</f>
        <v>14550.26</v>
      </c>
      <c r="G31" s="108">
        <v>17671.799999999996</v>
      </c>
      <c r="H31" s="25">
        <v>16100.5</v>
      </c>
      <c r="I31" s="113">
        <f>14418.26-0.01</f>
        <v>14418.25</v>
      </c>
      <c r="J31" s="161">
        <v>13266.2</v>
      </c>
      <c r="K31" s="160">
        <f>ROUND((SUM(J40:J43)+SUM(J47:J50)+SUM(K34:K37)/2)*K$45,2)</f>
        <v>12360.9</v>
      </c>
      <c r="L31" s="129">
        <f>ROUND((SUM(K40:K43)+SUM(K47:K50)+SUM(L34:L37)/2)*L$45,2)</f>
        <v>11193.29</v>
      </c>
      <c r="M31" s="78"/>
      <c r="P31" s="46">
        <f t="shared" si="5"/>
        <v>-23554.190000000002</v>
      </c>
    </row>
    <row r="32" spans="1:24" x14ac:dyDescent="0.35">
      <c r="C32" s="96"/>
      <c r="D32" s="138"/>
      <c r="E32" s="30"/>
      <c r="F32" s="30"/>
      <c r="G32" s="30"/>
      <c r="H32" s="27"/>
      <c r="I32" s="30"/>
      <c r="J32" s="10"/>
      <c r="K32" s="16"/>
      <c r="L32" s="16"/>
      <c r="M32" s="10"/>
      <c r="P32" s="46"/>
    </row>
    <row r="33" spans="1:16" x14ac:dyDescent="0.35">
      <c r="A33" s="45" t="s">
        <v>46</v>
      </c>
      <c r="C33" s="96"/>
      <c r="D33" s="138"/>
      <c r="E33" s="30"/>
      <c r="F33" s="30"/>
      <c r="G33" s="30"/>
      <c r="H33" s="27"/>
      <c r="I33" s="30"/>
      <c r="J33" s="10"/>
      <c r="K33" s="16"/>
      <c r="L33" s="16"/>
      <c r="M33" s="10"/>
      <c r="P33" s="46"/>
    </row>
    <row r="34" spans="1:16" x14ac:dyDescent="0.35">
      <c r="A34" s="45" t="s">
        <v>22</v>
      </c>
      <c r="C34" s="39">
        <f t="shared" ref="C34:M34" si="6">C14-C26</f>
        <v>-411162.97999999975</v>
      </c>
      <c r="D34" s="114">
        <f t="shared" ref="D34" si="7">D14-D26</f>
        <v>0</v>
      </c>
      <c r="E34" s="40">
        <f>E14-E26</f>
        <v>281832.54000000004</v>
      </c>
      <c r="F34" s="40">
        <f t="shared" si="6"/>
        <v>442629.2</v>
      </c>
      <c r="G34" s="103">
        <f t="shared" si="6"/>
        <v>-316102.11000000004</v>
      </c>
      <c r="H34" s="39">
        <f t="shared" si="6"/>
        <v>-292709.62</v>
      </c>
      <c r="I34" s="40">
        <f t="shared" si="6"/>
        <v>-125852.33</v>
      </c>
      <c r="J34" s="60">
        <f t="shared" si="6"/>
        <v>-97684.19</v>
      </c>
      <c r="K34" s="114">
        <f t="shared" si="6"/>
        <v>-68115.48</v>
      </c>
      <c r="L34" s="40">
        <f t="shared" si="6"/>
        <v>-190599.35</v>
      </c>
      <c r="M34" s="48">
        <f t="shared" si="6"/>
        <v>-264498.98</v>
      </c>
      <c r="P34" s="46"/>
    </row>
    <row r="35" spans="1:16" x14ac:dyDescent="0.35">
      <c r="A35" s="45" t="s">
        <v>94</v>
      </c>
      <c r="C35" s="39">
        <f t="shared" ref="C35:M35" si="8">C15-C27</f>
        <v>-659399.77999999991</v>
      </c>
      <c r="D35" s="114">
        <f t="shared" ref="D35" si="9">D15-D27</f>
        <v>0</v>
      </c>
      <c r="E35" s="40">
        <f t="shared" si="8"/>
        <v>62805.75</v>
      </c>
      <c r="F35" s="40">
        <f t="shared" si="8"/>
        <v>303645.99</v>
      </c>
      <c r="G35" s="103">
        <f t="shared" si="8"/>
        <v>48318.700000000012</v>
      </c>
      <c r="H35" s="39">
        <f t="shared" si="8"/>
        <v>-151004.64000000001</v>
      </c>
      <c r="I35" s="40">
        <f t="shared" si="8"/>
        <v>-113722.93999999999</v>
      </c>
      <c r="J35" s="60">
        <f t="shared" si="8"/>
        <v>-115824.12000000001</v>
      </c>
      <c r="K35" s="114">
        <f t="shared" si="8"/>
        <v>-78349.179999999993</v>
      </c>
      <c r="L35" s="40">
        <f t="shared" si="8"/>
        <v>-126600.54</v>
      </c>
      <c r="M35" s="48">
        <f t="shared" si="8"/>
        <v>-141556.42000000001</v>
      </c>
      <c r="P35" s="46"/>
    </row>
    <row r="36" spans="1:16" x14ac:dyDescent="0.35">
      <c r="A36" s="45" t="s">
        <v>95</v>
      </c>
      <c r="C36" s="39">
        <f t="shared" ref="C36:M36" si="10">C16-C28</f>
        <v>-779795.64</v>
      </c>
      <c r="D36" s="114">
        <f t="shared" ref="D36" si="11">D16-D28</f>
        <v>0</v>
      </c>
      <c r="E36" s="40">
        <f t="shared" si="10"/>
        <v>64996.36</v>
      </c>
      <c r="F36" s="40">
        <f t="shared" si="10"/>
        <v>599342.72</v>
      </c>
      <c r="G36" s="103">
        <f t="shared" si="10"/>
        <v>10808.979999999996</v>
      </c>
      <c r="H36" s="39">
        <f t="shared" si="10"/>
        <v>-46612.78</v>
      </c>
      <c r="I36" s="40">
        <f t="shared" si="10"/>
        <v>-39142.69</v>
      </c>
      <c r="J36" s="60">
        <f t="shared" si="10"/>
        <v>-42893.479999999996</v>
      </c>
      <c r="K36" s="114">
        <f t="shared" si="10"/>
        <v>-22883.389999999996</v>
      </c>
      <c r="L36" s="40">
        <f t="shared" si="10"/>
        <v>-49566.13</v>
      </c>
      <c r="M36" s="48">
        <f t="shared" si="10"/>
        <v>-55421.599999999999</v>
      </c>
      <c r="P36" s="46"/>
    </row>
    <row r="37" spans="1:16" x14ac:dyDescent="0.35">
      <c r="A37" s="45" t="s">
        <v>96</v>
      </c>
      <c r="C37" s="39">
        <f t="shared" ref="C37:M37" si="12">C17-C29</f>
        <v>-699560.91</v>
      </c>
      <c r="D37" s="114">
        <f t="shared" ref="D37" si="13">D17-D29</f>
        <v>0</v>
      </c>
      <c r="E37" s="40">
        <f t="shared" si="12"/>
        <v>76792.67</v>
      </c>
      <c r="F37" s="40">
        <f t="shared" si="12"/>
        <v>323502.66000000003</v>
      </c>
      <c r="G37" s="103">
        <f t="shared" si="12"/>
        <v>17964.86</v>
      </c>
      <c r="H37" s="39">
        <f t="shared" si="12"/>
        <v>2007.4799999999998</v>
      </c>
      <c r="I37" s="40">
        <f t="shared" si="12"/>
        <v>1220.08</v>
      </c>
      <c r="J37" s="60">
        <f t="shared" si="12"/>
        <v>-1229.5100000000002</v>
      </c>
      <c r="K37" s="114">
        <f t="shared" si="12"/>
        <v>9189</v>
      </c>
      <c r="L37" s="40">
        <f t="shared" si="12"/>
        <v>-2416.39</v>
      </c>
      <c r="M37" s="48">
        <f t="shared" si="12"/>
        <v>-2701.85</v>
      </c>
      <c r="P37" s="46"/>
    </row>
    <row r="38" spans="1:16" x14ac:dyDescent="0.35">
      <c r="C38" s="96"/>
      <c r="D38" s="138"/>
      <c r="E38" s="30"/>
      <c r="F38" s="30"/>
      <c r="G38" s="30"/>
      <c r="H38" s="27"/>
      <c r="I38" s="30"/>
      <c r="J38" s="10"/>
      <c r="K38" s="16"/>
      <c r="L38" s="16"/>
      <c r="M38" s="10"/>
      <c r="P38" s="46"/>
    </row>
    <row r="39" spans="1:16" ht="15" thickBot="1" x14ac:dyDescent="0.4">
      <c r="A39" s="45" t="s">
        <v>47</v>
      </c>
      <c r="C39" s="99"/>
      <c r="D39" s="241"/>
      <c r="E39" s="30"/>
      <c r="F39" s="30"/>
      <c r="G39" s="30"/>
      <c r="H39" s="27"/>
      <c r="I39" s="30"/>
      <c r="J39" s="10"/>
      <c r="K39" s="16"/>
      <c r="L39" s="16"/>
      <c r="M39" s="10"/>
      <c r="P39" s="46"/>
    </row>
    <row r="40" spans="1:16" x14ac:dyDescent="0.35">
      <c r="A40" s="45" t="s">
        <v>22</v>
      </c>
      <c r="B40" s="287">
        <v>2424446.2899999996</v>
      </c>
      <c r="C40" s="40">
        <f t="shared" ref="C40:M40" si="14">B40+C34+B47</f>
        <v>2013283.3099999998</v>
      </c>
      <c r="D40" s="40">
        <f t="shared" ref="D40:D43" si="15">C40+D34+C47</f>
        <v>1989599.2199999997</v>
      </c>
      <c r="E40" s="40">
        <f t="shared" ref="E40:E43" si="16">D40+E34+D47</f>
        <v>2271431.7599999998</v>
      </c>
      <c r="F40" s="40">
        <f t="shared" si="14"/>
        <v>2724407.87</v>
      </c>
      <c r="G40" s="103">
        <f t="shared" si="14"/>
        <v>2420042.81</v>
      </c>
      <c r="H40" s="39">
        <f t="shared" si="14"/>
        <v>2139220.39</v>
      </c>
      <c r="I40" s="40">
        <f t="shared" si="14"/>
        <v>2023922.25</v>
      </c>
      <c r="J40" s="60">
        <f t="shared" si="14"/>
        <v>1935882.33</v>
      </c>
      <c r="K40" s="114">
        <f t="shared" si="14"/>
        <v>1876951.52</v>
      </c>
      <c r="L40" s="40">
        <f t="shared" si="14"/>
        <v>1695195.71</v>
      </c>
      <c r="M40" s="48">
        <f t="shared" si="14"/>
        <v>1438982.57</v>
      </c>
      <c r="P40" s="46"/>
    </row>
    <row r="41" spans="1:16" x14ac:dyDescent="0.35">
      <c r="A41" s="45" t="s">
        <v>94</v>
      </c>
      <c r="B41" s="290">
        <v>1401672.7099999997</v>
      </c>
      <c r="C41" s="40">
        <f>B41+C35+B48</f>
        <v>742272.92999999982</v>
      </c>
      <c r="D41" s="40">
        <f t="shared" si="15"/>
        <v>732183.55999999982</v>
      </c>
      <c r="E41" s="40">
        <f t="shared" si="16"/>
        <v>794989.30999999982</v>
      </c>
      <c r="F41" s="40">
        <f t="shared" ref="F41:M41" si="17">E41+F35+E48</f>
        <v>1102343.6799999997</v>
      </c>
      <c r="G41" s="103">
        <f t="shared" si="17"/>
        <v>1155119.3899999997</v>
      </c>
      <c r="H41" s="39">
        <f t="shared" si="17"/>
        <v>1009329.4399999996</v>
      </c>
      <c r="I41" s="40">
        <f t="shared" si="17"/>
        <v>900615.96999999962</v>
      </c>
      <c r="J41" s="60">
        <f t="shared" si="17"/>
        <v>789216.77999999968</v>
      </c>
      <c r="K41" s="114">
        <f t="shared" si="17"/>
        <v>714787.83999999962</v>
      </c>
      <c r="L41" s="40">
        <f t="shared" si="17"/>
        <v>591676.39999999956</v>
      </c>
      <c r="M41" s="48">
        <f t="shared" si="17"/>
        <v>453150.99999999953</v>
      </c>
      <c r="P41" s="46"/>
    </row>
    <row r="42" spans="1:16" x14ac:dyDescent="0.35">
      <c r="A42" s="45" t="s">
        <v>95</v>
      </c>
      <c r="B42" s="290">
        <v>530408.38999999955</v>
      </c>
      <c r="C42" s="40">
        <f>B42+C36+B49</f>
        <v>-249387.25000000047</v>
      </c>
      <c r="D42" s="40">
        <f t="shared" si="15"/>
        <v>-250011.48000000048</v>
      </c>
      <c r="E42" s="40">
        <f t="shared" si="16"/>
        <v>-185015.12000000046</v>
      </c>
      <c r="F42" s="40">
        <f t="shared" ref="F42:M42" si="18">E42+F36+E49</f>
        <v>413271.23999999953</v>
      </c>
      <c r="G42" s="103">
        <f t="shared" si="18"/>
        <v>424612.88999999949</v>
      </c>
      <c r="H42" s="39">
        <f t="shared" si="18"/>
        <v>379933.01999999949</v>
      </c>
      <c r="I42" s="40">
        <f t="shared" si="18"/>
        <v>342652.37999999948</v>
      </c>
      <c r="J42" s="60">
        <f t="shared" si="18"/>
        <v>301432.8999999995</v>
      </c>
      <c r="K42" s="114">
        <f t="shared" si="18"/>
        <v>280043.68999999948</v>
      </c>
      <c r="L42" s="40">
        <f t="shared" si="18"/>
        <v>231826.45999999947</v>
      </c>
      <c r="M42" s="48">
        <f t="shared" si="18"/>
        <v>177592.36999999947</v>
      </c>
      <c r="P42" s="46"/>
    </row>
    <row r="43" spans="1:16" ht="15" thickBot="1" x14ac:dyDescent="0.4">
      <c r="A43" s="45" t="s">
        <v>96</v>
      </c>
      <c r="B43" s="288">
        <v>-4226.3299999989713</v>
      </c>
      <c r="C43" s="40">
        <f t="shared" ref="C43:M43" si="19">B43+C37+B50</f>
        <v>-703787.23999999906</v>
      </c>
      <c r="D43" s="40">
        <f t="shared" si="15"/>
        <v>-699497.16999999911</v>
      </c>
      <c r="E43" s="40">
        <f t="shared" si="16"/>
        <v>-622704.49999999907</v>
      </c>
      <c r="F43" s="40">
        <f t="shared" si="19"/>
        <v>-302412.49999999901</v>
      </c>
      <c r="G43" s="103">
        <f t="shared" si="19"/>
        <v>-286624.109999999</v>
      </c>
      <c r="H43" s="39">
        <f t="shared" si="19"/>
        <v>-285979.62999999902</v>
      </c>
      <c r="I43" s="40">
        <f t="shared" si="19"/>
        <v>-286084.75999999902</v>
      </c>
      <c r="J43" s="60">
        <f t="shared" si="19"/>
        <v>-288639.21999999904</v>
      </c>
      <c r="K43" s="114">
        <f t="shared" si="19"/>
        <v>-280783.10999999905</v>
      </c>
      <c r="L43" s="40">
        <f t="shared" si="19"/>
        <v>-284520.13999999908</v>
      </c>
      <c r="M43" s="48">
        <f t="shared" si="19"/>
        <v>-288533.06999999908</v>
      </c>
      <c r="P43" s="46"/>
    </row>
    <row r="44" spans="1:16" x14ac:dyDescent="0.35">
      <c r="C44" s="96"/>
      <c r="D44" s="138"/>
      <c r="E44" s="236"/>
      <c r="F44" s="236"/>
      <c r="G44" s="236"/>
      <c r="H44" s="95"/>
      <c r="I44" s="236"/>
      <c r="J44" s="298"/>
      <c r="K44" s="16"/>
      <c r="L44" s="16"/>
      <c r="M44" s="10"/>
      <c r="P44" s="46"/>
    </row>
    <row r="45" spans="1:16" x14ac:dyDescent="0.35">
      <c r="A45" s="38" t="s">
        <v>43</v>
      </c>
      <c r="B45" s="38"/>
      <c r="C45" s="99"/>
      <c r="D45" s="241"/>
      <c r="E45" s="300">
        <f>'[11]MO West ST Rate Nov 2024'!$E$43</f>
        <v>4.8565300000000004E-3</v>
      </c>
      <c r="F45" s="300">
        <f>+'[11]MO West ST Rate Dec 2024'!$E$43</f>
        <v>4.6890200000000003E-3</v>
      </c>
      <c r="G45" s="300">
        <f>+'[11]MO West ST Rate Jan 2025'!$E$43</f>
        <v>4.6108499999999997E-3</v>
      </c>
      <c r="H45" s="301">
        <f>+'[11]MO West ST Rate Feb 2025'!$E$43</f>
        <v>4.6177400000000004E-3</v>
      </c>
      <c r="I45" s="300">
        <f>+'[11]MO West ST Rate Mar 2025'!$E$43</f>
        <v>4.62145E-3</v>
      </c>
      <c r="J45" s="302">
        <f>+'[11]MO West ST Rate Apr 2025'!$E$43</f>
        <v>4.6276800000000003E-3</v>
      </c>
      <c r="K45" s="80">
        <f>J45</f>
        <v>4.6276800000000003E-3</v>
      </c>
      <c r="L45" s="80">
        <f>J45</f>
        <v>4.6276800000000003E-3</v>
      </c>
      <c r="M45" s="89"/>
      <c r="P45" s="46"/>
    </row>
    <row r="46" spans="1:16" x14ac:dyDescent="0.35">
      <c r="A46" s="38" t="s">
        <v>31</v>
      </c>
      <c r="B46" s="38"/>
      <c r="C46" s="96"/>
      <c r="D46" s="138"/>
      <c r="E46" s="30"/>
      <c r="F46" s="30"/>
      <c r="G46" s="30"/>
      <c r="H46" s="27"/>
      <c r="I46" s="30"/>
      <c r="J46" s="10"/>
      <c r="K46" s="16"/>
      <c r="L46" s="16"/>
      <c r="M46" s="10"/>
      <c r="N46" s="70"/>
      <c r="P46" s="46"/>
    </row>
    <row r="47" spans="1:16" x14ac:dyDescent="0.35">
      <c r="A47" s="45" t="s">
        <v>22</v>
      </c>
      <c r="C47" s="295">
        <v>-23684.09</v>
      </c>
      <c r="D47" s="114"/>
      <c r="E47" s="40">
        <f>ROUND((C40+C47+D47+E34/2)*E$45,2)</f>
        <v>10346.91</v>
      </c>
      <c r="F47" s="40">
        <f t="shared" ref="F47:L50" si="20">ROUND((E40+E47+F34/2)*F$45,2)</f>
        <v>11737.05</v>
      </c>
      <c r="G47" s="103">
        <f t="shared" si="20"/>
        <v>11887.2</v>
      </c>
      <c r="H47" s="39">
        <f>ROUND((G40+G47+H34/2)*H$45,2)</f>
        <v>10554.19</v>
      </c>
      <c r="I47" s="114">
        <f t="shared" si="20"/>
        <v>9644.27</v>
      </c>
      <c r="J47" s="60">
        <f t="shared" si="20"/>
        <v>9184.67</v>
      </c>
      <c r="K47" s="114">
        <f t="shared" si="20"/>
        <v>8843.5400000000009</v>
      </c>
      <c r="L47" s="114">
        <f t="shared" si="20"/>
        <v>8285.84</v>
      </c>
      <c r="M47" s="48"/>
      <c r="P47" s="46">
        <f>-SUM(K47:M47)</f>
        <v>-17129.38</v>
      </c>
    </row>
    <row r="48" spans="1:16" x14ac:dyDescent="0.35">
      <c r="A48" s="45" t="s">
        <v>94</v>
      </c>
      <c r="C48" s="352">
        <v>-10089.369999999999</v>
      </c>
      <c r="D48" s="242"/>
      <c r="E48" s="40">
        <f t="shared" ref="E48:E50" si="21">ROUND((C41+C48+D48+E35/2)*E$45,2)</f>
        <v>3708.38</v>
      </c>
      <c r="F48" s="40">
        <f t="shared" si="20"/>
        <v>4457.01</v>
      </c>
      <c r="G48" s="103">
        <f t="shared" si="20"/>
        <v>5214.6899999999996</v>
      </c>
      <c r="H48" s="39">
        <f>ROUND((G41+G48+H35/2)*H$45,2)</f>
        <v>5009.47</v>
      </c>
      <c r="I48" s="114">
        <f t="shared" si="20"/>
        <v>4424.93</v>
      </c>
      <c r="J48" s="60">
        <f t="shared" si="20"/>
        <v>3920.24</v>
      </c>
      <c r="K48" s="114">
        <f t="shared" si="20"/>
        <v>3489.1</v>
      </c>
      <c r="L48" s="114">
        <f t="shared" si="20"/>
        <v>3031.02</v>
      </c>
      <c r="M48" s="48"/>
      <c r="P48" s="46">
        <f t="shared" ref="P48:P50" si="22">-SUM(K48:M48)</f>
        <v>-6520.12</v>
      </c>
    </row>
    <row r="49" spans="1:18" x14ac:dyDescent="0.35">
      <c r="A49" s="45" t="s">
        <v>95</v>
      </c>
      <c r="C49" s="352">
        <v>-624.23000000000013</v>
      </c>
      <c r="D49" s="242"/>
      <c r="E49" s="40">
        <f t="shared" si="21"/>
        <v>-1056.3599999999999</v>
      </c>
      <c r="F49" s="40">
        <f t="shared" si="20"/>
        <v>532.66999999999996</v>
      </c>
      <c r="G49" s="103">
        <f t="shared" si="20"/>
        <v>1932.91</v>
      </c>
      <c r="H49" s="39">
        <f>ROUND((G42+G49+H36/2)*H$45,2)</f>
        <v>1862.05</v>
      </c>
      <c r="I49" s="114">
        <f t="shared" si="20"/>
        <v>1674</v>
      </c>
      <c r="J49" s="60">
        <f t="shared" si="20"/>
        <v>1494.18</v>
      </c>
      <c r="K49" s="114">
        <f t="shared" si="20"/>
        <v>1348.9</v>
      </c>
      <c r="L49" s="114">
        <f t="shared" si="20"/>
        <v>1187.51</v>
      </c>
      <c r="M49" s="48"/>
      <c r="P49" s="46">
        <f t="shared" si="22"/>
        <v>-2536.41</v>
      </c>
    </row>
    <row r="50" spans="1:18" ht="15" thickBot="1" x14ac:dyDescent="0.4">
      <c r="A50" s="45" t="s">
        <v>96</v>
      </c>
      <c r="C50" s="351">
        <v>4290.07</v>
      </c>
      <c r="D50" s="242"/>
      <c r="E50" s="40">
        <f t="shared" si="21"/>
        <v>-3210.66</v>
      </c>
      <c r="F50" s="40">
        <f t="shared" si="20"/>
        <v>-2176.4699999999998</v>
      </c>
      <c r="G50" s="103">
        <f t="shared" si="20"/>
        <v>-1363</v>
      </c>
      <c r="H50" s="39">
        <f>ROUND((G43+G50+H37/2)*H$45,2)</f>
        <v>-1325.21</v>
      </c>
      <c r="I50" s="114">
        <f t="shared" si="20"/>
        <v>-1324.95</v>
      </c>
      <c r="J50" s="60">
        <f t="shared" si="20"/>
        <v>-1332.89</v>
      </c>
      <c r="K50" s="114">
        <f t="shared" si="20"/>
        <v>-1320.64</v>
      </c>
      <c r="L50" s="114">
        <f t="shared" si="20"/>
        <v>-1311.08</v>
      </c>
      <c r="M50" s="48"/>
      <c r="P50" s="46">
        <f t="shared" si="22"/>
        <v>2631.7200000000003</v>
      </c>
    </row>
    <row r="51" spans="1:18" ht="15.5" thickTop="1" thickBot="1" x14ac:dyDescent="0.4">
      <c r="A51" s="53" t="s">
        <v>20</v>
      </c>
      <c r="B51" s="53"/>
      <c r="C51" s="109">
        <v>0</v>
      </c>
      <c r="D51" s="243"/>
      <c r="E51" s="31">
        <f t="shared" ref="E51:M51" si="23">SUM(E47:E50)+SUM(E40:E43)-E54</f>
        <v>0</v>
      </c>
      <c r="F51" s="31">
        <f t="shared" si="23"/>
        <v>0</v>
      </c>
      <c r="G51" s="49">
        <f t="shared" si="23"/>
        <v>0</v>
      </c>
      <c r="H51" s="115">
        <f t="shared" si="23"/>
        <v>0</v>
      </c>
      <c r="I51" s="31">
        <f t="shared" si="23"/>
        <v>0</v>
      </c>
      <c r="J51" s="61">
        <f t="shared" si="23"/>
        <v>0</v>
      </c>
      <c r="K51" s="150">
        <f t="shared" si="23"/>
        <v>0</v>
      </c>
      <c r="L51" s="31">
        <f t="shared" si="23"/>
        <v>0</v>
      </c>
      <c r="M51" s="93">
        <f t="shared" si="23"/>
        <v>0</v>
      </c>
      <c r="P51" s="46"/>
    </row>
    <row r="52" spans="1:18" ht="15.5" thickTop="1" thickBot="1" x14ac:dyDescent="0.4">
      <c r="A52" s="53" t="s">
        <v>21</v>
      </c>
      <c r="B52" s="53"/>
      <c r="C52" s="102">
        <v>0</v>
      </c>
      <c r="D52" s="244"/>
      <c r="E52" s="31">
        <f>SUM(E47:E50)-E31</f>
        <v>0</v>
      </c>
      <c r="F52" s="31">
        <f t="shared" ref="F52:M52" si="24">SUM(F47:F50)-F31</f>
        <v>0</v>
      </c>
      <c r="G52" s="49">
        <f t="shared" si="24"/>
        <v>0</v>
      </c>
      <c r="H52" s="50">
        <f t="shared" si="24"/>
        <v>0</v>
      </c>
      <c r="I52" s="31">
        <f t="shared" si="24"/>
        <v>0</v>
      </c>
      <c r="J52" s="61">
        <f t="shared" si="24"/>
        <v>0</v>
      </c>
      <c r="K52" s="150">
        <f t="shared" si="24"/>
        <v>0</v>
      </c>
      <c r="L52" s="31">
        <f t="shared" si="24"/>
        <v>0</v>
      </c>
      <c r="M52" s="93">
        <f t="shared" si="24"/>
        <v>0</v>
      </c>
      <c r="P52" s="46"/>
    </row>
    <row r="53" spans="1:18" ht="15.5" thickTop="1" thickBot="1" x14ac:dyDescent="0.4">
      <c r="C53" s="96"/>
      <c r="D53" s="138"/>
      <c r="E53" s="16"/>
      <c r="F53" s="16"/>
      <c r="G53" s="16"/>
      <c r="H53" s="9"/>
      <c r="I53" s="16"/>
      <c r="J53" s="10"/>
      <c r="K53" s="16"/>
      <c r="L53" s="16"/>
      <c r="M53" s="10"/>
      <c r="P53" s="46"/>
    </row>
    <row r="54" spans="1:18" ht="15" thickBot="1" x14ac:dyDescent="0.4">
      <c r="A54" s="45" t="s">
        <v>30</v>
      </c>
      <c r="B54" s="111">
        <f>SUM(B40:B43)</f>
        <v>4352301.0599999996</v>
      </c>
      <c r="C54" s="39">
        <f>(SUM(C14:C17)-SUM(C26:C29))+SUM(C47:C50)+B54</f>
        <v>1772274.13</v>
      </c>
      <c r="D54" s="114"/>
      <c r="E54" s="40">
        <f>(SUM(E14:E17)-SUM(E26:E29))+SUM(E47:E50)+C54</f>
        <v>2268489.7199999997</v>
      </c>
      <c r="F54" s="40">
        <f t="shared" ref="F54:M54" si="25">(SUM(F14:F17)-SUM(F26:F29))+SUM(F47:F50)+E54</f>
        <v>3952160.55</v>
      </c>
      <c r="G54" s="103">
        <f t="shared" si="25"/>
        <v>3730822.78</v>
      </c>
      <c r="H54" s="39">
        <f t="shared" si="25"/>
        <v>3258603.7199999997</v>
      </c>
      <c r="I54" s="40">
        <f t="shared" si="25"/>
        <v>2995524.09</v>
      </c>
      <c r="J54" s="60">
        <f>(SUM(J14:J17)-SUM(J26:J29))+SUM(J47:J50)+I54</f>
        <v>2751158.9899999998</v>
      </c>
      <c r="K54" s="114">
        <f t="shared" si="25"/>
        <v>2603360.84</v>
      </c>
      <c r="L54" s="40">
        <f t="shared" si="25"/>
        <v>2245371.7199999997</v>
      </c>
      <c r="M54" s="60">
        <f t="shared" si="25"/>
        <v>1781192.8699999996</v>
      </c>
      <c r="Q54" s="515"/>
      <c r="R54" s="515"/>
    </row>
    <row r="55" spans="1:18" x14ac:dyDescent="0.35">
      <c r="A55" s="45" t="s">
        <v>10</v>
      </c>
      <c r="C55" s="112"/>
      <c r="D55" s="16"/>
      <c r="E55" s="55"/>
      <c r="F55" s="55"/>
      <c r="G55" s="55"/>
      <c r="H55" s="11"/>
      <c r="I55" s="55"/>
      <c r="J55" s="10"/>
      <c r="K55" s="16"/>
      <c r="L55" s="16"/>
      <c r="M55" s="10"/>
      <c r="Q55" s="515"/>
      <c r="R55" s="515"/>
    </row>
    <row r="56" spans="1:18" ht="15" thickBot="1" x14ac:dyDescent="0.4">
      <c r="B56" s="16"/>
      <c r="C56" s="42"/>
      <c r="D56" s="43"/>
      <c r="E56" s="43"/>
      <c r="F56" s="43"/>
      <c r="G56" s="43"/>
      <c r="H56" s="42"/>
      <c r="I56" s="43"/>
      <c r="J56" s="44"/>
      <c r="K56" s="43"/>
      <c r="L56" s="43"/>
      <c r="M56" s="44"/>
      <c r="Q56" s="515"/>
      <c r="R56" s="515"/>
    </row>
    <row r="58" spans="1:18" x14ac:dyDescent="0.35">
      <c r="A58" s="68" t="s">
        <v>9</v>
      </c>
      <c r="B58" s="68"/>
      <c r="C58" s="68"/>
      <c r="D58" s="68"/>
    </row>
    <row r="59" spans="1:18" ht="80.25" customHeight="1" x14ac:dyDescent="0.35">
      <c r="A59" s="529" t="s">
        <v>274</v>
      </c>
      <c r="B59" s="529"/>
      <c r="C59" s="529"/>
      <c r="D59" s="529"/>
      <c r="E59" s="529"/>
      <c r="F59" s="529"/>
      <c r="G59" s="529"/>
      <c r="H59" s="529"/>
      <c r="I59" s="529"/>
      <c r="J59" s="529"/>
      <c r="K59" s="204"/>
      <c r="L59" s="204"/>
      <c r="M59" s="204"/>
    </row>
    <row r="60" spans="1:18" ht="34.5" customHeight="1" x14ac:dyDescent="0.35">
      <c r="A60" s="529" t="s">
        <v>277</v>
      </c>
      <c r="B60" s="529"/>
      <c r="C60" s="529"/>
      <c r="D60" s="529"/>
      <c r="E60" s="529"/>
      <c r="F60" s="529"/>
      <c r="G60" s="529"/>
      <c r="H60" s="529"/>
      <c r="I60" s="529"/>
      <c r="J60" s="529"/>
      <c r="K60" s="204"/>
      <c r="L60" s="204"/>
      <c r="M60" s="204"/>
    </row>
    <row r="61" spans="1:18" ht="49.5" customHeight="1" x14ac:dyDescent="0.35">
      <c r="A61" s="529" t="s">
        <v>259</v>
      </c>
      <c r="B61" s="529"/>
      <c r="C61" s="529"/>
      <c r="D61" s="529"/>
      <c r="E61" s="529"/>
      <c r="F61" s="529"/>
      <c r="G61" s="529"/>
      <c r="H61" s="529"/>
      <c r="I61" s="529"/>
      <c r="J61" s="529"/>
      <c r="K61" s="204"/>
      <c r="L61" s="204"/>
      <c r="M61" s="204"/>
    </row>
    <row r="62" spans="1:18" x14ac:dyDescent="0.35">
      <c r="A62" s="529" t="s">
        <v>219</v>
      </c>
      <c r="B62" s="529"/>
      <c r="C62" s="529"/>
      <c r="D62" s="529"/>
      <c r="E62" s="529"/>
      <c r="F62" s="529"/>
      <c r="G62" s="529"/>
      <c r="H62" s="529"/>
      <c r="I62" s="529"/>
      <c r="J62" s="529"/>
    </row>
    <row r="63" spans="1:18" x14ac:dyDescent="0.35">
      <c r="A63" s="412" t="s">
        <v>263</v>
      </c>
      <c r="B63" s="412"/>
      <c r="C63" s="412"/>
      <c r="D63" s="412"/>
      <c r="E63" s="392"/>
      <c r="F63" s="392"/>
      <c r="G63" s="392"/>
      <c r="H63" s="392"/>
      <c r="I63" s="392"/>
      <c r="J63" s="321"/>
    </row>
    <row r="64" spans="1:18" x14ac:dyDescent="0.35">
      <c r="A64" s="3" t="s">
        <v>45</v>
      </c>
      <c r="B64" s="3"/>
      <c r="C64" s="3"/>
      <c r="D64" s="3"/>
      <c r="J64" s="4"/>
    </row>
    <row r="65" spans="1:14" x14ac:dyDescent="0.35">
      <c r="A65" s="3"/>
    </row>
    <row r="66" spans="1:14" ht="36" customHeight="1" x14ac:dyDescent="0.35">
      <c r="A66" s="528"/>
      <c r="B66" s="528"/>
      <c r="C66" s="528"/>
      <c r="D66" s="528"/>
      <c r="E66" s="528"/>
      <c r="F66" s="528"/>
      <c r="G66" s="528"/>
    </row>
    <row r="74" spans="1:14" x14ac:dyDescent="0.35">
      <c r="N74" s="7"/>
    </row>
  </sheetData>
  <mergeCells count="8">
    <mergeCell ref="A66:G66"/>
    <mergeCell ref="A61:J61"/>
    <mergeCell ref="E10:G10"/>
    <mergeCell ref="H10:J10"/>
    <mergeCell ref="K10:M10"/>
    <mergeCell ref="A59:J59"/>
    <mergeCell ref="A60:J60"/>
    <mergeCell ref="A62:J62"/>
  </mergeCells>
  <pageMargins left="0.2" right="0.2" top="0.75" bottom="0.25" header="0.3" footer="0.3"/>
  <pageSetup scale="54" orientation="landscape" r:id="rId1"/>
  <headerFooter>
    <oddHeader>&amp;C&amp;F &amp;A&amp;R&amp;"Arial"&amp;10&amp;K000000CONFIDENTIAL</oddHeader>
    <oddFooter xml:space="preserve">&amp;R_x000D_&amp;1#&amp;"Calibri"&amp;10&amp;KA80000 Restricted – Sensitive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DA5EC-43C1-4B10-BF6B-0461013A4037}">
  <sheetPr>
    <pageSetUpPr fitToPage="1"/>
  </sheetPr>
  <dimension ref="A1:AJ74"/>
  <sheetViews>
    <sheetView zoomScale="85" zoomScaleNormal="85" workbookViewId="0">
      <pane xSplit="2" ySplit="11" topLeftCell="C12" activePane="bottomRight" state="frozen"/>
      <selection activeCell="E77" sqref="E77"/>
      <selection pane="topRight" activeCell="E77" sqref="E77"/>
      <selection pane="bottomLeft" activeCell="E77" sqref="E77"/>
      <selection pane="bottomRight" activeCell="C12" sqref="C12"/>
    </sheetView>
  </sheetViews>
  <sheetFormatPr defaultColWidth="9.1796875" defaultRowHeight="14.5" outlineLevelCol="1" x14ac:dyDescent="0.35"/>
  <cols>
    <col min="1" max="1" width="54.54296875" style="45" customWidth="1"/>
    <col min="2" max="2" width="14.7265625" style="45" customWidth="1"/>
    <col min="3" max="3" width="15" style="45" customWidth="1"/>
    <col min="4" max="4" width="15" style="45" customWidth="1" outlineLevel="1"/>
    <col min="5" max="5" width="15.26953125" style="45" customWidth="1"/>
    <col min="6" max="6" width="15.81640625" style="45" customWidth="1"/>
    <col min="7" max="7" width="17.54296875" style="45" customWidth="1"/>
    <col min="8" max="9" width="13.26953125" style="45" customWidth="1"/>
    <col min="10" max="10" width="15.7265625" style="45" customWidth="1"/>
    <col min="11" max="12" width="12.54296875" style="45" bestFit="1" customWidth="1"/>
    <col min="13" max="13" width="14.453125" style="45" customWidth="1"/>
    <col min="14" max="14" width="15" style="45" bestFit="1" customWidth="1"/>
    <col min="15" max="15" width="16.26953125" style="45" bestFit="1" customWidth="1"/>
    <col min="16" max="16" width="16.26953125" style="45" hidden="1" customWidth="1" outlineLevel="1"/>
    <col min="17" max="17" width="16.1796875" style="45" customWidth="1" collapsed="1"/>
    <col min="18" max="18" width="17.26953125" style="45" bestFit="1" customWidth="1"/>
    <col min="19" max="19" width="17.453125" style="45" customWidth="1"/>
    <col min="20" max="20" width="15.54296875" style="45" customWidth="1"/>
    <col min="21" max="21" width="13" style="45" customWidth="1"/>
    <col min="22" max="22" width="9.1796875" style="45"/>
    <col min="23" max="23" width="14.26953125" style="45" bestFit="1" customWidth="1"/>
    <col min="24" max="16384" width="9.1796875" style="45"/>
  </cols>
  <sheetData>
    <row r="1" spans="1:36" x14ac:dyDescent="0.35">
      <c r="A1" s="3" t="str">
        <f>+'PTD Cycle 3'!A1</f>
        <v>Evergy Missouri West, Inc. - DSIM Rider Update Filed 06/02/2025</v>
      </c>
      <c r="B1" s="3"/>
      <c r="C1" s="3"/>
      <c r="D1" s="3"/>
    </row>
    <row r="2" spans="1:36" x14ac:dyDescent="0.35">
      <c r="E2" s="3" t="s">
        <v>216</v>
      </c>
    </row>
    <row r="3" spans="1:36" ht="29" x14ac:dyDescent="0.35">
      <c r="E3" s="47" t="s">
        <v>40</v>
      </c>
      <c r="F3" s="47" t="s">
        <v>39</v>
      </c>
      <c r="G3" s="69" t="s">
        <v>0</v>
      </c>
      <c r="H3" s="47" t="s">
        <v>1</v>
      </c>
      <c r="I3" s="69" t="s">
        <v>49</v>
      </c>
      <c r="J3" s="47" t="s">
        <v>8</v>
      </c>
      <c r="K3" s="47" t="s">
        <v>2</v>
      </c>
    </row>
    <row r="4" spans="1:36" x14ac:dyDescent="0.35">
      <c r="A4" s="19" t="s">
        <v>22</v>
      </c>
      <c r="E4" s="21">
        <f>SUM(C26:M26)</f>
        <v>2784059.67</v>
      </c>
      <c r="F4" s="126">
        <f>SUM(C20:M20)</f>
        <v>1750975745.3601213</v>
      </c>
      <c r="G4" s="21">
        <f>SUM(C14:L14)</f>
        <v>1273777.1299999999</v>
      </c>
      <c r="H4" s="21">
        <f>G4-E4</f>
        <v>-1510282.54</v>
      </c>
      <c r="I4" s="21">
        <f>+B40</f>
        <v>20000.699999999997</v>
      </c>
      <c r="J4" s="21">
        <f>SUM(C47:L47)</f>
        <v>-17900.5</v>
      </c>
      <c r="K4" s="24">
        <f>SUM(H4:J4)</f>
        <v>-1508182.34</v>
      </c>
      <c r="L4" s="289">
        <f>+K4-M40</f>
        <v>0</v>
      </c>
    </row>
    <row r="5" spans="1:36" x14ac:dyDescent="0.35">
      <c r="A5" s="19" t="s">
        <v>94</v>
      </c>
      <c r="E5" s="21">
        <f>SUM(C27:M27)</f>
        <v>673107.2</v>
      </c>
      <c r="F5" s="126">
        <f>SUM(C21:M21)</f>
        <v>684438260.34360015</v>
      </c>
      <c r="G5" s="21">
        <f>SUM(C15:L15)</f>
        <v>476030.42</v>
      </c>
      <c r="H5" s="21">
        <f>G5-E5</f>
        <v>-197076.77999999997</v>
      </c>
      <c r="I5" s="21">
        <f>+B41</f>
        <v>2111.6099999999988</v>
      </c>
      <c r="J5" s="21">
        <f>SUM(C48:L48)</f>
        <v>-3164.3199999999997</v>
      </c>
      <c r="K5" s="24">
        <f>SUM(H5:J5)</f>
        <v>-198129.49</v>
      </c>
      <c r="L5" s="289">
        <f t="shared" ref="L5:L6" si="0">+K5-M41</f>
        <v>0</v>
      </c>
    </row>
    <row r="6" spans="1:36" x14ac:dyDescent="0.35">
      <c r="A6" s="19" t="s">
        <v>95</v>
      </c>
      <c r="E6" s="21">
        <f>SUM(C28:M28)</f>
        <v>1241631.52</v>
      </c>
      <c r="F6" s="126">
        <f>SUM(C22:M22)</f>
        <v>507050490.94970012</v>
      </c>
      <c r="G6" s="21">
        <f>SUM(C16:L16)</f>
        <v>653885.86</v>
      </c>
      <c r="H6" s="21">
        <f>G6-E6</f>
        <v>-587745.66</v>
      </c>
      <c r="I6" s="21">
        <f>+B42</f>
        <v>5970.4499999999989</v>
      </c>
      <c r="J6" s="21">
        <f>SUM(C49:L49)</f>
        <v>-8497.64</v>
      </c>
      <c r="K6" s="24">
        <f>SUM(H6:J6)</f>
        <v>-590272.85000000009</v>
      </c>
      <c r="L6" s="289">
        <f t="shared" si="0"/>
        <v>0</v>
      </c>
    </row>
    <row r="7" spans="1:36" ht="15" thickBot="1" x14ac:dyDescent="0.4">
      <c r="A7" s="19" t="s">
        <v>96</v>
      </c>
      <c r="E7" s="21">
        <f>SUM(C29:M29)</f>
        <v>1579665.21</v>
      </c>
      <c r="F7" s="126">
        <f>SUM(C23:M23)</f>
        <v>387585870.59939992</v>
      </c>
      <c r="G7" s="21">
        <f>SUM(C17:L17)</f>
        <v>762785.43</v>
      </c>
      <c r="H7" s="21">
        <f>G7-E7</f>
        <v>-816879.77999999991</v>
      </c>
      <c r="I7" s="21">
        <f>+B43</f>
        <v>6318.880000000001</v>
      </c>
      <c r="J7" s="21">
        <f>SUM(C50:L50)</f>
        <v>-11505.43</v>
      </c>
      <c r="K7" s="24">
        <f>SUM(H7:J7)</f>
        <v>-822066.33</v>
      </c>
      <c r="L7" s="289">
        <f>+K7-M43</f>
        <v>0</v>
      </c>
    </row>
    <row r="8" spans="1:36" ht="15.5" thickTop="1" thickBot="1" x14ac:dyDescent="0.4">
      <c r="E8" s="26">
        <f t="shared" ref="E8:K8" si="1">SUM(E4:E7)</f>
        <v>6278463.6000000006</v>
      </c>
      <c r="F8" s="26">
        <f t="shared" si="1"/>
        <v>3330050367.2528214</v>
      </c>
      <c r="G8" s="26">
        <f t="shared" si="1"/>
        <v>3166478.84</v>
      </c>
      <c r="H8" s="26">
        <f t="shared" si="1"/>
        <v>-3111984.76</v>
      </c>
      <c r="I8" s="26">
        <f t="shared" si="1"/>
        <v>34401.64</v>
      </c>
      <c r="J8" s="26">
        <f t="shared" si="1"/>
        <v>-41067.89</v>
      </c>
      <c r="K8" s="26">
        <f t="shared" si="1"/>
        <v>-3118651.0100000002</v>
      </c>
    </row>
    <row r="9" spans="1:36" ht="15.5" thickTop="1" thickBot="1" x14ac:dyDescent="0.4"/>
    <row r="10" spans="1:36" ht="87.5" thickBot="1" x14ac:dyDescent="0.4">
      <c r="B10" s="110" t="s">
        <v>256</v>
      </c>
      <c r="C10" s="140" t="s">
        <v>257</v>
      </c>
      <c r="D10" s="245"/>
      <c r="E10" s="530" t="s">
        <v>28</v>
      </c>
      <c r="F10" s="530"/>
      <c r="G10" s="531"/>
      <c r="H10" s="532" t="s">
        <v>28</v>
      </c>
      <c r="I10" s="533"/>
      <c r="J10" s="534"/>
      <c r="K10" s="535" t="s">
        <v>6</v>
      </c>
      <c r="L10" s="536"/>
      <c r="M10" s="537"/>
      <c r="P10" s="264" t="s">
        <v>196</v>
      </c>
    </row>
    <row r="11" spans="1:36" x14ac:dyDescent="0.35">
      <c r="C11" s="13"/>
      <c r="D11" s="18"/>
      <c r="E11" s="504">
        <v>45626</v>
      </c>
      <c r="F11" s="377">
        <f t="shared" ref="F11:M11" si="2">EOMONTH(E11,1)</f>
        <v>45657</v>
      </c>
      <c r="G11" s="377">
        <f t="shared" si="2"/>
        <v>45688</v>
      </c>
      <c r="H11" s="372">
        <f t="shared" si="2"/>
        <v>45716</v>
      </c>
      <c r="I11" s="377">
        <f t="shared" si="2"/>
        <v>45747</v>
      </c>
      <c r="J11" s="373">
        <f t="shared" si="2"/>
        <v>45777</v>
      </c>
      <c r="K11" s="377">
        <f t="shared" si="2"/>
        <v>45808</v>
      </c>
      <c r="L11" s="377">
        <f t="shared" si="2"/>
        <v>45838</v>
      </c>
      <c r="M11" s="373">
        <f t="shared" si="2"/>
        <v>45869</v>
      </c>
      <c r="AA11" s="1"/>
      <c r="AB11" s="1"/>
      <c r="AC11" s="1"/>
      <c r="AD11" s="1"/>
      <c r="AE11" s="1"/>
      <c r="AF11" s="1"/>
      <c r="AG11" s="1"/>
      <c r="AH11" s="1"/>
      <c r="AI11" s="1"/>
      <c r="AJ11" s="1"/>
    </row>
    <row r="12" spans="1:36" x14ac:dyDescent="0.35">
      <c r="C12" s="95"/>
      <c r="D12" s="236"/>
      <c r="E12" s="30"/>
      <c r="F12" s="30"/>
      <c r="G12" s="30"/>
      <c r="H12" s="27"/>
      <c r="I12" s="30"/>
      <c r="J12" s="10"/>
      <c r="K12" s="30"/>
      <c r="L12" s="30"/>
      <c r="M12" s="28"/>
      <c r="P12" s="46"/>
    </row>
    <row r="13" spans="1:36" x14ac:dyDescent="0.35">
      <c r="A13" s="45" t="s">
        <v>123</v>
      </c>
      <c r="C13" s="96"/>
      <c r="D13" s="138"/>
      <c r="E13" s="30"/>
      <c r="F13" s="30"/>
      <c r="G13" s="236"/>
      <c r="H13" s="95"/>
      <c r="I13" s="236"/>
      <c r="J13" s="299"/>
      <c r="K13" s="138"/>
      <c r="L13" s="138"/>
      <c r="M13" s="10"/>
      <c r="P13" s="46"/>
    </row>
    <row r="14" spans="1:36" x14ac:dyDescent="0.35">
      <c r="A14" s="45" t="s">
        <v>22</v>
      </c>
      <c r="C14" s="348">
        <v>0</v>
      </c>
      <c r="D14" s="237"/>
      <c r="E14" s="104"/>
      <c r="F14" s="104"/>
      <c r="G14" s="105">
        <f>'[12]Pivot - SI Project MOWest'!$N$40</f>
        <v>31514.300000000003</v>
      </c>
      <c r="H14" s="15">
        <f>'[13]Pivot - SI Project MOWest'!$N$40</f>
        <v>70008.03</v>
      </c>
      <c r="I14" s="54">
        <f>'[14]Pivot - SI Project MOWest'!$N$40</f>
        <v>104307.51</v>
      </c>
      <c r="J14" s="151">
        <f>'[15]Pivot - SI Project MOWest'!$N$40</f>
        <v>152712.35</v>
      </c>
      <c r="K14" s="358">
        <f>'[2]GMO STIP IMPORT'!K104</f>
        <v>364462.51</v>
      </c>
      <c r="L14" s="359">
        <f>'[2]GMO STIP IMPORT'!L104</f>
        <v>550772.43000000005</v>
      </c>
      <c r="M14" s="357"/>
      <c r="P14" s="46">
        <f>-SUM(K14:M14)</f>
        <v>-915234.94000000006</v>
      </c>
    </row>
    <row r="15" spans="1:36" x14ac:dyDescent="0.35">
      <c r="A15" s="45" t="s">
        <v>94</v>
      </c>
      <c r="C15" s="348">
        <v>0</v>
      </c>
      <c r="D15" s="237"/>
      <c r="E15" s="104"/>
      <c r="F15" s="104"/>
      <c r="G15" s="438">
        <f>'[12]Pivot - SI Project MOWest'!$O$40</f>
        <v>19728.689999999999</v>
      </c>
      <c r="H15" s="15">
        <f>'[13]Pivot - SI Project MOWest'!$O$40</f>
        <v>6955.66</v>
      </c>
      <c r="I15" s="54">
        <f>'[14]Pivot - SI Project MOWest'!$O$40</f>
        <v>36675.1</v>
      </c>
      <c r="J15" s="151">
        <f>'[15]Pivot - SI Project MOWest'!$O$40</f>
        <v>131658.03999999998</v>
      </c>
      <c r="K15" s="358">
        <f>'[2]GMO STIP IMPORT'!K105</f>
        <v>40884.869999999995</v>
      </c>
      <c r="L15" s="359">
        <f>'[2]GMO STIP IMPORT'!L105</f>
        <v>240128.06</v>
      </c>
      <c r="M15" s="357"/>
      <c r="P15" s="46">
        <f t="shared" ref="P15:P17" si="3">-SUM(K15:M15)</f>
        <v>-281012.93</v>
      </c>
    </row>
    <row r="16" spans="1:36" x14ac:dyDescent="0.35">
      <c r="A16" s="45" t="s">
        <v>95</v>
      </c>
      <c r="C16" s="348">
        <v>0</v>
      </c>
      <c r="D16" s="237"/>
      <c r="E16" s="104"/>
      <c r="F16" s="104"/>
      <c r="G16" s="438">
        <f>'[12]Pivot - SI Project MOWest'!$Q$40</f>
        <v>38972.619999999995</v>
      </c>
      <c r="H16" s="15">
        <f>'[13]Pivot - SI Project MOWest'!$Q$40</f>
        <v>8172.5900000000038</v>
      </c>
      <c r="I16" s="54">
        <f>'[14]Pivot - SI Project MOWest'!$Q$40</f>
        <v>37285.46</v>
      </c>
      <c r="J16" s="151">
        <f>'[15]Pivot - SI Project MOWest'!$Q$40</f>
        <v>-3155.8099999999977</v>
      </c>
      <c r="K16" s="358">
        <f>'[2]GMO STIP IMPORT'!K107</f>
        <v>56059.06</v>
      </c>
      <c r="L16" s="359">
        <f>'[2]GMO STIP IMPORT'!L107</f>
        <v>516551.94</v>
      </c>
      <c r="M16" s="357"/>
      <c r="P16" s="46">
        <f t="shared" si="3"/>
        <v>-572611</v>
      </c>
    </row>
    <row r="17" spans="1:16" x14ac:dyDescent="0.35">
      <c r="A17" s="45" t="s">
        <v>96</v>
      </c>
      <c r="C17" s="348">
        <v>0</v>
      </c>
      <c r="D17" s="237"/>
      <c r="E17" s="104"/>
      <c r="F17" s="104"/>
      <c r="G17" s="438">
        <f>'[12]Pivot - SI Project MOWest'!$R$40</f>
        <v>44796.079999999994</v>
      </c>
      <c r="H17" s="15">
        <f>'[13]Pivot - SI Project MOWest'!$R$40</f>
        <v>7113.7300000000178</v>
      </c>
      <c r="I17" s="54">
        <f>'[14]Pivot - SI Project MOWest'!$R$40</f>
        <v>28457.089999999982</v>
      </c>
      <c r="J17" s="151">
        <f>'[15]Pivot - SI Project MOWest'!$R$40</f>
        <v>17082.869999999995</v>
      </c>
      <c r="K17" s="358">
        <f>'[2]GMO STIP IMPORT'!K108</f>
        <v>54318.35</v>
      </c>
      <c r="L17" s="359">
        <f>'[2]GMO STIP IMPORT'!L108</f>
        <v>611017.31000000006</v>
      </c>
      <c r="M17" s="357"/>
      <c r="P17" s="46">
        <f t="shared" si="3"/>
        <v>-665335.66</v>
      </c>
    </row>
    <row r="18" spans="1:16" x14ac:dyDescent="0.35">
      <c r="C18" s="284"/>
      <c r="D18" s="138"/>
      <c r="E18" s="30"/>
      <c r="F18" s="30"/>
      <c r="G18" s="30"/>
      <c r="H18" s="27"/>
      <c r="I18" s="30"/>
      <c r="J18" s="10"/>
      <c r="K18" s="16"/>
      <c r="L18" s="16"/>
      <c r="M18" s="10"/>
      <c r="P18" s="46"/>
    </row>
    <row r="19" spans="1:16" x14ac:dyDescent="0.35">
      <c r="A19" s="38" t="s">
        <v>41</v>
      </c>
      <c r="B19" s="38"/>
      <c r="C19" s="285"/>
      <c r="D19" s="238"/>
      <c r="E19" s="236"/>
      <c r="F19" s="236"/>
      <c r="G19" s="236"/>
      <c r="H19" s="95"/>
      <c r="I19" s="236"/>
      <c r="J19" s="298"/>
      <c r="K19" s="138"/>
      <c r="L19" s="138"/>
      <c r="M19" s="298"/>
      <c r="P19" s="46"/>
    </row>
    <row r="20" spans="1:16" x14ac:dyDescent="0.35">
      <c r="A20" s="45" t="s">
        <v>22</v>
      </c>
      <c r="C20" s="349">
        <v>-967071770</v>
      </c>
      <c r="D20" s="239"/>
      <c r="E20" s="106">
        <f>'[10]November 2024'!$G169</f>
        <v>205019778.92699975</v>
      </c>
      <c r="F20" s="106">
        <f>'[10]December 2024'!$G169</f>
        <v>299802577.8136999</v>
      </c>
      <c r="G20" s="106">
        <f>'[10]January 2025'!$G169</f>
        <v>380980161.07039958</v>
      </c>
      <c r="H20" s="165">
        <f>'[10]February 2025'!$G169</f>
        <v>409301197.12469983</v>
      </c>
      <c r="I20" s="166">
        <f>'[10]March 2025'!$G169</f>
        <v>320989943.20819992</v>
      </c>
      <c r="J20" s="162">
        <f>'[10]April 2025'!$G169</f>
        <v>210751155.08590007</v>
      </c>
      <c r="K20" s="159">
        <f>'[1]GMO Billed kWh Sales'!R28</f>
        <v>221940439.98763728</v>
      </c>
      <c r="L20" s="128">
        <f>'[1]GMO Billed kWh Sales'!S28</f>
        <v>280293167.59118003</v>
      </c>
      <c r="M20" s="74">
        <f>'[1]GMO Billed kWh Sales'!T28</f>
        <v>388969094.5514046</v>
      </c>
      <c r="P20" s="46">
        <f>-SUM(K20:M20)</f>
        <v>-891202702.13022184</v>
      </c>
    </row>
    <row r="21" spans="1:16" x14ac:dyDescent="0.35">
      <c r="A21" s="45" t="s">
        <v>94</v>
      </c>
      <c r="C21" s="349">
        <v>-325221005</v>
      </c>
      <c r="D21" s="239"/>
      <c r="E21" s="439">
        <f>'[10]November 2024'!$G170</f>
        <v>99494068.543500021</v>
      </c>
      <c r="F21" s="106">
        <f>'[10]December 2024'!$G170</f>
        <v>117104646.73519997</v>
      </c>
      <c r="G21" s="106">
        <f>'[10]January 2025'!$G170</f>
        <v>129128549.50220008</v>
      </c>
      <c r="H21" s="165">
        <f>'[10]February 2025'!$G170</f>
        <v>138865860.31440005</v>
      </c>
      <c r="I21" s="166">
        <f>'[10]March 2025'!$G170</f>
        <v>106808584.12380005</v>
      </c>
      <c r="J21" s="162">
        <f>'[10]April 2025'!$G170</f>
        <v>97600984.124499962</v>
      </c>
      <c r="K21" s="159">
        <f>'[1]GMO Billed kWh Sales'!R29</f>
        <v>95314590</v>
      </c>
      <c r="L21" s="128">
        <f>'[1]GMO Billed kWh Sales'!S29</f>
        <v>106387006</v>
      </c>
      <c r="M21" s="74">
        <f>'[1]GMO Billed kWh Sales'!T29</f>
        <v>118954976</v>
      </c>
      <c r="P21" s="46">
        <f t="shared" ref="P21:P23" si="4">-SUM(K21:M21)</f>
        <v>-320656572</v>
      </c>
    </row>
    <row r="22" spans="1:16" x14ac:dyDescent="0.35">
      <c r="A22" s="45" t="s">
        <v>95</v>
      </c>
      <c r="C22" s="349">
        <v>-275875207</v>
      </c>
      <c r="D22" s="239"/>
      <c r="E22" s="439">
        <f>'[10]November 2024'!$G171</f>
        <v>84660915.921300024</v>
      </c>
      <c r="F22" s="106">
        <f>'[10]December 2024'!$G171</f>
        <v>89669675.407700032</v>
      </c>
      <c r="G22" s="106">
        <f>'[10]January 2025'!$G171</f>
        <v>89115094.340200022</v>
      </c>
      <c r="H22" s="165">
        <f>'[10]February 2025'!$G171</f>
        <v>95474788.685300022</v>
      </c>
      <c r="I22" s="166">
        <f>'[10]March 2025'!$G171</f>
        <v>83991348.890899986</v>
      </c>
      <c r="J22" s="162">
        <f>'[10]April 2025'!$G171</f>
        <v>77917055.704300016</v>
      </c>
      <c r="K22" s="159">
        <f>'[1]GMO Billed kWh Sales'!R30</f>
        <v>77907809</v>
      </c>
      <c r="L22" s="128">
        <f>'[1]GMO Billed kWh Sales'!S30</f>
        <v>86958130</v>
      </c>
      <c r="M22" s="74">
        <f>'[1]GMO Billed kWh Sales'!T30</f>
        <v>97230880</v>
      </c>
      <c r="P22" s="46">
        <f t="shared" si="4"/>
        <v>-262096819</v>
      </c>
    </row>
    <row r="23" spans="1:16" x14ac:dyDescent="0.35">
      <c r="A23" s="45" t="s">
        <v>96</v>
      </c>
      <c r="C23" s="349">
        <v>-182281363</v>
      </c>
      <c r="D23" s="239"/>
      <c r="E23" s="439">
        <f>'[10]November 2024'!$G172</f>
        <v>64064030.454799987</v>
      </c>
      <c r="F23" s="106">
        <f>'[10]December 2024'!$G172</f>
        <v>64956128.984200008</v>
      </c>
      <c r="G23" s="106">
        <f>'[10]January 2025'!$G172</f>
        <v>61704135.04519999</v>
      </c>
      <c r="H23" s="165">
        <f>'[10]February 2025'!$G172</f>
        <v>67626318.628900006</v>
      </c>
      <c r="I23" s="166">
        <f>'[10]March 2025'!$G172</f>
        <v>65165838.21289999</v>
      </c>
      <c r="J23" s="162">
        <f>'[10]April 2025'!$G172</f>
        <v>64272477.273399979</v>
      </c>
      <c r="K23" s="159">
        <f>'[1]GMO Billed kWh Sales'!R31</f>
        <v>54122449</v>
      </c>
      <c r="L23" s="128">
        <f>'[1]GMO Billed kWh Sales'!S31</f>
        <v>60409695</v>
      </c>
      <c r="M23" s="74">
        <f>'[1]GMO Billed kWh Sales'!T31</f>
        <v>67546161</v>
      </c>
      <c r="P23" s="46">
        <f t="shared" si="4"/>
        <v>-182078305</v>
      </c>
    </row>
    <row r="24" spans="1:16" x14ac:dyDescent="0.35">
      <c r="C24" s="284"/>
      <c r="D24" s="138"/>
      <c r="E24" s="30"/>
      <c r="F24" s="30"/>
      <c r="G24" s="30"/>
      <c r="H24" s="27"/>
      <c r="I24" s="30"/>
      <c r="J24" s="10"/>
      <c r="K24" s="16"/>
      <c r="L24" s="16"/>
      <c r="M24" s="10"/>
      <c r="P24" s="46"/>
    </row>
    <row r="25" spans="1:16" x14ac:dyDescent="0.35">
      <c r="A25" s="45" t="s">
        <v>29</v>
      </c>
      <c r="C25" s="284"/>
      <c r="D25" s="138"/>
      <c r="E25" s="17"/>
      <c r="F25" s="17"/>
      <c r="G25" s="17"/>
      <c r="H25" s="88"/>
      <c r="I25" s="17"/>
      <c r="J25" s="10"/>
      <c r="K25" s="56"/>
      <c r="L25" s="56"/>
      <c r="M25" s="57"/>
      <c r="N25" s="412" t="s">
        <v>44</v>
      </c>
      <c r="O25" s="38"/>
      <c r="P25" s="46"/>
    </row>
    <row r="26" spans="1:16" x14ac:dyDescent="0.35">
      <c r="A26" s="45" t="s">
        <v>22</v>
      </c>
      <c r="C26" s="348">
        <v>-9670.7199999999993</v>
      </c>
      <c r="D26" s="237"/>
      <c r="E26" s="104">
        <f>'[10]November 2024'!$G118+'[10]November 2024'!$G125</f>
        <v>2050.19</v>
      </c>
      <c r="F26" s="104">
        <f>'[10]December 2024'!$G118+'[10]December 2024'!$G125</f>
        <v>2997.84</v>
      </c>
      <c r="G26" s="104">
        <f>'[10]January 2025'!$G118+'[10]January 2025'!$G125</f>
        <v>3881.07</v>
      </c>
      <c r="H26" s="165">
        <f>'[10]February 2025'!$G118+'[10]February 2025'!$G125</f>
        <v>622098</v>
      </c>
      <c r="I26" s="166">
        <f>'[10]March 2025'!$G118+'[10]March 2025'!$G125</f>
        <v>487756.5</v>
      </c>
      <c r="J26" s="162">
        <f>'[10]April 2025'!$G118+'[10]April 2025'!$G125</f>
        <v>320318.69</v>
      </c>
      <c r="K26" s="114">
        <f>ROUND(K20*$N26,2)</f>
        <v>337349.47</v>
      </c>
      <c r="L26" s="40">
        <f t="shared" ref="K26:M29" si="5">ROUND(L20*$N26,2)</f>
        <v>426045.61</v>
      </c>
      <c r="M26" s="60">
        <f t="shared" si="5"/>
        <v>591233.02</v>
      </c>
      <c r="N26" s="71">
        <v>1.5200000000000001E-3</v>
      </c>
      <c r="P26" s="46">
        <f>-SUM(K26:M26)</f>
        <v>-1354628.1</v>
      </c>
    </row>
    <row r="27" spans="1:16" x14ac:dyDescent="0.35">
      <c r="A27" s="45" t="s">
        <v>94</v>
      </c>
      <c r="C27" s="348">
        <v>-3252.2000000000003</v>
      </c>
      <c r="D27" s="237"/>
      <c r="E27" s="517">
        <f>'[10]November 2024'!$G119+'[10]November 2024'!$G126</f>
        <v>994.74</v>
      </c>
      <c r="F27" s="104">
        <f>'[10]December 2024'!$G119+'[10]December 2024'!$G126</f>
        <v>1170.75</v>
      </c>
      <c r="G27" s="104">
        <f>'[10]January 2025'!$G119+'[10]January 2025'!$G126</f>
        <v>1388.34</v>
      </c>
      <c r="H27" s="165">
        <f>'[10]February 2025'!$G119+'[10]February 2025'!$G126</f>
        <v>138110</v>
      </c>
      <c r="I27" s="166">
        <f>'[10]March 2025'!$G119+'[10]March 2025'!$G126</f>
        <v>116475.93</v>
      </c>
      <c r="J27" s="162">
        <f>'[10]April 2025'!$G119+'[10]April 2025'!$G126</f>
        <v>97563.06</v>
      </c>
      <c r="K27" s="114">
        <f t="shared" si="5"/>
        <v>95314.59</v>
      </c>
      <c r="L27" s="40">
        <f t="shared" si="5"/>
        <v>106387.01</v>
      </c>
      <c r="M27" s="60">
        <f t="shared" si="5"/>
        <v>118954.98</v>
      </c>
      <c r="N27" s="71">
        <v>1E-3</v>
      </c>
      <c r="P27" s="46">
        <f t="shared" ref="P27:P31" si="6">-SUM(K27:M27)</f>
        <v>-320656.57999999996</v>
      </c>
    </row>
    <row r="28" spans="1:16" x14ac:dyDescent="0.35">
      <c r="A28" s="45" t="s">
        <v>95</v>
      </c>
      <c r="C28" s="348">
        <v>-2758.75</v>
      </c>
      <c r="D28" s="237"/>
      <c r="E28" s="517">
        <f>'[10]November 2024'!$G120+'[10]November 2024'!$G127</f>
        <v>846.61</v>
      </c>
      <c r="F28" s="104">
        <f>'[10]December 2024'!$G120+'[10]December 2024'!$G127</f>
        <v>896.7</v>
      </c>
      <c r="G28" s="104">
        <f>'[10]January 2025'!$G120+'[10]January 2025'!$G127</f>
        <v>891.15</v>
      </c>
      <c r="H28" s="165">
        <f>'[10]February 2025'!$G120+'[10]February 2025'!$G127</f>
        <v>228126.35</v>
      </c>
      <c r="I28" s="166">
        <f>'[10]March 2025'!$G120+'[10]March 2025'!$G127</f>
        <v>200996.31</v>
      </c>
      <c r="J28" s="162">
        <f>'[10]April 2025'!$G120+'[10]April 2025'!$G127</f>
        <v>186221.76</v>
      </c>
      <c r="K28" s="114">
        <f t="shared" si="5"/>
        <v>186199.66</v>
      </c>
      <c r="L28" s="40">
        <f t="shared" si="5"/>
        <v>207829.93</v>
      </c>
      <c r="M28" s="60">
        <f t="shared" si="5"/>
        <v>232381.8</v>
      </c>
      <c r="N28" s="71">
        <v>2.3900000000000002E-3</v>
      </c>
      <c r="P28" s="46">
        <f t="shared" si="6"/>
        <v>-626411.3899999999</v>
      </c>
    </row>
    <row r="29" spans="1:16" x14ac:dyDescent="0.35">
      <c r="A29" s="45" t="s">
        <v>96</v>
      </c>
      <c r="C29" s="348">
        <v>-3645.6299999999997</v>
      </c>
      <c r="D29" s="237"/>
      <c r="E29" s="517">
        <f>'[10]November 2024'!$G121+'[10]November 2024'!$G128</f>
        <v>1281.28</v>
      </c>
      <c r="F29" s="104">
        <f>'[10]December 2024'!$G121+'[10]December 2024'!$G128</f>
        <v>1299.1199999999999</v>
      </c>
      <c r="G29" s="104">
        <f>'[10]January 2025'!$G121+'[10]January 2025'!$G128</f>
        <v>1234.08</v>
      </c>
      <c r="H29" s="165">
        <f>'[10]February 2025'!$G121+'[10]February 2025'!$G128</f>
        <v>273654.2</v>
      </c>
      <c r="I29" s="166">
        <f>'[10]March 2025'!$G121+'[10]March 2025'!$G128</f>
        <v>268705.37</v>
      </c>
      <c r="J29" s="162">
        <f>'[10]April 2025'!$G121+'[10]April 2025'!$G128</f>
        <v>270587.12</v>
      </c>
      <c r="K29" s="114">
        <f t="shared" si="5"/>
        <v>227855.51</v>
      </c>
      <c r="L29" s="40">
        <f t="shared" si="5"/>
        <v>254324.82</v>
      </c>
      <c r="M29" s="60">
        <f t="shared" si="5"/>
        <v>284369.34000000003</v>
      </c>
      <c r="N29" s="71">
        <v>4.2099999999999993E-3</v>
      </c>
      <c r="P29" s="46">
        <f t="shared" si="6"/>
        <v>-766549.67</v>
      </c>
    </row>
    <row r="30" spans="1:16" x14ac:dyDescent="0.35">
      <c r="C30" s="286"/>
      <c r="D30" s="67"/>
      <c r="E30" s="17"/>
      <c r="F30" s="17"/>
      <c r="G30" s="17"/>
      <c r="H30" s="88"/>
      <c r="I30" s="17"/>
      <c r="J30" s="10"/>
      <c r="K30" s="55"/>
      <c r="L30" s="55"/>
      <c r="M30" s="12"/>
      <c r="N30" s="4"/>
      <c r="P30" s="46"/>
    </row>
    <row r="31" spans="1:16" ht="15" thickBot="1" x14ac:dyDescent="0.4">
      <c r="A31" s="45" t="s">
        <v>12</v>
      </c>
      <c r="C31" s="350">
        <v>0</v>
      </c>
      <c r="D31" s="240">
        <v>0</v>
      </c>
      <c r="E31" s="107">
        <v>0</v>
      </c>
      <c r="F31" s="107">
        <v>0</v>
      </c>
      <c r="G31" s="108">
        <v>488.75</v>
      </c>
      <c r="H31" s="25">
        <v>-1914.3799999999999</v>
      </c>
      <c r="I31" s="113">
        <v>-6631.5999999999995</v>
      </c>
      <c r="J31" s="161">
        <v>-10011.490000000002</v>
      </c>
      <c r="K31" s="160">
        <f>ROUND((SUM(J40:J43)+SUM(J47:J50)+SUM(K34:K37)/2)*K$45,2)-0.01</f>
        <v>-12157.380000000001</v>
      </c>
      <c r="L31" s="129">
        <f>ROUND((SUM(K40:K43)+SUM(K47:K50)+SUM(L34:L37)/2)*L$45,2)-0.01</f>
        <v>-10841.79</v>
      </c>
      <c r="M31" s="78"/>
      <c r="P31" s="46">
        <f t="shared" si="6"/>
        <v>22999.170000000002</v>
      </c>
    </row>
    <row r="32" spans="1:16" x14ac:dyDescent="0.35">
      <c r="C32" s="96"/>
      <c r="D32" s="138"/>
      <c r="E32" s="30"/>
      <c r="F32" s="30"/>
      <c r="G32" s="30"/>
      <c r="H32" s="27"/>
      <c r="I32" s="30"/>
      <c r="J32" s="10"/>
      <c r="K32" s="16"/>
      <c r="L32" s="16"/>
      <c r="M32" s="10"/>
      <c r="P32" s="46"/>
    </row>
    <row r="33" spans="1:16" x14ac:dyDescent="0.35">
      <c r="A33" s="45" t="s">
        <v>46</v>
      </c>
      <c r="C33" s="96"/>
      <c r="D33" s="138"/>
      <c r="E33" s="30"/>
      <c r="F33" s="30"/>
      <c r="G33" s="30"/>
      <c r="H33" s="27"/>
      <c r="I33" s="30"/>
      <c r="J33" s="10"/>
      <c r="K33" s="16"/>
      <c r="L33" s="16"/>
      <c r="M33" s="10"/>
      <c r="P33" s="46"/>
    </row>
    <row r="34" spans="1:16" x14ac:dyDescent="0.35">
      <c r="A34" s="45" t="s">
        <v>22</v>
      </c>
      <c r="C34" s="39">
        <f t="shared" ref="C34:M37" si="7">C14-C26</f>
        <v>9670.7199999999993</v>
      </c>
      <c r="D34" s="114">
        <f t="shared" si="7"/>
        <v>0</v>
      </c>
      <c r="E34" s="40">
        <f>E14-E26</f>
        <v>-2050.19</v>
      </c>
      <c r="F34" s="40">
        <f t="shared" si="7"/>
        <v>-2997.84</v>
      </c>
      <c r="G34" s="103">
        <f t="shared" si="7"/>
        <v>27633.230000000003</v>
      </c>
      <c r="H34" s="39">
        <f t="shared" si="7"/>
        <v>-552089.97</v>
      </c>
      <c r="I34" s="40">
        <f t="shared" si="7"/>
        <v>-383448.99</v>
      </c>
      <c r="J34" s="60">
        <f t="shared" si="7"/>
        <v>-167606.34</v>
      </c>
      <c r="K34" s="114">
        <f t="shared" si="7"/>
        <v>27113.040000000037</v>
      </c>
      <c r="L34" s="40">
        <f t="shared" si="7"/>
        <v>124726.82000000007</v>
      </c>
      <c r="M34" s="48">
        <f t="shared" si="7"/>
        <v>-591233.02</v>
      </c>
      <c r="P34" s="46"/>
    </row>
    <row r="35" spans="1:16" x14ac:dyDescent="0.35">
      <c r="A35" s="45" t="s">
        <v>94</v>
      </c>
      <c r="C35" s="39">
        <f t="shared" si="7"/>
        <v>3252.2000000000003</v>
      </c>
      <c r="D35" s="114">
        <f t="shared" si="7"/>
        <v>0</v>
      </c>
      <c r="E35" s="40">
        <f t="shared" si="7"/>
        <v>-994.74</v>
      </c>
      <c r="F35" s="40">
        <f t="shared" si="7"/>
        <v>-1170.75</v>
      </c>
      <c r="G35" s="103">
        <f t="shared" si="7"/>
        <v>18340.349999999999</v>
      </c>
      <c r="H35" s="39">
        <f t="shared" si="7"/>
        <v>-131154.34</v>
      </c>
      <c r="I35" s="40">
        <f t="shared" si="7"/>
        <v>-79800.829999999987</v>
      </c>
      <c r="J35" s="60">
        <f t="shared" si="7"/>
        <v>34094.979999999981</v>
      </c>
      <c r="K35" s="114">
        <f t="shared" si="7"/>
        <v>-54429.72</v>
      </c>
      <c r="L35" s="40">
        <f t="shared" si="7"/>
        <v>133741.04999999999</v>
      </c>
      <c r="M35" s="48">
        <f t="shared" si="7"/>
        <v>-118954.98</v>
      </c>
      <c r="P35" s="46"/>
    </row>
    <row r="36" spans="1:16" x14ac:dyDescent="0.35">
      <c r="A36" s="45" t="s">
        <v>95</v>
      </c>
      <c r="C36" s="39">
        <f t="shared" si="7"/>
        <v>2758.75</v>
      </c>
      <c r="D36" s="114">
        <f t="shared" si="7"/>
        <v>0</v>
      </c>
      <c r="E36" s="40">
        <f t="shared" si="7"/>
        <v>-846.61</v>
      </c>
      <c r="F36" s="40">
        <f t="shared" si="7"/>
        <v>-896.7</v>
      </c>
      <c r="G36" s="103">
        <f t="shared" si="7"/>
        <v>38081.469999999994</v>
      </c>
      <c r="H36" s="39">
        <f t="shared" si="7"/>
        <v>-219953.76</v>
      </c>
      <c r="I36" s="40">
        <f t="shared" si="7"/>
        <v>-163710.85</v>
      </c>
      <c r="J36" s="60">
        <f t="shared" si="7"/>
        <v>-189377.57</v>
      </c>
      <c r="K36" s="114">
        <f t="shared" si="7"/>
        <v>-130140.6</v>
      </c>
      <c r="L36" s="40">
        <f t="shared" si="7"/>
        <v>308722.01</v>
      </c>
      <c r="M36" s="48">
        <f t="shared" si="7"/>
        <v>-232381.8</v>
      </c>
      <c r="P36" s="46"/>
    </row>
    <row r="37" spans="1:16" x14ac:dyDescent="0.35">
      <c r="A37" s="45" t="s">
        <v>96</v>
      </c>
      <c r="C37" s="39">
        <f t="shared" si="7"/>
        <v>3645.6299999999997</v>
      </c>
      <c r="D37" s="114">
        <f t="shared" si="7"/>
        <v>0</v>
      </c>
      <c r="E37" s="40">
        <f t="shared" si="7"/>
        <v>-1281.28</v>
      </c>
      <c r="F37" s="40">
        <f t="shared" si="7"/>
        <v>-1299.1199999999999</v>
      </c>
      <c r="G37" s="103">
        <f t="shared" si="7"/>
        <v>43561.999999999993</v>
      </c>
      <c r="H37" s="39">
        <f t="shared" si="7"/>
        <v>-266540.46999999997</v>
      </c>
      <c r="I37" s="40">
        <f t="shared" si="7"/>
        <v>-240248.28000000003</v>
      </c>
      <c r="J37" s="60">
        <f t="shared" si="7"/>
        <v>-253504.25</v>
      </c>
      <c r="K37" s="114">
        <f t="shared" si="7"/>
        <v>-173537.16</v>
      </c>
      <c r="L37" s="40">
        <f t="shared" si="7"/>
        <v>356692.49000000005</v>
      </c>
      <c r="M37" s="48">
        <f t="shared" si="7"/>
        <v>-284369.34000000003</v>
      </c>
      <c r="P37" s="46"/>
    </row>
    <row r="38" spans="1:16" x14ac:dyDescent="0.35">
      <c r="C38" s="96"/>
      <c r="D38" s="138"/>
      <c r="E38" s="30"/>
      <c r="F38" s="30"/>
      <c r="G38" s="30"/>
      <c r="H38" s="27"/>
      <c r="I38" s="30"/>
      <c r="J38" s="10"/>
      <c r="K38" s="16"/>
      <c r="L38" s="16"/>
      <c r="M38" s="10"/>
      <c r="P38" s="46"/>
    </row>
    <row r="39" spans="1:16" ht="15" thickBot="1" x14ac:dyDescent="0.4">
      <c r="A39" s="45" t="s">
        <v>47</v>
      </c>
      <c r="C39" s="99"/>
      <c r="D39" s="241"/>
      <c r="E39" s="30"/>
      <c r="F39" s="30"/>
      <c r="G39" s="30"/>
      <c r="H39" s="27"/>
      <c r="I39" s="30"/>
      <c r="J39" s="10"/>
      <c r="K39" s="16"/>
      <c r="L39" s="16"/>
      <c r="M39" s="10"/>
      <c r="P39" s="46"/>
    </row>
    <row r="40" spans="1:16" x14ac:dyDescent="0.35">
      <c r="A40" s="45" t="s">
        <v>22</v>
      </c>
      <c r="B40" s="287">
        <v>20000.699999999997</v>
      </c>
      <c r="C40" s="40">
        <f t="shared" ref="C40:M43" si="8">B40+C34+B47</f>
        <v>29671.42</v>
      </c>
      <c r="D40" s="40">
        <f t="shared" si="8"/>
        <v>29671.42</v>
      </c>
      <c r="E40" s="40">
        <f t="shared" si="8"/>
        <v>27621.23</v>
      </c>
      <c r="F40" s="40">
        <f t="shared" si="8"/>
        <v>24623.39</v>
      </c>
      <c r="G40" s="103">
        <f t="shared" si="8"/>
        <v>52256.62</v>
      </c>
      <c r="H40" s="39">
        <f t="shared" si="8"/>
        <v>-499656.11</v>
      </c>
      <c r="I40" s="40">
        <f t="shared" si="8"/>
        <v>-884137.67999999993</v>
      </c>
      <c r="J40" s="60">
        <f t="shared" si="8"/>
        <v>-1054943.97</v>
      </c>
      <c r="K40" s="114">
        <f t="shared" si="8"/>
        <v>-1032325.0599999999</v>
      </c>
      <c r="L40" s="40">
        <f t="shared" si="8"/>
        <v>-912438.24999999988</v>
      </c>
      <c r="M40" s="48">
        <f t="shared" si="8"/>
        <v>-1508182.34</v>
      </c>
      <c r="P40" s="46"/>
    </row>
    <row r="41" spans="1:16" x14ac:dyDescent="0.35">
      <c r="A41" s="45" t="s">
        <v>94</v>
      </c>
      <c r="B41" s="290">
        <v>2111.6099999999988</v>
      </c>
      <c r="C41" s="40">
        <f>B41+C35+B48</f>
        <v>5363.8099999999995</v>
      </c>
      <c r="D41" s="40">
        <f t="shared" si="8"/>
        <v>5363.8099999999995</v>
      </c>
      <c r="E41" s="40">
        <f t="shared" si="8"/>
        <v>4369.07</v>
      </c>
      <c r="F41" s="40">
        <f t="shared" si="8"/>
        <v>3198.3199999999997</v>
      </c>
      <c r="G41" s="103">
        <f t="shared" si="8"/>
        <v>21538.67</v>
      </c>
      <c r="H41" s="39">
        <f t="shared" si="8"/>
        <v>-109558.64</v>
      </c>
      <c r="I41" s="40">
        <f t="shared" si="8"/>
        <v>-189562.55999999997</v>
      </c>
      <c r="J41" s="60">
        <f t="shared" si="8"/>
        <v>-156159.24</v>
      </c>
      <c r="K41" s="114">
        <f t="shared" si="8"/>
        <v>-211390.50999999998</v>
      </c>
      <c r="L41" s="40">
        <f t="shared" si="8"/>
        <v>-78501.76999999999</v>
      </c>
      <c r="M41" s="48">
        <f t="shared" si="8"/>
        <v>-198129.49</v>
      </c>
      <c r="P41" s="46"/>
    </row>
    <row r="42" spans="1:16" x14ac:dyDescent="0.35">
      <c r="A42" s="45" t="s">
        <v>95</v>
      </c>
      <c r="B42" s="290">
        <v>5970.4499999999989</v>
      </c>
      <c r="C42" s="40">
        <f>B42+C36+B49</f>
        <v>8729.1999999999989</v>
      </c>
      <c r="D42" s="40">
        <f t="shared" si="8"/>
        <v>8729.1999999999989</v>
      </c>
      <c r="E42" s="40">
        <f t="shared" si="8"/>
        <v>7882.5899999999992</v>
      </c>
      <c r="F42" s="40">
        <f t="shared" si="8"/>
        <v>6985.8899999999994</v>
      </c>
      <c r="G42" s="103">
        <f t="shared" si="8"/>
        <v>45067.359999999993</v>
      </c>
      <c r="H42" s="39">
        <f t="shared" si="8"/>
        <v>-174766.40000000002</v>
      </c>
      <c r="I42" s="40">
        <f t="shared" si="8"/>
        <v>-338776.43</v>
      </c>
      <c r="J42" s="60">
        <f t="shared" si="8"/>
        <v>-529341.35</v>
      </c>
      <c r="K42" s="114">
        <f t="shared" si="8"/>
        <v>-661493.38</v>
      </c>
      <c r="L42" s="40">
        <f t="shared" si="8"/>
        <v>-355531.43</v>
      </c>
      <c r="M42" s="48">
        <f t="shared" si="8"/>
        <v>-590272.85</v>
      </c>
      <c r="P42" s="46"/>
    </row>
    <row r="43" spans="1:16" ht="15" thickBot="1" x14ac:dyDescent="0.4">
      <c r="A43" s="45" t="s">
        <v>96</v>
      </c>
      <c r="B43" s="288">
        <v>6318.880000000001</v>
      </c>
      <c r="C43" s="40">
        <f t="shared" ref="C43:M43" si="9">B43+C37+B50</f>
        <v>9964.51</v>
      </c>
      <c r="D43" s="40">
        <f t="shared" si="8"/>
        <v>9964.51</v>
      </c>
      <c r="E43" s="40">
        <f t="shared" si="8"/>
        <v>8683.23</v>
      </c>
      <c r="F43" s="40">
        <f t="shared" si="9"/>
        <v>7384.11</v>
      </c>
      <c r="G43" s="103">
        <f t="shared" si="9"/>
        <v>50946.109999999993</v>
      </c>
      <c r="H43" s="39">
        <f t="shared" si="9"/>
        <v>-215459.87999999998</v>
      </c>
      <c r="I43" s="40">
        <f t="shared" si="9"/>
        <v>-456087.69000000006</v>
      </c>
      <c r="J43" s="60">
        <f t="shared" si="9"/>
        <v>-711144.58000000007</v>
      </c>
      <c r="K43" s="114">
        <f t="shared" si="9"/>
        <v>-887386.12000000011</v>
      </c>
      <c r="L43" s="40">
        <f t="shared" si="9"/>
        <v>-534398.63000000012</v>
      </c>
      <c r="M43" s="48">
        <f t="shared" si="9"/>
        <v>-822066.33000000019</v>
      </c>
      <c r="P43" s="46"/>
    </row>
    <row r="44" spans="1:16" x14ac:dyDescent="0.35">
      <c r="C44" s="96"/>
      <c r="D44" s="138"/>
      <c r="E44" s="30"/>
      <c r="F44" s="30"/>
      <c r="G44" s="30"/>
      <c r="H44" s="27"/>
      <c r="I44" s="30"/>
      <c r="J44" s="10"/>
      <c r="K44" s="16"/>
      <c r="L44" s="16"/>
      <c r="M44" s="10"/>
      <c r="P44" s="46"/>
    </row>
    <row r="45" spans="1:16" x14ac:dyDescent="0.35">
      <c r="A45" s="38" t="s">
        <v>43</v>
      </c>
      <c r="B45" s="38"/>
      <c r="C45" s="99"/>
      <c r="D45" s="241"/>
      <c r="E45" s="320">
        <v>0</v>
      </c>
      <c r="F45" s="320">
        <v>0</v>
      </c>
      <c r="G45" s="292">
        <f>+'PCR Cycle 3'!G45</f>
        <v>4.6108499999999997E-3</v>
      </c>
      <c r="H45" s="293">
        <f>+'PCR Cycle 3'!H45</f>
        <v>4.6177400000000004E-3</v>
      </c>
      <c r="I45" s="292">
        <f>+'PCR Cycle 3'!I45</f>
        <v>4.62145E-3</v>
      </c>
      <c r="J45" s="294">
        <f>+'PCR Cycle 3'!J45</f>
        <v>4.6276800000000003E-3</v>
      </c>
      <c r="K45" s="516">
        <f>J45</f>
        <v>4.6276800000000003E-3</v>
      </c>
      <c r="L45" s="516">
        <f>J45</f>
        <v>4.6276800000000003E-3</v>
      </c>
      <c r="M45" s="89"/>
      <c r="P45" s="46"/>
    </row>
    <row r="46" spans="1:16" x14ac:dyDescent="0.35">
      <c r="A46" s="38" t="s">
        <v>31</v>
      </c>
      <c r="B46" s="38"/>
      <c r="C46" s="96"/>
      <c r="D46" s="138"/>
      <c r="E46" s="30"/>
      <c r="F46" s="30"/>
      <c r="G46" s="30"/>
      <c r="H46" s="27"/>
      <c r="I46" s="30"/>
      <c r="J46" s="10"/>
      <c r="K46" s="16"/>
      <c r="L46" s="16"/>
      <c r="M46" s="10"/>
      <c r="N46" s="70"/>
      <c r="P46" s="46"/>
    </row>
    <row r="47" spans="1:16" x14ac:dyDescent="0.35">
      <c r="A47" s="45" t="s">
        <v>22</v>
      </c>
      <c r="C47" s="503">
        <v>0</v>
      </c>
      <c r="D47" s="114"/>
      <c r="E47" s="40">
        <f>ROUND((C40+C47+D47+E34/2)*E$45,2)</f>
        <v>0</v>
      </c>
      <c r="F47" s="40">
        <f t="shared" ref="F47:L50" si="10">ROUND((E40+E47+F34/2)*F$45,2)</f>
        <v>0</v>
      </c>
      <c r="G47" s="103">
        <f t="shared" si="10"/>
        <v>177.24</v>
      </c>
      <c r="H47" s="39">
        <f>ROUND((G40+G47+H34/2)*H$45,2)</f>
        <v>-1032.58</v>
      </c>
      <c r="I47" s="114">
        <f t="shared" si="10"/>
        <v>-3199.95</v>
      </c>
      <c r="J47" s="60">
        <f t="shared" si="10"/>
        <v>-4494.13</v>
      </c>
      <c r="K47" s="114">
        <f t="shared" si="10"/>
        <v>-4840.01</v>
      </c>
      <c r="L47" s="114">
        <f t="shared" si="10"/>
        <v>-4511.07</v>
      </c>
      <c r="M47" s="48"/>
      <c r="P47" s="46">
        <f>-SUM(K47:M47)</f>
        <v>9351.08</v>
      </c>
    </row>
    <row r="48" spans="1:16" x14ac:dyDescent="0.35">
      <c r="A48" s="45" t="s">
        <v>94</v>
      </c>
      <c r="C48" s="512">
        <v>0</v>
      </c>
      <c r="D48" s="242"/>
      <c r="E48" s="40">
        <f t="shared" ref="E48:E50" si="11">ROUND((C41+C48+D48+E35/2)*E$45,2)</f>
        <v>0</v>
      </c>
      <c r="F48" s="40">
        <f t="shared" si="10"/>
        <v>0</v>
      </c>
      <c r="G48" s="103">
        <f t="shared" si="10"/>
        <v>57.03</v>
      </c>
      <c r="H48" s="39">
        <f>ROUND((G41+G48+H35/2)*H$45,2)</f>
        <v>-203.09</v>
      </c>
      <c r="I48" s="114">
        <f t="shared" si="10"/>
        <v>-691.66</v>
      </c>
      <c r="J48" s="60">
        <f t="shared" si="10"/>
        <v>-801.55</v>
      </c>
      <c r="K48" s="114">
        <f t="shared" si="10"/>
        <v>-852.31</v>
      </c>
      <c r="L48" s="114">
        <f t="shared" si="10"/>
        <v>-672.74</v>
      </c>
      <c r="M48" s="48"/>
      <c r="P48" s="46">
        <f t="shared" ref="P48:P50" si="12">-SUM(K48:M48)</f>
        <v>1525.05</v>
      </c>
    </row>
    <row r="49" spans="1:18" x14ac:dyDescent="0.35">
      <c r="A49" s="45" t="s">
        <v>95</v>
      </c>
      <c r="C49" s="512">
        <v>0</v>
      </c>
      <c r="D49" s="242"/>
      <c r="E49" s="40">
        <f t="shared" si="11"/>
        <v>0</v>
      </c>
      <c r="F49" s="40">
        <f t="shared" si="10"/>
        <v>0</v>
      </c>
      <c r="G49" s="103">
        <f t="shared" si="10"/>
        <v>120</v>
      </c>
      <c r="H49" s="39">
        <f>ROUND((G42+G49+H36/2)*H$45,2)</f>
        <v>-299.18</v>
      </c>
      <c r="I49" s="114">
        <f t="shared" si="10"/>
        <v>-1187.3499999999999</v>
      </c>
      <c r="J49" s="60">
        <f t="shared" si="10"/>
        <v>-2011.43</v>
      </c>
      <c r="K49" s="114">
        <f t="shared" si="10"/>
        <v>-2760.06</v>
      </c>
      <c r="L49" s="114">
        <f t="shared" si="10"/>
        <v>-2359.62</v>
      </c>
      <c r="M49" s="48"/>
      <c r="P49" s="46">
        <f t="shared" si="12"/>
        <v>5119.68</v>
      </c>
    </row>
    <row r="50" spans="1:18" ht="15" thickBot="1" x14ac:dyDescent="0.4">
      <c r="A50" s="45" t="s">
        <v>96</v>
      </c>
      <c r="C50" s="513">
        <v>0</v>
      </c>
      <c r="D50" s="242"/>
      <c r="E50" s="40">
        <f t="shared" si="11"/>
        <v>0</v>
      </c>
      <c r="F50" s="40">
        <f t="shared" si="10"/>
        <v>0</v>
      </c>
      <c r="G50" s="103">
        <f t="shared" si="10"/>
        <v>134.47999999999999</v>
      </c>
      <c r="H50" s="39">
        <f>ROUND((G43+G50+H37/2)*H$45,2)</f>
        <v>-379.53</v>
      </c>
      <c r="I50" s="114">
        <f t="shared" si="10"/>
        <v>-1552.64</v>
      </c>
      <c r="J50" s="60">
        <f t="shared" si="10"/>
        <v>-2704.38</v>
      </c>
      <c r="K50" s="114">
        <f t="shared" si="10"/>
        <v>-3705</v>
      </c>
      <c r="L50" s="114">
        <f t="shared" si="10"/>
        <v>-3298.36</v>
      </c>
      <c r="M50" s="48"/>
      <c r="P50" s="46">
        <f t="shared" si="12"/>
        <v>7003.3600000000006</v>
      </c>
    </row>
    <row r="51" spans="1:18" ht="15.5" thickTop="1" thickBot="1" x14ac:dyDescent="0.4">
      <c r="A51" s="53" t="s">
        <v>20</v>
      </c>
      <c r="B51" s="53"/>
      <c r="C51" s="109">
        <v>0</v>
      </c>
      <c r="D51" s="243"/>
      <c r="E51" s="31">
        <f t="shared" ref="E51:M51" si="13">SUM(E47:E50)+SUM(E40:E43)-E54</f>
        <v>0</v>
      </c>
      <c r="F51" s="31">
        <f t="shared" si="13"/>
        <v>0</v>
      </c>
      <c r="G51" s="49">
        <f t="shared" si="13"/>
        <v>0</v>
      </c>
      <c r="H51" s="115">
        <f t="shared" si="13"/>
        <v>0</v>
      </c>
      <c r="I51" s="31">
        <f t="shared" si="13"/>
        <v>0</v>
      </c>
      <c r="J51" s="61">
        <f t="shared" si="13"/>
        <v>0</v>
      </c>
      <c r="K51" s="150">
        <f t="shared" si="13"/>
        <v>0</v>
      </c>
      <c r="L51" s="31">
        <f t="shared" si="13"/>
        <v>0</v>
      </c>
      <c r="M51" s="93">
        <f t="shared" si="13"/>
        <v>0</v>
      </c>
      <c r="P51" s="46"/>
    </row>
    <row r="52" spans="1:18" ht="15.5" thickTop="1" thickBot="1" x14ac:dyDescent="0.4">
      <c r="A52" s="53" t="s">
        <v>21</v>
      </c>
      <c r="B52" s="53"/>
      <c r="C52" s="102">
        <v>0</v>
      </c>
      <c r="D52" s="244"/>
      <c r="E52" s="31">
        <f>SUM(E47:E50)-E31</f>
        <v>0</v>
      </c>
      <c r="F52" s="31">
        <f t="shared" ref="F52:M52" si="14">SUM(F47:F50)-F31</f>
        <v>0</v>
      </c>
      <c r="G52" s="49">
        <f t="shared" si="14"/>
        <v>0</v>
      </c>
      <c r="H52" s="50">
        <f t="shared" si="14"/>
        <v>0</v>
      </c>
      <c r="I52" s="31">
        <f t="shared" si="14"/>
        <v>0</v>
      </c>
      <c r="J52" s="61">
        <f t="shared" si="14"/>
        <v>0</v>
      </c>
      <c r="K52" s="150">
        <f t="shared" si="14"/>
        <v>0</v>
      </c>
      <c r="L52" s="31">
        <f t="shared" si="14"/>
        <v>0</v>
      </c>
      <c r="M52" s="93">
        <f t="shared" si="14"/>
        <v>0</v>
      </c>
      <c r="P52" s="46"/>
    </row>
    <row r="53" spans="1:18" ht="15.5" thickTop="1" thickBot="1" x14ac:dyDescent="0.4">
      <c r="C53" s="96"/>
      <c r="D53" s="138"/>
      <c r="E53" s="16"/>
      <c r="F53" s="16"/>
      <c r="G53" s="16"/>
      <c r="H53" s="9"/>
      <c r="I53" s="16"/>
      <c r="J53" s="10"/>
      <c r="K53" s="16"/>
      <c r="L53" s="16"/>
      <c r="M53" s="10"/>
      <c r="P53" s="46"/>
      <c r="Q53" s="515"/>
      <c r="R53" s="515"/>
    </row>
    <row r="54" spans="1:18" ht="15" thickBot="1" x14ac:dyDescent="0.4">
      <c r="A54" s="45" t="s">
        <v>30</v>
      </c>
      <c r="B54" s="111">
        <f>SUM(B40:B43)</f>
        <v>34401.64</v>
      </c>
      <c r="C54" s="39">
        <f>(SUM(C14:C17)-SUM(C26:C29))+SUM(C47:C50)+B54</f>
        <v>53728.94</v>
      </c>
      <c r="D54" s="114"/>
      <c r="E54" s="40">
        <f>(SUM(E14:E17)-SUM(E26:E29))+SUM(E47:E50)+C54</f>
        <v>48556.12</v>
      </c>
      <c r="F54" s="40">
        <f t="shared" ref="F54:M54" si="15">(SUM(F14:F17)-SUM(F26:F29))+SUM(F47:F50)+E54</f>
        <v>42191.710000000006</v>
      </c>
      <c r="G54" s="103">
        <f t="shared" si="15"/>
        <v>170297.51</v>
      </c>
      <c r="H54" s="39">
        <f t="shared" si="15"/>
        <v>-1001355.4099999999</v>
      </c>
      <c r="I54" s="40">
        <f t="shared" si="15"/>
        <v>-1875195.96</v>
      </c>
      <c r="J54" s="60">
        <f t="shared" si="15"/>
        <v>-2461600.63</v>
      </c>
      <c r="K54" s="114">
        <f t="shared" si="15"/>
        <v>-2804752.4499999997</v>
      </c>
      <c r="L54" s="40">
        <f t="shared" si="15"/>
        <v>-1891711.8699999999</v>
      </c>
      <c r="M54" s="60">
        <f t="shared" si="15"/>
        <v>-3118651.01</v>
      </c>
      <c r="Q54" s="515"/>
      <c r="R54" s="515"/>
    </row>
    <row r="55" spans="1:18" x14ac:dyDescent="0.35">
      <c r="A55" s="45" t="s">
        <v>10</v>
      </c>
      <c r="C55" s="112"/>
      <c r="D55" s="16"/>
      <c r="E55" s="55"/>
      <c r="F55" s="55"/>
      <c r="G55" s="55"/>
      <c r="H55" s="11"/>
      <c r="I55" s="55"/>
      <c r="J55" s="10"/>
      <c r="K55" s="16"/>
      <c r="L55" s="16"/>
      <c r="M55" s="10"/>
      <c r="Q55" s="515"/>
      <c r="R55" s="515"/>
    </row>
    <row r="56" spans="1:18" ht="15" thickBot="1" x14ac:dyDescent="0.4">
      <c r="B56" s="16"/>
      <c r="C56" s="42"/>
      <c r="D56" s="43"/>
      <c r="E56" s="43"/>
      <c r="F56" s="43"/>
      <c r="G56" s="43"/>
      <c r="H56" s="42"/>
      <c r="I56" s="43"/>
      <c r="J56" s="44"/>
      <c r="K56" s="43"/>
      <c r="L56" s="43"/>
      <c r="M56" s="44"/>
      <c r="Q56" s="515"/>
      <c r="R56" s="515"/>
    </row>
    <row r="58" spans="1:18" x14ac:dyDescent="0.35">
      <c r="A58" s="68" t="s">
        <v>9</v>
      </c>
      <c r="B58" s="68"/>
      <c r="C58" s="68"/>
      <c r="D58" s="68"/>
    </row>
    <row r="59" spans="1:18" ht="67.5" customHeight="1" x14ac:dyDescent="0.35">
      <c r="A59" s="529" t="s">
        <v>279</v>
      </c>
      <c r="B59" s="538"/>
      <c r="C59" s="538"/>
      <c r="D59" s="538"/>
      <c r="E59" s="538"/>
      <c r="F59" s="538"/>
      <c r="G59" s="538"/>
      <c r="H59" s="538"/>
      <c r="I59" s="538"/>
      <c r="J59" s="538"/>
      <c r="K59" s="315"/>
      <c r="L59" s="315"/>
      <c r="M59" s="315"/>
    </row>
    <row r="60" spans="1:18" ht="33.75" customHeight="1" x14ac:dyDescent="0.35">
      <c r="A60" s="529" t="s">
        <v>277</v>
      </c>
      <c r="B60" s="538"/>
      <c r="C60" s="538"/>
      <c r="D60" s="538"/>
      <c r="E60" s="538"/>
      <c r="F60" s="538"/>
      <c r="G60" s="538"/>
      <c r="H60" s="538"/>
      <c r="I60" s="538"/>
      <c r="J60" s="538"/>
      <c r="K60" s="315"/>
      <c r="L60" s="315"/>
      <c r="M60" s="315"/>
    </row>
    <row r="61" spans="1:18" ht="55.9" customHeight="1" x14ac:dyDescent="0.35">
      <c r="A61" s="529" t="s">
        <v>259</v>
      </c>
      <c r="B61" s="539"/>
      <c r="C61" s="539"/>
      <c r="D61" s="539"/>
      <c r="E61" s="539"/>
      <c r="F61" s="539"/>
      <c r="G61" s="539"/>
      <c r="H61" s="539"/>
      <c r="I61" s="539"/>
      <c r="J61" s="539"/>
      <c r="K61" s="315"/>
      <c r="L61" s="315"/>
      <c r="M61" s="315"/>
    </row>
    <row r="62" spans="1:18" x14ac:dyDescent="0.35">
      <c r="A62" s="529" t="s">
        <v>219</v>
      </c>
      <c r="B62" s="529"/>
      <c r="C62" s="529"/>
      <c r="D62" s="529"/>
      <c r="E62" s="529"/>
      <c r="F62" s="529"/>
      <c r="G62" s="529"/>
      <c r="H62" s="529"/>
      <c r="I62" s="529"/>
      <c r="J62" s="529"/>
    </row>
    <row r="63" spans="1:18" x14ac:dyDescent="0.35">
      <c r="A63" s="412" t="s">
        <v>263</v>
      </c>
      <c r="B63" s="62"/>
      <c r="C63" s="324"/>
      <c r="D63" s="3"/>
      <c r="J63" s="4"/>
    </row>
    <row r="64" spans="1:18" x14ac:dyDescent="0.35">
      <c r="A64" s="412" t="s">
        <v>45</v>
      </c>
      <c r="B64" s="3"/>
      <c r="C64" s="3"/>
      <c r="D64" s="3"/>
      <c r="J64" s="4"/>
    </row>
    <row r="65" spans="1:14" x14ac:dyDescent="0.35">
      <c r="A65" s="3"/>
    </row>
    <row r="66" spans="1:14" ht="36" customHeight="1" x14ac:dyDescent="0.35">
      <c r="A66" s="528"/>
      <c r="B66" s="528"/>
      <c r="C66" s="528"/>
      <c r="D66" s="528"/>
      <c r="E66" s="528"/>
      <c r="F66" s="528"/>
      <c r="G66" s="528"/>
    </row>
    <row r="74" spans="1:14" x14ac:dyDescent="0.35">
      <c r="N74" s="7"/>
    </row>
  </sheetData>
  <mergeCells count="8">
    <mergeCell ref="A66:G66"/>
    <mergeCell ref="A62:J62"/>
    <mergeCell ref="E10:G10"/>
    <mergeCell ref="H10:J10"/>
    <mergeCell ref="K10:M10"/>
    <mergeCell ref="A59:J59"/>
    <mergeCell ref="A60:J60"/>
    <mergeCell ref="A61:J61"/>
  </mergeCells>
  <pageMargins left="0.2" right="0.2" top="0.75" bottom="0.25" header="0.3" footer="0.3"/>
  <pageSetup scale="54" orientation="landscape" r:id="rId1"/>
  <headerFooter>
    <oddHeader>&amp;C&amp;F &amp;A&amp;R&amp;"Arial"&amp;10&amp;K000000CONFIDENTIAL</oddHeader>
    <oddFooter xml:space="preserve">&amp;R_x000D_&amp;1#&amp;"Calibri"&amp;10&amp;KA80000 Restricted – Sensitive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3"/>
  <sheetViews>
    <sheetView workbookViewId="0">
      <selection activeCell="A2" sqref="A2"/>
    </sheetView>
  </sheetViews>
  <sheetFormatPr defaultColWidth="9.1796875" defaultRowHeight="14.5" x14ac:dyDescent="0.35"/>
  <cols>
    <col min="1" max="1" width="24.7265625" style="45" customWidth="1"/>
    <col min="2" max="2" width="16.1796875" style="45" customWidth="1"/>
    <col min="3" max="3" width="15.1796875" style="45" customWidth="1"/>
    <col min="4" max="4" width="16.54296875" style="45" customWidth="1"/>
    <col min="5" max="5" width="10.54296875" style="45" bestFit="1" customWidth="1"/>
    <col min="6" max="6" width="11.54296875" style="45" bestFit="1" customWidth="1"/>
    <col min="7" max="16384" width="9.1796875" style="45"/>
  </cols>
  <sheetData>
    <row r="1" spans="1:23" x14ac:dyDescent="0.35">
      <c r="A1" s="412" t="s">
        <v>299</v>
      </c>
    </row>
    <row r="2" spans="1:23" x14ac:dyDescent="0.35">
      <c r="A2" s="347" t="s">
        <v>234</v>
      </c>
    </row>
    <row r="3" spans="1:23" x14ac:dyDescent="0.35">
      <c r="A3" s="8"/>
    </row>
    <row r="4" spans="1:23" ht="40.5" customHeight="1" x14ac:dyDescent="0.35">
      <c r="B4" s="527" t="s">
        <v>98</v>
      </c>
      <c r="C4" s="527"/>
    </row>
    <row r="5" spans="1:23" ht="72.5" x14ac:dyDescent="0.35">
      <c r="B5" s="139" t="s">
        <v>57</v>
      </c>
      <c r="C5" s="47" t="s">
        <v>26</v>
      </c>
      <c r="D5" s="254" t="s">
        <v>271</v>
      </c>
    </row>
    <row r="6" spans="1:23" x14ac:dyDescent="0.35">
      <c r="A6" s="19" t="s">
        <v>22</v>
      </c>
      <c r="B6" s="22">
        <f>SUM('[16]Summary Monthly TD Calc'!$AH18:$AS18)</f>
        <v>7149767.0792000024</v>
      </c>
      <c r="C6" s="83">
        <f>SUM(D6:F6)</f>
        <v>249800.59000000003</v>
      </c>
      <c r="D6" s="201">
        <f>SUM('[16]Summary Monthly TD Calc'!$AH3:$AS3)</f>
        <v>249800.59000000003</v>
      </c>
      <c r="G6" s="38"/>
      <c r="H6" s="38"/>
    </row>
    <row r="7" spans="1:23" x14ac:dyDescent="0.35">
      <c r="A7" s="19" t="s">
        <v>94</v>
      </c>
      <c r="B7" s="22">
        <f>SUM('[16]Summary Monthly TD Calc'!$AH19:$AS19)</f>
        <v>9693413.7546200864</v>
      </c>
      <c r="C7" s="83">
        <f>SUM(D7:F7)</f>
        <v>417979.84</v>
      </c>
      <c r="D7" s="201">
        <f>SUM('[16]Summary Monthly TD Calc'!$AH4:$AS4)</f>
        <v>417979.84</v>
      </c>
      <c r="G7" s="38"/>
      <c r="H7" s="38"/>
    </row>
    <row r="8" spans="1:23" x14ac:dyDescent="0.35">
      <c r="A8" s="19" t="s">
        <v>95</v>
      </c>
      <c r="B8" s="22">
        <f>SUM('[16]Summary Monthly TD Calc'!$AH21:$AS21)</f>
        <v>8323398.1120160017</v>
      </c>
      <c r="C8" s="83">
        <f>SUM(D8:F8)</f>
        <v>253007.27000000002</v>
      </c>
      <c r="D8" s="201">
        <f>SUM('[16]Summary Monthly TD Calc'!$AH6:$AS6)</f>
        <v>253007.27000000002</v>
      </c>
      <c r="G8" s="38"/>
      <c r="H8" s="38"/>
    </row>
    <row r="9" spans="1:23" x14ac:dyDescent="0.35">
      <c r="A9" s="19" t="s">
        <v>96</v>
      </c>
      <c r="B9" s="22">
        <f>SUM('[16]Summary Monthly TD Calc'!$AH22:$AS22)</f>
        <v>5268559.666663941</v>
      </c>
      <c r="C9" s="83">
        <f>SUM(D9:F9)</f>
        <v>60917.34</v>
      </c>
      <c r="D9" s="201">
        <f>SUM('[16]Summary Monthly TD Calc'!$AH7:$AS7)</f>
        <v>60917.34</v>
      </c>
      <c r="G9" s="38"/>
      <c r="H9" s="38"/>
    </row>
    <row r="10" spans="1:23" x14ac:dyDescent="0.35">
      <c r="A10" s="29" t="s">
        <v>3</v>
      </c>
      <c r="B10" s="23">
        <f>SUM(B6:B9)</f>
        <v>30435138.612500031</v>
      </c>
      <c r="C10" s="23">
        <f>SUM(C6:C9)</f>
        <v>981705.04</v>
      </c>
      <c r="D10" s="23">
        <f t="shared" ref="D10" si="0">SUM(D6:D9)</f>
        <v>981705.04</v>
      </c>
      <c r="Q10" s="303"/>
    </row>
    <row r="12" spans="1:23" x14ac:dyDescent="0.35">
      <c r="A12" s="68" t="s">
        <v>27</v>
      </c>
      <c r="B12" s="19"/>
      <c r="C12" s="20"/>
      <c r="N12" s="1"/>
      <c r="O12" s="1"/>
      <c r="P12" s="1"/>
      <c r="Q12" s="1"/>
      <c r="R12" s="1"/>
      <c r="S12" s="1"/>
      <c r="T12" s="1"/>
      <c r="U12" s="1"/>
      <c r="V12" s="1"/>
      <c r="W12" s="1"/>
    </row>
    <row r="13" spans="1:23" ht="45.65" customHeight="1" x14ac:dyDescent="0.35">
      <c r="A13" s="526" t="s">
        <v>272</v>
      </c>
      <c r="B13" s="526"/>
      <c r="C13" s="526"/>
      <c r="D13" s="526"/>
      <c r="E13" s="526"/>
      <c r="F13" s="3"/>
      <c r="G13" s="3"/>
      <c r="H13" s="3"/>
      <c r="I13" s="3"/>
      <c r="J13" s="3"/>
      <c r="K13" s="3"/>
      <c r="L13" s="3"/>
      <c r="M13" s="3"/>
    </row>
    <row r="14" spans="1:23" x14ac:dyDescent="0.35">
      <c r="A14" s="540" t="s">
        <v>230</v>
      </c>
      <c r="B14" s="540"/>
      <c r="C14" s="540"/>
      <c r="D14" s="540"/>
      <c r="E14" s="540"/>
      <c r="F14" s="3"/>
      <c r="G14" s="3"/>
      <c r="H14" s="3"/>
      <c r="I14" s="3"/>
      <c r="J14" s="3"/>
      <c r="K14" s="3"/>
      <c r="L14" s="3"/>
      <c r="M14" s="3"/>
    </row>
    <row r="15" spans="1:23" ht="31.15" customHeight="1" x14ac:dyDescent="0.35">
      <c r="A15" s="526" t="s">
        <v>273</v>
      </c>
      <c r="B15" s="526"/>
      <c r="C15" s="526"/>
      <c r="D15" s="526"/>
      <c r="E15" s="526"/>
      <c r="F15" s="3"/>
      <c r="G15" s="3"/>
      <c r="H15" s="3"/>
      <c r="I15" s="3"/>
      <c r="J15" s="3"/>
      <c r="K15" s="3"/>
      <c r="L15" s="3"/>
      <c r="M15" s="3"/>
    </row>
    <row r="24" spans="2:5" x14ac:dyDescent="0.35">
      <c r="E24" s="233"/>
    </row>
    <row r="29" spans="2:5" x14ac:dyDescent="0.35">
      <c r="B29" s="7"/>
      <c r="C29" s="7"/>
    </row>
    <row r="33" spans="2:3" x14ac:dyDescent="0.35">
      <c r="B33" s="7"/>
      <c r="C33" s="7"/>
    </row>
  </sheetData>
  <mergeCells count="4">
    <mergeCell ref="B4:C4"/>
    <mergeCell ref="A13:E13"/>
    <mergeCell ref="A14:E14"/>
    <mergeCell ref="A15:E15"/>
  </mergeCells>
  <pageMargins left="0.2" right="0.2" top="0.75" bottom="0.25" header="0.3" footer="0.3"/>
  <pageSetup scale="96" orientation="landscape" r:id="rId1"/>
  <headerFooter>
    <oddHeader>&amp;C&amp;F &amp;A&amp;R&amp;"Arial"&amp;10&amp;K000000CONFIDENTIAL</oddHeader>
    <oddFooter xml:space="preserve">&amp;R_x000D_&amp;1#&amp;"Calibri"&amp;10&amp;KA80000 Restricted – Sensitive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4367-4215-4A06-9ED3-BA417E26FB31}">
  <sheetPr>
    <pageSetUpPr fitToPage="1"/>
  </sheetPr>
  <dimension ref="A1:W33"/>
  <sheetViews>
    <sheetView workbookViewId="0"/>
  </sheetViews>
  <sheetFormatPr defaultColWidth="9.1796875" defaultRowHeight="14.5" x14ac:dyDescent="0.35"/>
  <cols>
    <col min="1" max="1" width="24.7265625" style="45" customWidth="1"/>
    <col min="2" max="2" width="16.1796875" style="45" customWidth="1"/>
    <col min="3" max="3" width="15.1796875" style="45" customWidth="1"/>
    <col min="4" max="4" width="14.26953125" style="45" customWidth="1"/>
    <col min="5" max="5" width="10.54296875" style="45" bestFit="1" customWidth="1"/>
    <col min="6" max="6" width="11.54296875" style="45" bestFit="1" customWidth="1"/>
    <col min="7" max="16384" width="9.1796875" style="45"/>
  </cols>
  <sheetData>
    <row r="1" spans="1:23" x14ac:dyDescent="0.35">
      <c r="A1" s="3" t="str">
        <f>+'PTD Cycle 3'!A1</f>
        <v>Evergy Missouri West, Inc. - DSIM Rider Update Filed 06/02/2025</v>
      </c>
    </row>
    <row r="2" spans="1:23" x14ac:dyDescent="0.35">
      <c r="A2" s="347" t="str">
        <f>+'PPC Cycle 4'!A2</f>
        <v>Projections for Cycle 4 July 2025 - June 2026 DSIM</v>
      </c>
    </row>
    <row r="3" spans="1:23" x14ac:dyDescent="0.35">
      <c r="A3" s="8"/>
    </row>
    <row r="4" spans="1:23" ht="40.5" customHeight="1" x14ac:dyDescent="0.35">
      <c r="B4" s="527" t="s">
        <v>231</v>
      </c>
      <c r="C4" s="527"/>
    </row>
    <row r="5" spans="1:23" ht="44.5" customHeight="1" x14ac:dyDescent="0.35">
      <c r="B5" s="139" t="s">
        <v>57</v>
      </c>
      <c r="C5" s="47" t="s">
        <v>26</v>
      </c>
      <c r="D5" s="353" t="str">
        <f>+'PPC Cycle 4'!D4</f>
        <v>3. Cycle 4 - July 2025 - June 2026</v>
      </c>
    </row>
    <row r="6" spans="1:23" x14ac:dyDescent="0.35">
      <c r="A6" s="19" t="s">
        <v>22</v>
      </c>
      <c r="B6" s="22">
        <f>ROUND(SUM('[17]Summary Monthly TD Calc'!$H17:$S17),4)</f>
        <v>1741218.3060999999</v>
      </c>
      <c r="C6" s="83">
        <f>SUM(D6:F6)</f>
        <v>142684.23000000001</v>
      </c>
      <c r="D6" s="201">
        <f>ROUND(+SUM('[17]Summary Monthly TD Calc'!$H3:$S3),2)</f>
        <v>142684.23000000001</v>
      </c>
      <c r="G6" s="38"/>
      <c r="H6" s="38"/>
    </row>
    <row r="7" spans="1:23" x14ac:dyDescent="0.35">
      <c r="A7" s="19" t="s">
        <v>94</v>
      </c>
      <c r="B7" s="22">
        <f>ROUND(SUM('[17]Summary Monthly TD Calc'!$H18:$S18),4)</f>
        <v>1519891.7341</v>
      </c>
      <c r="C7" s="83">
        <f>SUM(D7:F7)</f>
        <v>65974.52</v>
      </c>
      <c r="D7" s="201">
        <f>ROUND(+SUM('[17]Summary Monthly TD Calc'!$H4:$S4),2)</f>
        <v>65974.52</v>
      </c>
      <c r="G7" s="38"/>
      <c r="H7" s="38"/>
    </row>
    <row r="8" spans="1:23" x14ac:dyDescent="0.35">
      <c r="A8" s="19" t="s">
        <v>95</v>
      </c>
      <c r="B8" s="22">
        <f>ROUND(SUM('[17]Summary Monthly TD Calc'!$H19:$S19),4)</f>
        <v>1264040.9295999999</v>
      </c>
      <c r="C8" s="83">
        <f>SUM(D8:F8)</f>
        <v>37786.25</v>
      </c>
      <c r="D8" s="201">
        <f>ROUND(+SUM('[17]Summary Monthly TD Calc'!$H5:$S5),2)</f>
        <v>37786.25</v>
      </c>
      <c r="G8" s="38"/>
      <c r="H8" s="38"/>
    </row>
    <row r="9" spans="1:23" x14ac:dyDescent="0.35">
      <c r="A9" s="19" t="s">
        <v>96</v>
      </c>
      <c r="B9" s="22">
        <f>ROUND(SUM('[17]Summary Monthly TD Calc'!$H20:$S20),4)</f>
        <v>765007.78040000005</v>
      </c>
      <c r="C9" s="83">
        <f>SUM(D9:F9)</f>
        <v>8465.0499999999993</v>
      </c>
      <c r="D9" s="201">
        <f>ROUND(+SUM('[17]Summary Monthly TD Calc'!$H6:$S6),2)</f>
        <v>8465.0499999999993</v>
      </c>
      <c r="G9" s="38"/>
      <c r="H9" s="38"/>
    </row>
    <row r="10" spans="1:23" x14ac:dyDescent="0.35">
      <c r="A10" s="29" t="s">
        <v>3</v>
      </c>
      <c r="B10" s="23">
        <f>SUM(B6:B9)</f>
        <v>5290158.7501999997</v>
      </c>
      <c r="C10" s="23">
        <f>SUM(C6:C9)</f>
        <v>254910.05</v>
      </c>
      <c r="D10" s="23">
        <f t="shared" ref="D10" si="0">SUM(D6:D9)</f>
        <v>254910.05</v>
      </c>
      <c r="Q10" s="303"/>
    </row>
    <row r="12" spans="1:23" x14ac:dyDescent="0.35">
      <c r="A12" s="68" t="s">
        <v>27</v>
      </c>
      <c r="B12" s="19"/>
      <c r="C12" s="20"/>
      <c r="N12" s="1"/>
      <c r="O12" s="1"/>
      <c r="P12" s="1"/>
      <c r="Q12" s="1"/>
      <c r="R12" s="1"/>
      <c r="S12" s="1"/>
      <c r="T12" s="1"/>
      <c r="U12" s="1"/>
      <c r="V12" s="1"/>
      <c r="W12" s="1"/>
    </row>
    <row r="13" spans="1:23" ht="45.65" customHeight="1" x14ac:dyDescent="0.35">
      <c r="A13" s="526" t="s">
        <v>280</v>
      </c>
      <c r="B13" s="526"/>
      <c r="C13" s="526"/>
      <c r="D13" s="526"/>
      <c r="E13" s="526"/>
      <c r="F13" s="3"/>
      <c r="G13" s="3"/>
      <c r="H13" s="3"/>
      <c r="I13" s="3"/>
      <c r="J13" s="3"/>
      <c r="K13" s="3"/>
      <c r="L13" s="3"/>
      <c r="M13" s="3"/>
    </row>
    <row r="14" spans="1:23" x14ac:dyDescent="0.35">
      <c r="A14" s="540" t="s">
        <v>230</v>
      </c>
      <c r="B14" s="540"/>
      <c r="C14" s="540"/>
      <c r="D14" s="540"/>
      <c r="E14" s="540"/>
      <c r="F14" s="3"/>
      <c r="G14" s="3"/>
      <c r="H14" s="3"/>
      <c r="I14" s="3"/>
      <c r="J14" s="3"/>
      <c r="K14" s="3"/>
      <c r="L14" s="3"/>
      <c r="M14" s="3"/>
    </row>
    <row r="15" spans="1:23" ht="31.15" customHeight="1" x14ac:dyDescent="0.35">
      <c r="A15" s="526" t="s">
        <v>281</v>
      </c>
      <c r="B15" s="526"/>
      <c r="C15" s="526"/>
      <c r="D15" s="526"/>
      <c r="E15" s="526"/>
      <c r="F15" s="3"/>
      <c r="G15" s="3"/>
      <c r="H15" s="3"/>
      <c r="I15" s="3"/>
      <c r="J15" s="3"/>
      <c r="K15" s="3"/>
      <c r="L15" s="3"/>
      <c r="M15" s="3"/>
    </row>
    <row r="24" spans="2:5" x14ac:dyDescent="0.35">
      <c r="E24" s="233"/>
    </row>
    <row r="29" spans="2:5" x14ac:dyDescent="0.35">
      <c r="B29" s="7"/>
      <c r="C29" s="7"/>
    </row>
    <row r="33" spans="2:3" x14ac:dyDescent="0.35">
      <c r="B33" s="7"/>
      <c r="C33" s="7"/>
    </row>
  </sheetData>
  <mergeCells count="4">
    <mergeCell ref="B4:C4"/>
    <mergeCell ref="A13:E13"/>
    <mergeCell ref="A14:E14"/>
    <mergeCell ref="A15:E15"/>
  </mergeCells>
  <pageMargins left="0.2" right="0.2" top="0.75" bottom="0.25" header="0.3" footer="0.3"/>
  <pageSetup scale="96" orientation="landscape" r:id="rId1"/>
  <headerFooter>
    <oddHeader>&amp;C&amp;F &amp;A&amp;R&amp;"Arial"&amp;10&amp;K000000CONFIDENTIAL</oddHeader>
    <oddFooter xml:space="preserve">&amp;R_x000D_&amp;1#&amp;"Calibri"&amp;10&amp;KA80000 Restricted – Sensitive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63"/>
  <sheetViews>
    <sheetView zoomScale="85" zoomScaleNormal="85" workbookViewId="0">
      <pane xSplit="2" ySplit="13" topLeftCell="C14" activePane="bottomRight" state="frozen"/>
      <selection activeCell="E77" sqref="E77"/>
      <selection pane="topRight" activeCell="E77" sqref="E77"/>
      <selection pane="bottomLeft" activeCell="E77" sqref="E77"/>
      <selection pane="bottomRight" activeCell="C14" sqref="C14"/>
    </sheetView>
  </sheetViews>
  <sheetFormatPr defaultColWidth="9.1796875" defaultRowHeight="14.5" outlineLevelCol="1" x14ac:dyDescent="0.35"/>
  <cols>
    <col min="1" max="1" width="61.7265625" style="45" customWidth="1"/>
    <col min="2" max="2" width="12.1796875" style="45" customWidth="1"/>
    <col min="3" max="3" width="12.453125" style="45" customWidth="1"/>
    <col min="4" max="4" width="12.453125" style="45" customWidth="1" outlineLevel="1"/>
    <col min="5" max="5" width="15.453125" style="45" customWidth="1"/>
    <col min="6" max="6" width="15.81640625" style="45" customWidth="1"/>
    <col min="7" max="7" width="12.26953125" style="45" customWidth="1"/>
    <col min="8" max="9" width="13.26953125" style="45" customWidth="1"/>
    <col min="10" max="10" width="12.26953125" style="45" bestFit="1" customWidth="1"/>
    <col min="11" max="11" width="11.54296875" style="45" bestFit="1" customWidth="1"/>
    <col min="12" max="12" width="12.81640625" style="45" customWidth="1"/>
    <col min="13" max="13" width="16" style="45" customWidth="1"/>
    <col min="14" max="14" width="15" style="45" bestFit="1" customWidth="1"/>
    <col min="15" max="15" width="16" style="45" bestFit="1" customWidth="1"/>
    <col min="16" max="16" width="17.81640625" style="167" hidden="1" customWidth="1" outlineLevel="1"/>
    <col min="17" max="17" width="15.26953125" style="45" bestFit="1" customWidth="1" collapsed="1"/>
    <col min="18" max="18" width="17.453125" style="45" bestFit="1" customWidth="1"/>
    <col min="19" max="19" width="16.26953125" style="45" bestFit="1" customWidth="1"/>
    <col min="20" max="20" width="15.26953125" style="45" bestFit="1" customWidth="1"/>
    <col min="21" max="21" width="12.453125" style="45" customWidth="1"/>
    <col min="22" max="23" width="14.26953125" style="45" bestFit="1" customWidth="1"/>
    <col min="24" max="16384" width="9.1796875" style="45"/>
  </cols>
  <sheetData>
    <row r="1" spans="1:36" x14ac:dyDescent="0.35">
      <c r="A1" s="3" t="str">
        <f>+'PTD Cycle 3'!A1</f>
        <v>Evergy Missouri West, Inc. - DSIM Rider Update Filed 06/02/2025</v>
      </c>
      <c r="B1" s="3"/>
      <c r="C1" s="3"/>
      <c r="D1" s="3"/>
    </row>
    <row r="2" spans="1:36" x14ac:dyDescent="0.35">
      <c r="E2" s="3" t="s">
        <v>54</v>
      </c>
    </row>
    <row r="3" spans="1:36" ht="29" x14ac:dyDescent="0.35">
      <c r="E3" s="47" t="s">
        <v>40</v>
      </c>
      <c r="F3" s="69" t="s">
        <v>62</v>
      </c>
      <c r="G3" s="69" t="s">
        <v>48</v>
      </c>
      <c r="H3" s="47" t="s">
        <v>1</v>
      </c>
      <c r="I3" s="69" t="s">
        <v>49</v>
      </c>
      <c r="J3" s="47" t="s">
        <v>8</v>
      </c>
      <c r="K3" s="47" t="s">
        <v>7</v>
      </c>
      <c r="T3" s="47"/>
    </row>
    <row r="4" spans="1:36" x14ac:dyDescent="0.35">
      <c r="A4" s="19" t="s">
        <v>22</v>
      </c>
      <c r="B4" s="19"/>
      <c r="C4" s="19"/>
      <c r="D4" s="19"/>
      <c r="E4" s="21">
        <f>SUM(C18:M18)</f>
        <v>32598.650000000005</v>
      </c>
      <c r="F4" s="126">
        <f>N24</f>
        <v>0</v>
      </c>
      <c r="G4" s="21">
        <f>SUM(C30:L30)</f>
        <v>0</v>
      </c>
      <c r="H4" s="21">
        <f>G4-E4</f>
        <v>-32598.650000000005</v>
      </c>
      <c r="I4" s="21">
        <f>+B42</f>
        <v>80460.25999999966</v>
      </c>
      <c r="J4" s="21">
        <f>SUM(C47:L47)</f>
        <v>2011.3200000000002</v>
      </c>
      <c r="K4" s="24">
        <f>SUM(H4:J4)</f>
        <v>49872.929999999651</v>
      </c>
      <c r="L4" s="46">
        <f>+K4-M42</f>
        <v>0</v>
      </c>
    </row>
    <row r="5" spans="1:36" ht="15" thickBot="1" x14ac:dyDescent="0.4">
      <c r="A5" s="19" t="s">
        <v>23</v>
      </c>
      <c r="B5" s="19"/>
      <c r="C5" s="19"/>
      <c r="D5" s="19"/>
      <c r="E5" s="21">
        <f>SUM(C19:M21)</f>
        <v>24839.78</v>
      </c>
      <c r="F5" s="126">
        <f>SUM(N25:N27)</f>
        <v>0</v>
      </c>
      <c r="G5" s="21">
        <f>SUM(C31:L33)</f>
        <v>0</v>
      </c>
      <c r="H5" s="21">
        <f>G5-E5</f>
        <v>-24839.78</v>
      </c>
      <c r="I5" s="21">
        <f>+B43</f>
        <v>55129.214270000091</v>
      </c>
      <c r="J5" s="21">
        <f>SUM(C48:L48)</f>
        <v>1306.4300000000003</v>
      </c>
      <c r="K5" s="24">
        <f>SUM(H5:J5)</f>
        <v>31595.864270000093</v>
      </c>
      <c r="L5" s="46">
        <f>+K5-M43</f>
        <v>0</v>
      </c>
    </row>
    <row r="6" spans="1:36" ht="15.5" thickTop="1" thickBot="1" x14ac:dyDescent="0.4">
      <c r="E6" s="26">
        <f t="shared" ref="E6" si="0">SUM(E4:E5)</f>
        <v>57438.430000000008</v>
      </c>
      <c r="F6" s="127">
        <f t="shared" ref="F6:I6" si="1">SUM(F4:F5)</f>
        <v>0</v>
      </c>
      <c r="G6" s="26">
        <f t="shared" si="1"/>
        <v>0</v>
      </c>
      <c r="H6" s="26">
        <f t="shared" si="1"/>
        <v>-57438.430000000008</v>
      </c>
      <c r="I6" s="26">
        <f t="shared" si="1"/>
        <v>135589.47426999974</v>
      </c>
      <c r="J6" s="26">
        <f>SUM(J4:J5)</f>
        <v>3317.7500000000005</v>
      </c>
      <c r="K6" s="26">
        <f>SUM(K4:K5)</f>
        <v>81468.794269999751</v>
      </c>
      <c r="U6" s="5"/>
    </row>
    <row r="7" spans="1:36" ht="44" thickTop="1" x14ac:dyDescent="0.35">
      <c r="K7" s="200"/>
      <c r="L7" s="199" t="s">
        <v>109</v>
      </c>
    </row>
    <row r="8" spans="1:36" x14ac:dyDescent="0.35">
      <c r="A8" s="19" t="s">
        <v>94</v>
      </c>
      <c r="K8" s="24">
        <f>ROUND($K$5*L8,2)</f>
        <v>12388.51</v>
      </c>
      <c r="L8" s="197">
        <f>'[18]Monthly TD Calc'!$CZ$44</f>
        <v>0.39209287804949344</v>
      </c>
      <c r="M8" s="38"/>
    </row>
    <row r="9" spans="1:36" x14ac:dyDescent="0.35">
      <c r="A9" s="19" t="s">
        <v>95</v>
      </c>
      <c r="K9" s="24">
        <f t="shared" ref="K9:K10" si="2">ROUND($K$5*L9,2)</f>
        <v>14355.87</v>
      </c>
      <c r="L9" s="494">
        <f>'[18]Monthly TD Calc'!$DB$44</f>
        <v>0.45435908608374953</v>
      </c>
      <c r="M9" s="38"/>
    </row>
    <row r="10" spans="1:36" ht="15" thickBot="1" x14ac:dyDescent="0.4">
      <c r="A10" s="19" t="s">
        <v>96</v>
      </c>
      <c r="J10" s="4"/>
      <c r="K10" s="24">
        <f t="shared" si="2"/>
        <v>4851.4799999999996</v>
      </c>
      <c r="L10" s="494">
        <f>'[18]Monthly TD Calc'!$DC$44</f>
        <v>0.15354803586675725</v>
      </c>
      <c r="M10" s="38"/>
      <c r="W10" s="4"/>
    </row>
    <row r="11" spans="1:36" ht="15.5" thickTop="1" thickBot="1" x14ac:dyDescent="0.4">
      <c r="A11" s="19" t="s">
        <v>97</v>
      </c>
      <c r="E11" s="46"/>
      <c r="J11" s="46"/>
      <c r="K11" s="26">
        <f>SUM(K8:K10)</f>
        <v>31595.86</v>
      </c>
      <c r="L11" s="198">
        <f>SUM(L8:L10)</f>
        <v>1.0000000000000002</v>
      </c>
      <c r="W11" s="4"/>
      <c r="X11" s="5"/>
    </row>
    <row r="12" spans="1:36" ht="15.5" thickTop="1" thickBot="1" x14ac:dyDescent="0.4">
      <c r="W12" s="4"/>
      <c r="X12" s="5"/>
    </row>
    <row r="13" spans="1:36" ht="105.75" customHeight="1" thickBot="1" x14ac:dyDescent="0.4">
      <c r="B13" s="110" t="str">
        <f>+'PCR Cycle 3'!B10</f>
        <v>Cumulative Over/Under Carryover From 12/01/2024 Filing</v>
      </c>
      <c r="C13" s="140" t="str">
        <f>+'PCR Cycle 3'!C10</f>
        <v>Reverse November 2024 - January 2025 Forecast From 12/01/2024 Filing</v>
      </c>
      <c r="D13" s="185"/>
      <c r="E13" s="530" t="s">
        <v>28</v>
      </c>
      <c r="F13" s="530"/>
      <c r="G13" s="531"/>
      <c r="H13" s="541" t="s">
        <v>28</v>
      </c>
      <c r="I13" s="542"/>
      <c r="J13" s="543"/>
      <c r="K13" s="535" t="s">
        <v>6</v>
      </c>
      <c r="L13" s="536"/>
      <c r="M13" s="537"/>
      <c r="P13" s="264" t="s">
        <v>196</v>
      </c>
    </row>
    <row r="14" spans="1:36" x14ac:dyDescent="0.35">
      <c r="A14" s="45" t="s">
        <v>56</v>
      </c>
      <c r="C14" s="100"/>
      <c r="D14" s="186">
        <f>+'PCR Cycle 3'!D14</f>
        <v>0</v>
      </c>
      <c r="E14" s="377">
        <f>+'PCR Cycle 4'!E$11</f>
        <v>45626</v>
      </c>
      <c r="F14" s="377">
        <f>+'PCR Cycle 4'!F$11</f>
        <v>45657</v>
      </c>
      <c r="G14" s="377">
        <f>+'PCR Cycle 4'!G$11</f>
        <v>45688</v>
      </c>
      <c r="H14" s="372">
        <f>+'PCR Cycle 4'!H$11</f>
        <v>45716</v>
      </c>
      <c r="I14" s="377">
        <f>+'PCR Cycle 4'!I$11</f>
        <v>45747</v>
      </c>
      <c r="J14" s="373">
        <f>+'PCR Cycle 4'!J$11</f>
        <v>45777</v>
      </c>
      <c r="K14" s="377">
        <f>+'PCR Cycle 4'!K$11</f>
        <v>45808</v>
      </c>
      <c r="L14" s="377">
        <f>+'PCR Cycle 4'!L$11</f>
        <v>45838</v>
      </c>
      <c r="M14" s="431">
        <f>+'PCR Cycle 4'!M$11</f>
        <v>45869</v>
      </c>
      <c r="AA14" s="1"/>
      <c r="AB14" s="1"/>
      <c r="AC14" s="1"/>
      <c r="AD14" s="1"/>
      <c r="AE14" s="1"/>
      <c r="AF14" s="1"/>
      <c r="AG14" s="1"/>
      <c r="AH14" s="1"/>
      <c r="AI14" s="1"/>
      <c r="AJ14" s="1"/>
    </row>
    <row r="15" spans="1:36" x14ac:dyDescent="0.35">
      <c r="A15" s="45" t="s">
        <v>3</v>
      </c>
      <c r="C15" s="339">
        <v>0</v>
      </c>
      <c r="D15" s="169">
        <f>+D30+D33</f>
        <v>0</v>
      </c>
      <c r="E15" s="104">
        <f t="shared" ref="E15:L15" si="3">SUM(E30:E33)</f>
        <v>0</v>
      </c>
      <c r="F15" s="104">
        <f t="shared" si="3"/>
        <v>0</v>
      </c>
      <c r="G15" s="105">
        <f>SUM(G30:G33)</f>
        <v>0</v>
      </c>
      <c r="H15" s="15">
        <f t="shared" si="3"/>
        <v>0</v>
      </c>
      <c r="I15" s="54">
        <f t="shared" si="3"/>
        <v>0</v>
      </c>
      <c r="J15" s="151">
        <f t="shared" si="3"/>
        <v>0</v>
      </c>
      <c r="K15" s="144">
        <f t="shared" si="3"/>
        <v>0</v>
      </c>
      <c r="L15" s="75">
        <f t="shared" si="3"/>
        <v>0</v>
      </c>
      <c r="M15" s="76"/>
      <c r="P15" s="167">
        <f>-SUM(K15:M15)</f>
        <v>0</v>
      </c>
    </row>
    <row r="16" spans="1:36" x14ac:dyDescent="0.35">
      <c r="C16" s="284"/>
      <c r="D16" s="170"/>
      <c r="E16" s="16"/>
      <c r="F16" s="16"/>
      <c r="G16" s="16"/>
      <c r="H16" s="9"/>
      <c r="I16" s="16"/>
      <c r="J16" s="10"/>
      <c r="K16" s="30"/>
      <c r="L16" s="30"/>
      <c r="M16" s="28"/>
    </row>
    <row r="17" spans="1:16" x14ac:dyDescent="0.35">
      <c r="A17" s="45" t="s">
        <v>55</v>
      </c>
      <c r="C17" s="284"/>
      <c r="D17" s="170"/>
      <c r="E17" s="17"/>
      <c r="F17" s="17"/>
      <c r="G17" s="17"/>
      <c r="H17" s="297"/>
      <c r="I17" s="238"/>
      <c r="J17" s="299"/>
      <c r="K17" s="30"/>
      <c r="L17" s="30"/>
      <c r="M17" s="28"/>
      <c r="N17" s="412" t="s">
        <v>59</v>
      </c>
      <c r="O17" s="38"/>
    </row>
    <row r="18" spans="1:16" x14ac:dyDescent="0.35">
      <c r="A18" s="45" t="s">
        <v>22</v>
      </c>
      <c r="C18" s="339">
        <v>-48353.58</v>
      </c>
      <c r="D18" s="169">
        <v>0</v>
      </c>
      <c r="E18" s="124">
        <f>ROUND('[10]November 2024'!$G52,2)</f>
        <v>10249.77</v>
      </c>
      <c r="F18" s="124">
        <f>ROUND('[10]December 2024'!$G52,2)</f>
        <v>14989.26</v>
      </c>
      <c r="G18" s="124">
        <f>ROUND('[10]January 2025'!$G52,2)</f>
        <v>19072.939999999999</v>
      </c>
      <c r="H18" s="15">
        <f>ROUND('[10]February 2025'!$G52,2)</f>
        <v>8183.65</v>
      </c>
      <c r="I18" s="54">
        <f>ROUND('[10]March 2025'!$G52,2)</f>
        <v>6409.91</v>
      </c>
      <c r="J18" s="154">
        <f>ROUND('[10]April 2025'!$G52,2)</f>
        <v>4222.6499999999996</v>
      </c>
      <c r="K18" s="114">
        <f>ROUND('PCR Cycle 4'!K20*'TDR Cycle 2'!$N18,2)</f>
        <v>4438.8100000000004</v>
      </c>
      <c r="L18" s="40">
        <f>ROUND('PCR Cycle 4'!L20*'TDR Cycle 2'!$N18,2)</f>
        <v>5605.86</v>
      </c>
      <c r="M18" s="60">
        <f>ROUND('PCR Cycle 4'!M20*'TDR Cycle 2'!$N18,2)</f>
        <v>7779.38</v>
      </c>
      <c r="N18" s="71">
        <v>2.0000000000000002E-5</v>
      </c>
      <c r="O18" s="4"/>
      <c r="P18" s="167">
        <f t="shared" ref="P18:P21" si="4">-SUM(K18:M18)</f>
        <v>-17824.05</v>
      </c>
    </row>
    <row r="19" spans="1:16" x14ac:dyDescent="0.35">
      <c r="A19" s="45" t="s">
        <v>94</v>
      </c>
      <c r="C19" s="339">
        <v>-9756.6299999999992</v>
      </c>
      <c r="D19" s="169"/>
      <c r="E19" s="445">
        <f>ROUND('[10]November 2024'!$G53,2)</f>
        <v>2967.05</v>
      </c>
      <c r="F19" s="124">
        <f>ROUND('[10]December 2024'!$G53,2)</f>
        <v>3497.66</v>
      </c>
      <c r="G19" s="124">
        <f>ROUND('[10]January 2025'!$G53,2)</f>
        <v>3868.9</v>
      </c>
      <c r="H19" s="15">
        <f>ROUND('[10]February 2025'!$G53,2)</f>
        <v>2772.94</v>
      </c>
      <c r="I19" s="54">
        <f>ROUND('[10]March 2025'!$G53,2)</f>
        <v>429.14</v>
      </c>
      <c r="J19" s="154">
        <f>ROUND('[10]April 2025'!$G53,2)</f>
        <v>1991.05</v>
      </c>
      <c r="K19" s="114">
        <f>ROUND('PCR Cycle 4'!K21*'TDR Cycle 2'!$N19,2)</f>
        <v>1906.29</v>
      </c>
      <c r="L19" s="40">
        <f>ROUND('PCR Cycle 4'!L21*'TDR Cycle 2'!$N19,2)</f>
        <v>2127.7399999999998</v>
      </c>
      <c r="M19" s="60">
        <f>ROUND('PCR Cycle 4'!M21*'TDR Cycle 2'!$N19,2)</f>
        <v>2379.1</v>
      </c>
      <c r="N19" s="71">
        <v>2.0000000000000002E-5</v>
      </c>
      <c r="O19" s="4"/>
      <c r="P19" s="167">
        <f t="shared" si="4"/>
        <v>-6413.1299999999992</v>
      </c>
    </row>
    <row r="20" spans="1:16" x14ac:dyDescent="0.35">
      <c r="A20" s="45" t="s">
        <v>95</v>
      </c>
      <c r="C20" s="339">
        <v>-11035.01</v>
      </c>
      <c r="D20" s="169"/>
      <c r="E20" s="445">
        <f>ROUND('[10]November 2024'!$G54,2)</f>
        <v>3368.55</v>
      </c>
      <c r="F20" s="124">
        <f>ROUND('[10]December 2024'!$G54,2)</f>
        <v>3571.44</v>
      </c>
      <c r="G20" s="124">
        <f>ROUND('[10]January 2025'!$G54,2)</f>
        <v>3558.53</v>
      </c>
      <c r="H20" s="15">
        <f>ROUND('[10]February 2025'!$G54,2)</f>
        <v>1894.62</v>
      </c>
      <c r="I20" s="54">
        <f>ROUND('[10]March 2025'!$G54,2)</f>
        <v>841.78</v>
      </c>
      <c r="J20" s="154">
        <f>ROUND('[10]April 2025'!$G54,2)</f>
        <v>1554.93</v>
      </c>
      <c r="K20" s="114">
        <f>ROUND('PCR Cycle 4'!K22*'TDR Cycle 2'!$N20,2)</f>
        <v>1558.16</v>
      </c>
      <c r="L20" s="40">
        <f>ROUND('PCR Cycle 4'!L22*'TDR Cycle 2'!$N20,2)</f>
        <v>1739.16</v>
      </c>
      <c r="M20" s="60">
        <f>ROUND('PCR Cycle 4'!M22*'TDR Cycle 2'!$N20,2)</f>
        <v>1944.62</v>
      </c>
      <c r="N20" s="71">
        <v>2.0000000000000002E-5</v>
      </c>
      <c r="O20" s="4"/>
      <c r="P20" s="167">
        <f t="shared" si="4"/>
        <v>-5241.9400000000005</v>
      </c>
    </row>
    <row r="21" spans="1:16" x14ac:dyDescent="0.35">
      <c r="A21" s="45" t="s">
        <v>96</v>
      </c>
      <c r="C21" s="339">
        <v>-3645.6299999999997</v>
      </c>
      <c r="D21" s="169">
        <v>0</v>
      </c>
      <c r="E21" s="445">
        <f>ROUND('[10]November 2024'!$G55,2)</f>
        <v>1275.19</v>
      </c>
      <c r="F21" s="124">
        <f>ROUND('[10]December 2024'!$G55,2)</f>
        <v>1294.0899999999999</v>
      </c>
      <c r="G21" s="124">
        <f>ROUND('[10]January 2025'!$G55,2)</f>
        <v>1232.0899999999999</v>
      </c>
      <c r="H21" s="15">
        <f>ROUND('[10]February 2025'!$G55,2)</f>
        <v>698.64</v>
      </c>
      <c r="I21" s="54">
        <f>ROUND('[10]March 2025'!$G55,2)</f>
        <v>342.81</v>
      </c>
      <c r="J21" s="154">
        <f>ROUND('[10]April 2025'!$G55,2)</f>
        <v>641.79</v>
      </c>
      <c r="K21" s="114">
        <f>ROUND('PCR Cycle 4'!K23*'TDR Cycle 2'!$N21,2)</f>
        <v>541.22</v>
      </c>
      <c r="L21" s="40">
        <f>ROUND('PCR Cycle 4'!L23*'TDR Cycle 2'!$N21,2)</f>
        <v>604.1</v>
      </c>
      <c r="M21" s="60">
        <f>ROUND('PCR Cycle 4'!M23*'TDR Cycle 2'!$N21,2)</f>
        <v>675.46</v>
      </c>
      <c r="N21" s="71">
        <v>1.0000000000000001E-5</v>
      </c>
      <c r="O21" s="4"/>
      <c r="P21" s="167">
        <f t="shared" si="4"/>
        <v>-1820.7800000000002</v>
      </c>
    </row>
    <row r="22" spans="1:16" x14ac:dyDescent="0.35">
      <c r="C22" s="286"/>
      <c r="D22" s="171"/>
      <c r="E22" s="67"/>
      <c r="F22" s="67"/>
      <c r="G22" s="67"/>
      <c r="H22" s="66"/>
      <c r="I22" s="67"/>
      <c r="J22" s="153"/>
      <c r="K22" s="55"/>
      <c r="L22" s="55"/>
      <c r="M22" s="12"/>
      <c r="O22" s="4"/>
    </row>
    <row r="23" spans="1:16" x14ac:dyDescent="0.35">
      <c r="A23" s="38" t="s">
        <v>58</v>
      </c>
      <c r="B23" s="38"/>
      <c r="C23" s="286"/>
      <c r="D23" s="171"/>
      <c r="E23" s="67"/>
      <c r="F23" s="67"/>
      <c r="G23" s="67"/>
      <c r="H23" s="66"/>
      <c r="I23" s="67"/>
      <c r="J23" s="304"/>
      <c r="K23" s="55"/>
      <c r="L23" s="55"/>
      <c r="M23" s="12"/>
      <c r="N23" s="6"/>
    </row>
    <row r="24" spans="1:16" x14ac:dyDescent="0.35">
      <c r="A24" s="45" t="s">
        <v>22</v>
      </c>
      <c r="C24" s="340">
        <v>0</v>
      </c>
      <c r="D24" s="172"/>
      <c r="E24" s="106">
        <v>0</v>
      </c>
      <c r="F24" s="106">
        <v>0</v>
      </c>
      <c r="G24" s="116">
        <v>0</v>
      </c>
      <c r="H24" s="72">
        <v>0</v>
      </c>
      <c r="I24" s="73">
        <v>0</v>
      </c>
      <c r="J24" s="154">
        <v>0</v>
      </c>
      <c r="K24" s="145">
        <v>0</v>
      </c>
      <c r="L24" s="131">
        <v>0</v>
      </c>
      <c r="M24" s="77"/>
      <c r="N24" s="58">
        <f>SUM(C24:L24)</f>
        <v>0</v>
      </c>
      <c r="P24" s="167">
        <f t="shared" ref="P24:P27" si="5">-SUM(K24:M24)</f>
        <v>0</v>
      </c>
    </row>
    <row r="25" spans="1:16" x14ac:dyDescent="0.35">
      <c r="A25" s="45" t="s">
        <v>94</v>
      </c>
      <c r="C25" s="340">
        <v>0</v>
      </c>
      <c r="D25" s="172"/>
      <c r="E25" s="106">
        <v>0</v>
      </c>
      <c r="F25" s="106">
        <v>0</v>
      </c>
      <c r="G25" s="116">
        <v>0</v>
      </c>
      <c r="H25" s="72">
        <v>0</v>
      </c>
      <c r="I25" s="73">
        <v>0</v>
      </c>
      <c r="J25" s="154">
        <v>0</v>
      </c>
      <c r="K25" s="145">
        <v>0</v>
      </c>
      <c r="L25" s="131">
        <v>0</v>
      </c>
      <c r="M25" s="77"/>
      <c r="N25" s="58">
        <f t="shared" ref="N25:N27" si="6">SUM(C25:L25)</f>
        <v>0</v>
      </c>
      <c r="P25" s="167">
        <f t="shared" si="5"/>
        <v>0</v>
      </c>
    </row>
    <row r="26" spans="1:16" x14ac:dyDescent="0.35">
      <c r="A26" s="45" t="s">
        <v>95</v>
      </c>
      <c r="C26" s="340">
        <v>0</v>
      </c>
      <c r="D26" s="172"/>
      <c r="E26" s="106">
        <v>0</v>
      </c>
      <c r="F26" s="106">
        <v>0</v>
      </c>
      <c r="G26" s="116">
        <v>0</v>
      </c>
      <c r="H26" s="72">
        <v>0</v>
      </c>
      <c r="I26" s="73">
        <v>0</v>
      </c>
      <c r="J26" s="154">
        <v>0</v>
      </c>
      <c r="K26" s="145">
        <v>0</v>
      </c>
      <c r="L26" s="131">
        <v>0</v>
      </c>
      <c r="M26" s="77"/>
      <c r="N26" s="58">
        <f t="shared" si="6"/>
        <v>0</v>
      </c>
      <c r="P26" s="167">
        <f t="shared" si="5"/>
        <v>0</v>
      </c>
    </row>
    <row r="27" spans="1:16" x14ac:dyDescent="0.35">
      <c r="A27" s="45" t="s">
        <v>96</v>
      </c>
      <c r="C27" s="340">
        <v>0</v>
      </c>
      <c r="D27" s="172"/>
      <c r="E27" s="106">
        <v>0</v>
      </c>
      <c r="F27" s="106">
        <v>0</v>
      </c>
      <c r="G27" s="116">
        <v>0</v>
      </c>
      <c r="H27" s="72">
        <v>0</v>
      </c>
      <c r="I27" s="73">
        <v>0</v>
      </c>
      <c r="J27" s="154">
        <v>0</v>
      </c>
      <c r="K27" s="145">
        <v>0</v>
      </c>
      <c r="L27" s="131">
        <v>0</v>
      </c>
      <c r="M27" s="77"/>
      <c r="N27" s="58">
        <f t="shared" si="6"/>
        <v>0</v>
      </c>
      <c r="P27" s="167">
        <f t="shared" si="5"/>
        <v>0</v>
      </c>
    </row>
    <row r="28" spans="1:16" x14ac:dyDescent="0.35">
      <c r="C28" s="286"/>
      <c r="D28" s="171"/>
      <c r="E28" s="67"/>
      <c r="F28" s="67"/>
      <c r="G28" s="67"/>
      <c r="H28" s="66"/>
      <c r="I28" s="67"/>
      <c r="J28" s="153"/>
      <c r="K28" s="55"/>
      <c r="L28" s="55"/>
      <c r="M28" s="12"/>
    </row>
    <row r="29" spans="1:16" x14ac:dyDescent="0.35">
      <c r="A29" s="45" t="s">
        <v>60</v>
      </c>
      <c r="C29" s="291"/>
      <c r="D29" s="173"/>
      <c r="E29" s="36"/>
      <c r="F29" s="36"/>
      <c r="G29" s="36"/>
      <c r="H29" s="35"/>
      <c r="I29" s="36"/>
      <c r="J29" s="155"/>
      <c r="K29" s="51"/>
      <c r="L29" s="51"/>
      <c r="M29" s="37"/>
    </row>
    <row r="30" spans="1:16" x14ac:dyDescent="0.35">
      <c r="A30" s="45" t="s">
        <v>22</v>
      </c>
      <c r="C30" s="339">
        <v>0</v>
      </c>
      <c r="D30" s="169"/>
      <c r="E30" s="124">
        <v>0</v>
      </c>
      <c r="F30" s="124">
        <v>0</v>
      </c>
      <c r="G30" s="124">
        <v>0</v>
      </c>
      <c r="H30" s="15">
        <v>0</v>
      </c>
      <c r="I30" s="54">
        <v>0</v>
      </c>
      <c r="J30" s="154">
        <v>0</v>
      </c>
      <c r="K30" s="146">
        <v>0</v>
      </c>
      <c r="L30" s="130">
        <v>0</v>
      </c>
      <c r="M30" s="76"/>
      <c r="P30" s="167">
        <f t="shared" ref="P30:P35" si="7">-SUM(K30:M30)</f>
        <v>0</v>
      </c>
    </row>
    <row r="31" spans="1:16" x14ac:dyDescent="0.35">
      <c r="A31" s="45" t="s">
        <v>94</v>
      </c>
      <c r="C31" s="339">
        <v>0</v>
      </c>
      <c r="D31" s="169"/>
      <c r="E31" s="124">
        <v>0</v>
      </c>
      <c r="F31" s="124">
        <v>0</v>
      </c>
      <c r="G31" s="124">
        <v>0</v>
      </c>
      <c r="H31" s="15">
        <v>0</v>
      </c>
      <c r="I31" s="54">
        <v>0</v>
      </c>
      <c r="J31" s="154">
        <v>0</v>
      </c>
      <c r="K31" s="146">
        <v>0</v>
      </c>
      <c r="L31" s="130">
        <v>0</v>
      </c>
      <c r="M31" s="76"/>
      <c r="P31" s="167">
        <f t="shared" si="7"/>
        <v>0</v>
      </c>
    </row>
    <row r="32" spans="1:16" x14ac:dyDescent="0.35">
      <c r="A32" s="45" t="s">
        <v>95</v>
      </c>
      <c r="C32" s="339">
        <v>0</v>
      </c>
      <c r="D32" s="169"/>
      <c r="E32" s="124">
        <v>0</v>
      </c>
      <c r="F32" s="124">
        <v>0</v>
      </c>
      <c r="G32" s="124">
        <v>0</v>
      </c>
      <c r="H32" s="15">
        <v>0</v>
      </c>
      <c r="I32" s="54">
        <v>0</v>
      </c>
      <c r="J32" s="154">
        <v>0</v>
      </c>
      <c r="K32" s="146">
        <v>0</v>
      </c>
      <c r="L32" s="130">
        <v>0</v>
      </c>
      <c r="M32" s="76"/>
      <c r="P32" s="167">
        <f t="shared" si="7"/>
        <v>0</v>
      </c>
    </row>
    <row r="33" spans="1:18" x14ac:dyDescent="0.35">
      <c r="A33" s="45" t="s">
        <v>96</v>
      </c>
      <c r="C33" s="339">
        <v>0</v>
      </c>
      <c r="D33" s="169"/>
      <c r="E33" s="124">
        <v>0</v>
      </c>
      <c r="F33" s="124">
        <v>0</v>
      </c>
      <c r="G33" s="124">
        <v>0</v>
      </c>
      <c r="H33" s="15">
        <v>0</v>
      </c>
      <c r="I33" s="54">
        <v>0</v>
      </c>
      <c r="J33" s="154">
        <v>0</v>
      </c>
      <c r="K33" s="146">
        <v>0</v>
      </c>
      <c r="L33" s="130">
        <v>0</v>
      </c>
      <c r="M33" s="76"/>
      <c r="O33" s="46"/>
      <c r="P33" s="167">
        <f t="shared" si="7"/>
        <v>0</v>
      </c>
    </row>
    <row r="34" spans="1:18" x14ac:dyDescent="0.35">
      <c r="C34" s="284"/>
      <c r="D34" s="170"/>
      <c r="E34" s="17"/>
      <c r="F34" s="17"/>
      <c r="G34" s="17"/>
      <c r="H34" s="88"/>
      <c r="I34" s="17"/>
      <c r="J34" s="152"/>
      <c r="K34" s="55"/>
      <c r="L34" s="55"/>
      <c r="M34" s="12"/>
    </row>
    <row r="35" spans="1:18" ht="15" thickBot="1" x14ac:dyDescent="0.4">
      <c r="A35" s="3" t="s">
        <v>13</v>
      </c>
      <c r="B35" s="3"/>
      <c r="C35" s="341">
        <v>-1857.13</v>
      </c>
      <c r="D35" s="174"/>
      <c r="E35" s="124">
        <v>959.61</v>
      </c>
      <c r="F35" s="124">
        <v>834.40000000000009</v>
      </c>
      <c r="G35" s="125">
        <v>706.56</v>
      </c>
      <c r="H35" s="25">
        <f>615.56+0.01</f>
        <v>615.56999999999994</v>
      </c>
      <c r="I35" s="113">
        <v>569.04999999999995</v>
      </c>
      <c r="J35" s="156">
        <f>534.42+0.01</f>
        <v>534.42999999999995</v>
      </c>
      <c r="K35" s="147">
        <f>ROUND((SUM(J42:J43)+SUM(J47:J48)+SUM(K38:K39)/2)*K$45,2)</f>
        <v>497.9</v>
      </c>
      <c r="L35" s="132">
        <f>ROUND((SUM(K42:K43)+SUM(K47:K48)+SUM(L38:L39)/2)*L$45,2)</f>
        <v>457.35</v>
      </c>
      <c r="M35" s="79"/>
      <c r="P35" s="167">
        <f t="shared" si="7"/>
        <v>-955.25</v>
      </c>
      <c r="R35" s="325"/>
    </row>
    <row r="36" spans="1:18" x14ac:dyDescent="0.35">
      <c r="C36" s="63"/>
      <c r="D36" s="177"/>
      <c r="E36" s="65"/>
      <c r="F36" s="65"/>
      <c r="G36" s="32"/>
      <c r="H36" s="63"/>
      <c r="I36" s="32"/>
      <c r="J36" s="157"/>
      <c r="K36" s="33"/>
      <c r="L36" s="33"/>
      <c r="M36" s="59"/>
    </row>
    <row r="37" spans="1:18" x14ac:dyDescent="0.35">
      <c r="A37" s="45" t="s">
        <v>46</v>
      </c>
      <c r="C37" s="64"/>
      <c r="D37" s="178"/>
      <c r="E37" s="34"/>
      <c r="F37" s="34"/>
      <c r="G37" s="34"/>
      <c r="H37" s="64"/>
      <c r="I37" s="34"/>
      <c r="J37" s="158"/>
      <c r="K37" s="33"/>
      <c r="L37" s="33"/>
      <c r="M37" s="59"/>
    </row>
    <row r="38" spans="1:18" x14ac:dyDescent="0.35">
      <c r="A38" s="45" t="s">
        <v>22</v>
      </c>
      <c r="C38" s="175">
        <f t="shared" ref="C38:M38" si="8">C30-C18</f>
        <v>48353.58</v>
      </c>
      <c r="D38" s="179">
        <f t="shared" si="8"/>
        <v>0</v>
      </c>
      <c r="E38" s="40">
        <f t="shared" si="8"/>
        <v>-10249.77</v>
      </c>
      <c r="F38" s="40">
        <f>F30-F18</f>
        <v>-14989.26</v>
      </c>
      <c r="G38" s="103">
        <f>G30-G18</f>
        <v>-19072.939999999999</v>
      </c>
      <c r="H38" s="39">
        <f>H30-H18</f>
        <v>-8183.65</v>
      </c>
      <c r="I38" s="40">
        <f>I30-I18</f>
        <v>-6409.91</v>
      </c>
      <c r="J38" s="60">
        <f>J30-J18</f>
        <v>-4222.6499999999996</v>
      </c>
      <c r="K38" s="114">
        <f t="shared" si="8"/>
        <v>-4438.8100000000004</v>
      </c>
      <c r="L38" s="40">
        <f t="shared" si="8"/>
        <v>-5605.86</v>
      </c>
      <c r="M38" s="60">
        <f t="shared" si="8"/>
        <v>-7779.38</v>
      </c>
    </row>
    <row r="39" spans="1:18" x14ac:dyDescent="0.35">
      <c r="A39" s="45" t="s">
        <v>23</v>
      </c>
      <c r="C39" s="175">
        <f>SUM(C31:C33)-SUM(C19:C21)</f>
        <v>24437.27</v>
      </c>
      <c r="D39" s="179">
        <f t="shared" ref="D39:M39" si="9">SUM(D31:D33)-SUM(D19:D21)</f>
        <v>0</v>
      </c>
      <c r="E39" s="40">
        <f t="shared" si="9"/>
        <v>-7610.7900000000009</v>
      </c>
      <c r="F39" s="40">
        <f>SUM(F31:F33)-SUM(F19:F21)</f>
        <v>-8363.19</v>
      </c>
      <c r="G39" s="103">
        <f>SUM(G31:G33)-SUM(G19:G21)</f>
        <v>-8659.52</v>
      </c>
      <c r="H39" s="39">
        <f>SUM(H31:H33)-SUM(H19:H21)</f>
        <v>-5366.2</v>
      </c>
      <c r="I39" s="40">
        <f>SUM(I31:I33)-SUM(I19:I21)</f>
        <v>-1613.73</v>
      </c>
      <c r="J39" s="60">
        <f>SUM(J31:J33)-SUM(J19:J21)</f>
        <v>-4187.7700000000004</v>
      </c>
      <c r="K39" s="114">
        <f t="shared" si="9"/>
        <v>-4005.67</v>
      </c>
      <c r="L39" s="40">
        <f t="shared" si="9"/>
        <v>-4471</v>
      </c>
      <c r="M39" s="60">
        <f t="shared" si="9"/>
        <v>-4999.1799999999994</v>
      </c>
    </row>
    <row r="40" spans="1:18" x14ac:dyDescent="0.35">
      <c r="C40" s="96"/>
      <c r="D40" s="170"/>
      <c r="E40" s="16"/>
      <c r="F40" s="16"/>
      <c r="G40" s="16"/>
      <c r="H40" s="9"/>
      <c r="I40" s="16"/>
      <c r="J40" s="10"/>
      <c r="K40" s="16"/>
      <c r="L40" s="16"/>
      <c r="M40" s="10"/>
    </row>
    <row r="41" spans="1:18" ht="15" thickBot="1" x14ac:dyDescent="0.4">
      <c r="A41" s="45" t="s">
        <v>47</v>
      </c>
      <c r="C41" s="96"/>
      <c r="D41" s="170"/>
      <c r="E41" s="16"/>
      <c r="F41" s="16"/>
      <c r="G41" s="16"/>
      <c r="H41" s="9"/>
      <c r="I41" s="16"/>
      <c r="J41" s="10"/>
      <c r="K41" s="16"/>
      <c r="L41" s="16"/>
      <c r="M41" s="10"/>
    </row>
    <row r="42" spans="1:18" x14ac:dyDescent="0.35">
      <c r="A42" s="45" t="s">
        <v>22</v>
      </c>
      <c r="B42" s="287">
        <v>80460.25999999966</v>
      </c>
      <c r="C42" s="175">
        <f t="shared" ref="C42:E43" si="10">+B42+C38+B47</f>
        <v>128813.83999999966</v>
      </c>
      <c r="D42" s="179">
        <f t="shared" si="10"/>
        <v>127666.04999999967</v>
      </c>
      <c r="E42" s="40">
        <f t="shared" si="10"/>
        <v>117416.27999999966</v>
      </c>
      <c r="F42" s="40">
        <f t="shared" ref="F42:M42" si="11">+E42+F38+E47</f>
        <v>103022.13999999966</v>
      </c>
      <c r="G42" s="103">
        <f>+F42+G38+F47</f>
        <v>84467.419999999664</v>
      </c>
      <c r="H42" s="39">
        <f t="shared" si="11"/>
        <v>76717.209999999672</v>
      </c>
      <c r="I42" s="40">
        <f t="shared" si="11"/>
        <v>70680.459999999672</v>
      </c>
      <c r="J42" s="60">
        <f t="shared" si="11"/>
        <v>66799.269999999684</v>
      </c>
      <c r="K42" s="114">
        <f t="shared" si="11"/>
        <v>62679.359999999688</v>
      </c>
      <c r="L42" s="40">
        <f t="shared" si="11"/>
        <v>57373.829999999689</v>
      </c>
      <c r="M42" s="60">
        <f t="shared" si="11"/>
        <v>49872.929999999695</v>
      </c>
    </row>
    <row r="43" spans="1:18" ht="15" thickBot="1" x14ac:dyDescent="0.4">
      <c r="A43" s="45" t="s">
        <v>23</v>
      </c>
      <c r="B43" s="288">
        <v>55129.214270000091</v>
      </c>
      <c r="C43" s="175">
        <f t="shared" si="10"/>
        <v>79566.484270000088</v>
      </c>
      <c r="D43" s="179">
        <f t="shared" si="10"/>
        <v>78857.154270000086</v>
      </c>
      <c r="E43" s="40">
        <f t="shared" si="10"/>
        <v>71246.364270000078</v>
      </c>
      <c r="F43" s="40">
        <f t="shared" ref="F43:M43" si="12">+E43+F39+E48</f>
        <v>63247.664270000074</v>
      </c>
      <c r="G43" s="103">
        <f>+F43+G39+F48</f>
        <v>54904.324270000077</v>
      </c>
      <c r="H43" s="39">
        <f t="shared" si="12"/>
        <v>49811.244270000083</v>
      </c>
      <c r="I43" s="40">
        <f t="shared" si="12"/>
        <v>48439.924270000083</v>
      </c>
      <c r="J43" s="60">
        <f t="shared" si="12"/>
        <v>44479.744270000083</v>
      </c>
      <c r="K43" s="114">
        <f t="shared" si="12"/>
        <v>40689.604270000083</v>
      </c>
      <c r="L43" s="40">
        <f t="shared" si="12"/>
        <v>36416.174270000083</v>
      </c>
      <c r="M43" s="60">
        <f t="shared" si="12"/>
        <v>31595.864270000082</v>
      </c>
    </row>
    <row r="44" spans="1:18" x14ac:dyDescent="0.35">
      <c r="C44" s="96"/>
      <c r="D44" s="170"/>
      <c r="E44" s="16"/>
      <c r="F44" s="16"/>
      <c r="G44" s="16"/>
      <c r="H44" s="9"/>
      <c r="I44" s="16"/>
      <c r="J44" s="10"/>
      <c r="K44" s="16"/>
      <c r="L44" s="16"/>
      <c r="M44" s="10"/>
    </row>
    <row r="45" spans="1:18" x14ac:dyDescent="0.35">
      <c r="A45" s="38" t="s">
        <v>108</v>
      </c>
      <c r="B45" s="38"/>
      <c r="C45" s="99"/>
      <c r="D45" s="180"/>
      <c r="E45" s="292">
        <f>+'PCR Cycle 3'!E45</f>
        <v>4.8565300000000004E-3</v>
      </c>
      <c r="F45" s="292">
        <f>+'PCR Cycle 3'!F45</f>
        <v>4.6890200000000003E-3</v>
      </c>
      <c r="G45" s="292">
        <f>+'PCR Cycle 3'!G45</f>
        <v>4.6108499999999997E-3</v>
      </c>
      <c r="H45" s="293">
        <f>+'PCR Cycle 3'!H45</f>
        <v>4.6177400000000004E-3</v>
      </c>
      <c r="I45" s="292">
        <f>+'PCR Cycle 3'!I45</f>
        <v>4.62145E-3</v>
      </c>
      <c r="J45" s="294">
        <f>+'PCR Cycle 3'!J45</f>
        <v>4.6276800000000003E-3</v>
      </c>
      <c r="K45" s="356">
        <f>J45</f>
        <v>4.6276800000000003E-3</v>
      </c>
      <c r="L45" s="355">
        <f>J45</f>
        <v>4.6276800000000003E-3</v>
      </c>
      <c r="M45" s="294"/>
    </row>
    <row r="46" spans="1:18" x14ac:dyDescent="0.35">
      <c r="A46" s="38" t="s">
        <v>31</v>
      </c>
      <c r="B46" s="38"/>
      <c r="C46" s="101"/>
      <c r="D46" s="181"/>
      <c r="E46" s="80"/>
      <c r="F46" s="80"/>
      <c r="G46" s="80"/>
      <c r="H46" s="81"/>
      <c r="I46" s="80"/>
      <c r="J46" s="82"/>
      <c r="K46" s="80"/>
      <c r="L46" s="80"/>
      <c r="M46" s="82"/>
    </row>
    <row r="47" spans="1:18" x14ac:dyDescent="0.35">
      <c r="A47" s="45" t="s">
        <v>22</v>
      </c>
      <c r="C47" s="342">
        <v>-1147.79</v>
      </c>
      <c r="D47" s="179"/>
      <c r="E47" s="40">
        <f>ROUND((D42+D47+E38/2)*E$45,2)</f>
        <v>595.12</v>
      </c>
      <c r="F47" s="40">
        <f t="shared" ref="F47:F48" si="13">ROUND((E42+E47+F38/2)*F$45,2)</f>
        <v>518.22</v>
      </c>
      <c r="G47" s="103">
        <f t="shared" ref="G47:G48" si="14">ROUND((F42+F47+G38/2)*G$45,2)</f>
        <v>433.44</v>
      </c>
      <c r="H47" s="39">
        <f t="shared" ref="H47:H48" si="15">ROUND((G42+G47+H38/2)*H$45,2)</f>
        <v>373.16</v>
      </c>
      <c r="I47" s="114">
        <f t="shared" ref="I47:J48" si="16">ROUND((H42+H47+I38/2)*I$45,2)</f>
        <v>341.46</v>
      </c>
      <c r="J47" s="60">
        <f t="shared" si="16"/>
        <v>318.89999999999998</v>
      </c>
      <c r="K47" s="148">
        <f t="shared" ref="K47:K48" si="17">ROUND((J42+J47+K38/2)*K$45,2)</f>
        <v>300.33</v>
      </c>
      <c r="L47" s="103">
        <f t="shared" ref="L47:L48" si="18">ROUND((K42+K47+L38/2)*L$45,2)</f>
        <v>278.48</v>
      </c>
      <c r="M47" s="60">
        <f t="shared" ref="M47:M48" si="19">ROUND((L42+L47+M38/2)*M$45,2)</f>
        <v>0</v>
      </c>
      <c r="P47" s="167">
        <f t="shared" ref="P47:P48" si="20">-SUM(K47:M47)</f>
        <v>-578.80999999999995</v>
      </c>
    </row>
    <row r="48" spans="1:18" ht="15" thickBot="1" x14ac:dyDescent="0.4">
      <c r="A48" s="45" t="s">
        <v>23</v>
      </c>
      <c r="C48" s="342">
        <v>-709.32999999999993</v>
      </c>
      <c r="D48" s="179"/>
      <c r="E48" s="40">
        <f>ROUND((D43+D48+E39/2)*E$45,2)</f>
        <v>364.49</v>
      </c>
      <c r="F48" s="40">
        <f t="shared" si="13"/>
        <v>316.18</v>
      </c>
      <c r="G48" s="103">
        <f t="shared" si="14"/>
        <v>273.12</v>
      </c>
      <c r="H48" s="39">
        <f t="shared" si="15"/>
        <v>242.41</v>
      </c>
      <c r="I48" s="114">
        <f t="shared" si="16"/>
        <v>227.59</v>
      </c>
      <c r="J48" s="60">
        <f t="shared" si="16"/>
        <v>215.53</v>
      </c>
      <c r="K48" s="148">
        <f t="shared" si="17"/>
        <v>197.57</v>
      </c>
      <c r="L48" s="103">
        <f t="shared" si="18"/>
        <v>178.87</v>
      </c>
      <c r="M48" s="60">
        <f t="shared" si="19"/>
        <v>0</v>
      </c>
      <c r="P48" s="167">
        <f t="shared" si="20"/>
        <v>-376.44</v>
      </c>
    </row>
    <row r="49" spans="1:18" ht="15.5" thickTop="1" thickBot="1" x14ac:dyDescent="0.4">
      <c r="A49" s="53" t="s">
        <v>20</v>
      </c>
      <c r="B49" s="53"/>
      <c r="C49" s="176">
        <v>0</v>
      </c>
      <c r="D49" s="182"/>
      <c r="E49" s="41">
        <f>SUM(E47:E48)+SUM(E42:E43)-E52</f>
        <v>0</v>
      </c>
      <c r="F49" s="41">
        <f t="shared" ref="F49:M49" si="21">SUM(F47:F48)+SUM(F42:F43)-F52</f>
        <v>0</v>
      </c>
      <c r="G49" s="49">
        <f t="shared" si="21"/>
        <v>0</v>
      </c>
      <c r="H49" s="50">
        <f t="shared" si="21"/>
        <v>0</v>
      </c>
      <c r="I49" s="41">
        <f t="shared" si="21"/>
        <v>0</v>
      </c>
      <c r="J49" s="61">
        <f t="shared" si="21"/>
        <v>0</v>
      </c>
      <c r="K49" s="149">
        <f t="shared" si="21"/>
        <v>0</v>
      </c>
      <c r="L49" s="49">
        <f t="shared" si="21"/>
        <v>0</v>
      </c>
      <c r="M49" s="61">
        <f t="shared" si="21"/>
        <v>0</v>
      </c>
    </row>
    <row r="50" spans="1:18" ht="15.5" thickTop="1" thickBot="1" x14ac:dyDescent="0.4">
      <c r="A50" s="53" t="s">
        <v>21</v>
      </c>
      <c r="B50" s="53"/>
      <c r="C50" s="176">
        <v>0</v>
      </c>
      <c r="D50" s="182"/>
      <c r="E50" s="41">
        <f>SUM(E47:E48)-E35</f>
        <v>0</v>
      </c>
      <c r="F50" s="41">
        <f t="shared" ref="F50:J50" si="22">SUM(F47:F48)-F35</f>
        <v>0</v>
      </c>
      <c r="G50" s="49">
        <f t="shared" ref="G50:I50" si="23">SUM(G47:G48)-G35</f>
        <v>0</v>
      </c>
      <c r="H50" s="50">
        <f t="shared" si="23"/>
        <v>0</v>
      </c>
      <c r="I50" s="41">
        <f t="shared" si="23"/>
        <v>0</v>
      </c>
      <c r="J50" s="61">
        <f t="shared" si="22"/>
        <v>0</v>
      </c>
      <c r="K50" s="150">
        <f t="shared" ref="K50:M50" si="24">SUM(K47:K48)-K35</f>
        <v>0</v>
      </c>
      <c r="L50" s="41">
        <f t="shared" si="24"/>
        <v>0</v>
      </c>
      <c r="M50" s="41">
        <f t="shared" si="24"/>
        <v>0</v>
      </c>
    </row>
    <row r="51" spans="1:18" ht="15.5" thickTop="1" thickBot="1" x14ac:dyDescent="0.4">
      <c r="C51" s="96"/>
      <c r="D51" s="170"/>
      <c r="E51" s="16"/>
      <c r="F51" s="16"/>
      <c r="G51" s="16"/>
      <c r="H51" s="9"/>
      <c r="I51" s="16"/>
      <c r="J51" s="10"/>
      <c r="K51" s="16"/>
      <c r="L51" s="16"/>
      <c r="M51" s="10"/>
    </row>
    <row r="52" spans="1:18" ht="15" thickBot="1" x14ac:dyDescent="0.4">
      <c r="A52" s="45" t="s">
        <v>30</v>
      </c>
      <c r="B52" s="111">
        <f>+B42+B43</f>
        <v>135589.47426999974</v>
      </c>
      <c r="C52" s="175">
        <f t="shared" ref="C52:M52" si="25">(C15-SUM(C18:C21))+SUM(C47:C48)+B52</f>
        <v>206523.20426999975</v>
      </c>
      <c r="D52" s="179">
        <f t="shared" si="25"/>
        <v>206523.20426999975</v>
      </c>
      <c r="E52" s="40">
        <f t="shared" si="25"/>
        <v>189622.25426999974</v>
      </c>
      <c r="F52" s="40">
        <f>(F15-SUM(F18:F21))+SUM(F47:F48)+E52</f>
        <v>167104.20426999975</v>
      </c>
      <c r="G52" s="103">
        <f>(G15-SUM(G18:G21))+SUM(G47:G48)+F52</f>
        <v>140078.30426999976</v>
      </c>
      <c r="H52" s="39">
        <f>(H15-SUM(H18:H21))+SUM(H47:H48)+G52</f>
        <v>127144.02426999976</v>
      </c>
      <c r="I52" s="40">
        <f>(I15-SUM(I18:I21))+SUM(I47:I48)+H52</f>
        <v>119689.43426999977</v>
      </c>
      <c r="J52" s="60">
        <f>(J15-SUM(J18:J21))+SUM(J47:J48)+I52</f>
        <v>111813.44426999976</v>
      </c>
      <c r="K52" s="148">
        <f t="shared" si="25"/>
        <v>103866.86426999976</v>
      </c>
      <c r="L52" s="103">
        <f t="shared" si="25"/>
        <v>94247.354269999763</v>
      </c>
      <c r="M52" s="60">
        <f t="shared" si="25"/>
        <v>81468.794269999766</v>
      </c>
      <c r="Q52" s="515"/>
      <c r="R52" s="515"/>
    </row>
    <row r="53" spans="1:18" x14ac:dyDescent="0.35">
      <c r="A53" s="45" t="s">
        <v>10</v>
      </c>
      <c r="C53" s="112"/>
      <c r="D53" s="183"/>
      <c r="E53" s="16"/>
      <c r="F53" s="16"/>
      <c r="G53" s="16"/>
      <c r="H53" s="9"/>
      <c r="I53" s="16"/>
      <c r="J53" s="10"/>
      <c r="K53" s="16"/>
      <c r="L53" s="16"/>
      <c r="M53" s="10"/>
      <c r="Q53" s="515"/>
      <c r="R53" s="515"/>
    </row>
    <row r="54" spans="1:18" ht="15" thickBot="1" x14ac:dyDescent="0.4">
      <c r="A54" s="36"/>
      <c r="B54" s="36"/>
      <c r="C54" s="135"/>
      <c r="D54" s="184"/>
      <c r="E54" s="43"/>
      <c r="F54" s="43"/>
      <c r="G54" s="43"/>
      <c r="H54" s="42"/>
      <c r="I54" s="43"/>
      <c r="J54" s="44"/>
      <c r="K54" s="43"/>
      <c r="L54" s="43"/>
      <c r="M54" s="44"/>
    </row>
    <row r="56" spans="1:18" x14ac:dyDescent="0.35">
      <c r="A56" s="68" t="s">
        <v>9</v>
      </c>
      <c r="B56" s="68"/>
      <c r="C56" s="68"/>
      <c r="D56" s="68"/>
    </row>
    <row r="57" spans="1:18" ht="34.5" customHeight="1" x14ac:dyDescent="0.35">
      <c r="A57" s="529" t="s">
        <v>197</v>
      </c>
      <c r="B57" s="529"/>
      <c r="C57" s="529"/>
      <c r="D57" s="529"/>
      <c r="E57" s="529"/>
      <c r="F57" s="529"/>
      <c r="G57" s="529"/>
      <c r="H57" s="529"/>
      <c r="I57" s="529"/>
      <c r="J57" s="529"/>
      <c r="K57" s="522"/>
      <c r="L57" s="133"/>
      <c r="M57" s="133"/>
    </row>
    <row r="58" spans="1:18" ht="56.5" customHeight="1" x14ac:dyDescent="0.35">
      <c r="A58" s="529" t="s">
        <v>260</v>
      </c>
      <c r="B58" s="529"/>
      <c r="C58" s="529"/>
      <c r="D58" s="529"/>
      <c r="E58" s="529"/>
      <c r="F58" s="529"/>
      <c r="G58" s="529"/>
      <c r="H58" s="529"/>
      <c r="I58" s="529"/>
      <c r="J58" s="529"/>
      <c r="K58" s="529"/>
      <c r="L58" s="133"/>
      <c r="M58" s="133"/>
    </row>
    <row r="59" spans="1:18" ht="33.75" customHeight="1" x14ac:dyDescent="0.35">
      <c r="A59" s="529" t="s">
        <v>198</v>
      </c>
      <c r="B59" s="529"/>
      <c r="C59" s="529"/>
      <c r="D59" s="529"/>
      <c r="E59" s="529"/>
      <c r="F59" s="529"/>
      <c r="G59" s="529"/>
      <c r="H59" s="529"/>
      <c r="I59" s="529"/>
      <c r="J59" s="529"/>
      <c r="K59" s="522"/>
      <c r="L59" s="133"/>
      <c r="M59" s="133"/>
    </row>
    <row r="60" spans="1:18" x14ac:dyDescent="0.35">
      <c r="A60" s="529" t="s">
        <v>220</v>
      </c>
      <c r="B60" s="529"/>
      <c r="C60" s="529"/>
      <c r="D60" s="529"/>
      <c r="E60" s="529"/>
      <c r="F60" s="529"/>
      <c r="G60" s="529"/>
      <c r="H60" s="529"/>
      <c r="I60" s="529"/>
      <c r="J60" s="529"/>
      <c r="K60" s="529"/>
    </row>
    <row r="61" spans="1:18" x14ac:dyDescent="0.35">
      <c r="A61" s="412" t="s">
        <v>264</v>
      </c>
      <c r="B61" s="412"/>
      <c r="C61" s="412"/>
      <c r="D61" s="412"/>
      <c r="E61" s="392"/>
      <c r="F61" s="392"/>
      <c r="G61" s="392"/>
      <c r="H61" s="392"/>
      <c r="I61" s="392"/>
      <c r="J61" s="392"/>
      <c r="K61" s="392"/>
    </row>
    <row r="62" spans="1:18" x14ac:dyDescent="0.35">
      <c r="A62" s="412" t="s">
        <v>61</v>
      </c>
      <c r="B62" s="412"/>
      <c r="C62" s="412"/>
      <c r="D62" s="412"/>
      <c r="E62" s="392"/>
      <c r="F62" s="392"/>
      <c r="G62" s="392"/>
      <c r="H62" s="392"/>
      <c r="I62" s="392"/>
      <c r="J62" s="392"/>
      <c r="K62" s="392"/>
    </row>
    <row r="63" spans="1:18" x14ac:dyDescent="0.35">
      <c r="A63" s="412" t="s">
        <v>164</v>
      </c>
      <c r="B63" s="412"/>
      <c r="C63" s="412"/>
      <c r="D63" s="412"/>
      <c r="E63" s="392"/>
      <c r="F63" s="392"/>
      <c r="G63" s="392"/>
      <c r="H63" s="392"/>
      <c r="I63" s="392"/>
      <c r="J63" s="392"/>
      <c r="K63" s="392"/>
    </row>
  </sheetData>
  <mergeCells count="7">
    <mergeCell ref="A60:K60"/>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 xml:space="preserve">&amp;R_x000D_&amp;1#&amp;"Calibri"&amp;10&amp;KA80000 Restricted – Sensitive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3B6732D9B8AC45B92AC23C294CFAF4" ma:contentTypeVersion="14" ma:contentTypeDescription="Create a new document." ma:contentTypeScope="" ma:versionID="50158a9194694b93fc7e9284851ccf96">
  <xsd:schema xmlns:xsd="http://www.w3.org/2001/XMLSchema" xmlns:xs="http://www.w3.org/2001/XMLSchema" xmlns:p="http://schemas.microsoft.com/office/2006/metadata/properties" xmlns:ns1="http://schemas.microsoft.com/sharepoint/v3" xmlns:ns2="ac490600-4b8a-4089-8db0-d3461bbed9a9" xmlns:ns3="854f6eb9-76cf-4368-a46f-84f4be2bef9a" targetNamespace="http://schemas.microsoft.com/office/2006/metadata/properties" ma:root="true" ma:fieldsID="397afa3cd94612bbe8907ad9aa52df58" ns1:_="" ns2:_="" ns3:_="">
    <xsd:import namespace="http://schemas.microsoft.com/sharepoint/v3"/>
    <xsd:import namespace="ac490600-4b8a-4089-8db0-d3461bbed9a9"/>
    <xsd:import namespace="854f6eb9-76cf-4368-a46f-84f4be2bef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90600-4b8a-4089-8db0-d3461bbed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ede806c-d2cf-4c46-a211-32d1573fcf0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4f6eb9-76cf-4368-a46f-84f4be2bef9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700ed5c-b17b-44a6-a19c-5d7c9e773f44}" ma:internalName="TaxCatchAll" ma:showField="CatchAllData" ma:web="854f6eb9-76cf-4368-a46f-84f4be2be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TaxCatchAll xmlns="854f6eb9-76cf-4368-a46f-84f4be2bef9a" xsi:nil="true"/>
    <lcf76f155ced4ddcb4097134ff3c332f xmlns="ac490600-4b8a-4089-8db0-d3461bbed9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C86C5-3FEB-4646-AC49-090609A5D104}"/>
</file>

<file path=customXml/itemProps2.xml><?xml version="1.0" encoding="utf-8"?>
<ds:datastoreItem xmlns:ds="http://schemas.openxmlformats.org/officeDocument/2006/customXml" ds:itemID="{BBE680F6-EEBC-41A4-AEB5-0B773B5EACA2}">
  <ds:schemaRefs>
    <ds:schemaRef ds:uri="http://schemas.microsoft.com/office/infopath/2007/PartnerControls"/>
    <ds:schemaRef ds:uri="http://www.w3.org/XML/1998/namespace"/>
    <ds:schemaRef ds:uri="http://schemas.microsoft.com/office/2006/documentManagement/types"/>
    <ds:schemaRef ds:uri="http://purl.org/dc/elements/1.1/"/>
    <ds:schemaRef ds:uri="e671dda1-c4dd-4158-a073-4aef9b50df6e"/>
    <ds:schemaRef ds:uri="http://schemas.microsoft.com/sharepoint/v3"/>
    <ds:schemaRef ds:uri="http://purl.org/dc/terms/"/>
    <ds:schemaRef ds:uri="http://purl.org/dc/dcmitype/"/>
    <ds:schemaRef ds:uri="http://schemas.openxmlformats.org/package/2006/metadata/core-properties"/>
    <ds:schemaRef ds:uri="9bb15880-a89a-4599-bc05-3c1ac81ecb24"/>
    <ds:schemaRef ds:uri="http://schemas.microsoft.com/office/2006/metadata/properties"/>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Metadata/LabelInfo.xml><?xml version="1.0" encoding="utf-8"?>
<clbl:labelList xmlns:clbl="http://schemas.microsoft.com/office/2020/mipLabelMetadata">
  <clbl:label id="{c4ea03cb-2792-4bbc-b221-0721aa9d3290}" enabled="1" method="Privileged" siteId="{9ef58ab0-3510-4d99-8d3e-3c9e02ebab7f}"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Index Table of Contents</vt:lpstr>
      <vt:lpstr>Tariff Tables</vt:lpstr>
      <vt:lpstr>DSIM Cycle Tables</vt:lpstr>
      <vt:lpstr>PPC Cycle 4</vt:lpstr>
      <vt:lpstr>PCR Cycle 3</vt:lpstr>
      <vt:lpstr>PCR Cycle 4</vt:lpstr>
      <vt:lpstr>PTD Cycle 3</vt:lpstr>
      <vt:lpstr>PTD Cycle 4</vt:lpstr>
      <vt:lpstr>TDR Cycle 2</vt:lpstr>
      <vt:lpstr>TDR Cycle 3</vt:lpstr>
      <vt:lpstr>TDR Cycle 4</vt:lpstr>
      <vt:lpstr>EO Cycle 2</vt:lpstr>
      <vt:lpstr>EO Cycle 3</vt:lpstr>
      <vt:lpstr>EO Cycle 4</vt:lpstr>
      <vt:lpstr>EOR Cycle 2</vt:lpstr>
      <vt:lpstr>EOR Cycle 3</vt:lpstr>
      <vt:lpstr>OA Cycle 3</vt:lpstr>
      <vt:lpstr>OAR Cycle 3</vt:lpstr>
      <vt:lpstr>'PCR Cycle 3'!Print_Area</vt:lpstr>
      <vt:lpstr>'PCR Cycle 4'!Print_Area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2025-06-02T13:11:52Z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0x010100683B6732D9B8AC45B92AC23C294CFAF4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2022-11-08T16:29:14Z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636e1bc7-477d-40da-aa64-7b585cb78bc9</vt:lpwstr>
  </property>
  <property fmtid="{D5CDD505-2E9C-101B-9397-08002B2CF9AE}" pid="11" name="MSIP_Label_d275ac46-98b9-4d64-949f-e82ee8dc823c_ContentBits">
    <vt:lpwstr>3</vt:lpwstr>
  </property>
  <property fmtid="{D5CDD505-2E9C-101B-9397-08002B2CF9AE}" pid="12" name="Order">
    <vt:r8>8544200</vt:r8>
  </property>
  <property fmtid="{D5CDD505-2E9C-101B-9397-08002B2CF9AE}" pid="13" name="MediaServiceImageTags">
    <vt:lpwstr/>
  </property>
</Properties>
</file>