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N:\RESRAM\Rate Filings\September 2025\"/>
    </mc:Choice>
  </mc:AlternateContent>
  <xr:revisionPtr revIDLastSave="0" documentId="14_{D6016F02-17AF-4D81-BDD1-DD96EE5C9AE6}" xr6:coauthVersionLast="47" xr6:coauthVersionMax="47" xr10:uidLastSave="{00000000-0000-0000-0000-000000000000}"/>
  <bookViews>
    <workbookView xWindow="-120" yWindow="-120" windowWidth="29040" windowHeight="15720" xr2:uid="{2709060D-9C2E-4306-84D9-78395BB6CFFD}"/>
  </bookViews>
  <sheets>
    <sheet name="Monthly Cost Tracker 5" sheetId="63" r:id="rId1"/>
    <sheet name="Monthly Cost Tracker 6" sheetId="62" r:id="rId2"/>
    <sheet name="Monthly Cost Tracker 7" sheetId="67" r:id="rId3"/>
    <sheet name="True-Up" sheetId="32" r:id="rId4"/>
    <sheet name="Rate Schedule" sheetId="2" r:id="rId5"/>
    <sheet name="RRR" sheetId="9" r:id="rId6"/>
    <sheet name="ER-2024-0319" sheetId="84" r:id="rId7"/>
    <sheet name="SRP" sheetId="10" r:id="rId8"/>
    <sheet name="WACC_thru May 31" sheetId="85" r:id="rId9"/>
    <sheet name="WACC_beg Jun 1" sheetId="86" r:id="rId10"/>
    <sheet name="Rate Base" sheetId="48" r:id="rId11"/>
    <sheet name="Aug 24 Int" sheetId="68" r:id="rId12"/>
    <sheet name="Sept 24 Int" sheetId="69" r:id="rId13"/>
    <sheet name="Oct 24 Int" sheetId="70" r:id="rId14"/>
    <sheet name="Nov 24 Int" sheetId="71" r:id="rId15"/>
    <sheet name="Dec 24 Int" sheetId="72" r:id="rId16"/>
    <sheet name="Jan 25 Int" sheetId="73" r:id="rId17"/>
    <sheet name="Feb 25 Int" sheetId="74" r:id="rId18"/>
    <sheet name="Mar 25 Int" sheetId="75" r:id="rId19"/>
    <sheet name="Apr 25 Int" sheetId="76" r:id="rId20"/>
    <sheet name="May 25 Int" sheetId="77" r:id="rId21"/>
    <sheet name="Jun 25 Int" sheetId="78" r:id="rId22"/>
    <sheet name="Jul 25 Int" sheetId="79" r:id="rId23"/>
  </sheets>
  <definedNames>
    <definedName name="\a">#N/A</definedName>
    <definedName name="\b">#N/A</definedName>
    <definedName name="\i">#N/A</definedName>
    <definedName name="\p" localSheetId="6">#REF!</definedName>
    <definedName name="\p" localSheetId="0">#REF!</definedName>
    <definedName name="\p" localSheetId="1">#REF!</definedName>
    <definedName name="\p" localSheetId="2">#REF!</definedName>
    <definedName name="\p" localSheetId="10">#REF!</definedName>
    <definedName name="\p" localSheetId="8">#REF!</definedName>
    <definedName name="\p">#REF!</definedName>
    <definedName name="\r">#N/A</definedName>
    <definedName name="\t">#N/A</definedName>
    <definedName name="__MISO_Hrly_Spec_Gross_Purchases_01" localSheetId="9" hidden="1">#REF!</definedName>
    <definedName name="__MISO_Hrly_Spec_Gross_Purchases_01" localSheetId="8" hidden="1">#REF!</definedName>
    <definedName name="__MISO_Hrly_Spec_Gross_Purchases_01" hidden="1">#REF!</definedName>
    <definedName name="__MISO_Hrly_Spec_Gross_Sales_01" localSheetId="9" hidden="1">#REF!</definedName>
    <definedName name="__MISO_Hrly_Spec_Gross_Sales_01" localSheetId="8" hidden="1">#REF!</definedName>
    <definedName name="__MISO_Hrly_Spec_Gross_Sales_01" hidden="1">#REF!</definedName>
    <definedName name="__ORIG_COST_TRAN_MW_AVG_ORG_PURCH_PRICE_for_01" localSheetId="9" hidden="1">#REF!</definedName>
    <definedName name="__ORIG_COST_TRAN_MW_AVG_ORG_PURCH_PRICE_for_01" localSheetId="8" hidden="1">#REF!</definedName>
    <definedName name="__ORIG_COST_TRAN_MW_AVG_ORG_PURCH_PRICE_for_01" hidden="1">#REF!</definedName>
    <definedName name="__ORIG_COST_TRAN_MW_AVG_ORG_PURCH_PRICE_for_02" localSheetId="9" hidden="1">#REF!</definedName>
    <definedName name="__ORIG_COST_TRAN_MW_AVG_ORG_PURCH_PRICE_for_02" localSheetId="8" hidden="1">#REF!</definedName>
    <definedName name="__ORIG_COST_TRAN_MW_AVG_ORG_PURCH_PRICE_for_02" hidden="1">#REF!</definedName>
    <definedName name="__ORIG_COST_TRAN_MW_AVG_ORG_PURCH_PRICE_for_MISO_01" localSheetId="9" hidden="1">#REF!</definedName>
    <definedName name="__ORIG_COST_TRAN_MW_AVG_ORG_PURCH_PRICE_for_MISO_01" localSheetId="8" hidden="1">#REF!</definedName>
    <definedName name="__ORIG_COST_TRAN_MW_AVG_ORG_PURCH_PRICE_for_MISO_01" hidden="1">#REF!</definedName>
    <definedName name="__REVENUE_TRAN_MW_AVG_ORG_SALES_PRICE_for_April_02" localSheetId="9" hidden="1">#REF!</definedName>
    <definedName name="__REVENUE_TRAN_MW_AVG_ORG_SALES_PRICE_for_April_02" localSheetId="8" hidden="1">#REF!</definedName>
    <definedName name="__REVENUE_TRAN_MW_AVG_ORG_SALES_PRICE_for_April_02" hidden="1">#REF!</definedName>
    <definedName name="__REVENUE_TRAN_MW_AVG_ORG_SALES_PRICE_for_MISO_01" localSheetId="9" hidden="1">#REF!</definedName>
    <definedName name="__REVENUE_TRAN_MW_AVG_ORG_SALES_PRICE_for_MISO_01" localSheetId="8" hidden="1">#REF!</definedName>
    <definedName name="__REVENUE_TRAN_MW_AVG_ORG_SALES_PRICE_for_MISO_01" hidden="1">#REF!</definedName>
    <definedName name="_10JE220_WP" localSheetId="6">#REF!</definedName>
    <definedName name="_10JE220_WP" localSheetId="2">#REF!</definedName>
    <definedName name="_10JE220_WP" localSheetId="8">#REF!</definedName>
    <definedName name="_10JE220_WP">#REF!</definedName>
    <definedName name="_4mcc" localSheetId="9">#REF!</definedName>
    <definedName name="_4mcc" localSheetId="8">#REF!</definedName>
    <definedName name="_4mcc">#REF!</definedName>
    <definedName name="_4mkvar" localSheetId="9">#REF!</definedName>
    <definedName name="_4mkvar" localSheetId="8">#REF!</definedName>
    <definedName name="_4mkvar">#REF!</definedName>
    <definedName name="_4mrdrb34" localSheetId="9">#REF!</definedName>
    <definedName name="_4mrdrb34" localSheetId="8">#REF!</definedName>
    <definedName name="_4mrdrb34">#REF!</definedName>
    <definedName name="_4mskw" localSheetId="9">#REF!</definedName>
    <definedName name="_4mskw" localSheetId="8">#REF!</definedName>
    <definedName name="_4mskw">#REF!</definedName>
    <definedName name="_4mskwh1" localSheetId="9">#REF!</definedName>
    <definedName name="_4mskwh1" localSheetId="8">#REF!</definedName>
    <definedName name="_4mskwh1">#REF!</definedName>
    <definedName name="_4mskwh2" localSheetId="9">#REF!</definedName>
    <definedName name="_4mskwh2" localSheetId="8">#REF!</definedName>
    <definedName name="_4mskwh2">#REF!</definedName>
    <definedName name="_4mskwh3" localSheetId="9">#REF!</definedName>
    <definedName name="_4mskwh3" localSheetId="8">#REF!</definedName>
    <definedName name="_4mskwh3">#REF!</definedName>
    <definedName name="_4mtsoffpk" localSheetId="9">#REF!</definedName>
    <definedName name="_4mtsoffpk" localSheetId="8">#REF!</definedName>
    <definedName name="_4mtsoffpk">#REF!</definedName>
    <definedName name="_4mtspk" localSheetId="9">#REF!</definedName>
    <definedName name="_4mtspk" localSheetId="8">#REF!</definedName>
    <definedName name="_4mtspk">#REF!</definedName>
    <definedName name="_4mtwoffpk" localSheetId="9">#REF!</definedName>
    <definedName name="_4mtwoffpk" localSheetId="8">#REF!</definedName>
    <definedName name="_4mtwoffpk">#REF!</definedName>
    <definedName name="_4mtwpk" localSheetId="9">#REF!</definedName>
    <definedName name="_4mtwpk" localSheetId="8">#REF!</definedName>
    <definedName name="_4mtwpk">#REF!</definedName>
    <definedName name="_4mwkw" localSheetId="9">#REF!</definedName>
    <definedName name="_4mwkw" localSheetId="8">#REF!</definedName>
    <definedName name="_4mwkw">#REF!</definedName>
    <definedName name="_4mwkwh1" localSheetId="9">#REF!</definedName>
    <definedName name="_4mwkwh1" localSheetId="8">#REF!</definedName>
    <definedName name="_4mwkwh1">#REF!</definedName>
    <definedName name="_4mwkwh2" localSheetId="9">#REF!</definedName>
    <definedName name="_4mwkwh2" localSheetId="8">#REF!</definedName>
    <definedName name="_4mwkwh2">#REF!</definedName>
    <definedName name="_4mwkwh3" localSheetId="9">#REF!</definedName>
    <definedName name="_4mwkwh3" localSheetId="8">#REF!</definedName>
    <definedName name="_4mwkwh3">#REF!</definedName>
    <definedName name="_4mwkwhs" localSheetId="9">#REF!</definedName>
    <definedName name="_4mwkwhs" localSheetId="8">#REF!</definedName>
    <definedName name="_4mwkwhs">#REF!</definedName>
    <definedName name="_AMO_UniqueIdentifier" hidden="1">"'6416d6e6-63ab-455c-ace6-43b18e7dad2f'"</definedName>
    <definedName name="_Fill" localSheetId="6" hidden="1">#REF!</definedName>
    <definedName name="_Fill" localSheetId="2" hidden="1">#REF!</definedName>
    <definedName name="_Fill" localSheetId="8" hidden="1">#REF!</definedName>
    <definedName name="_Fill" hidden="1">#REF!</definedName>
    <definedName name="_fill2" localSheetId="6" hidden="1">#REF!</definedName>
    <definedName name="_fill2" localSheetId="2" hidden="1">#REF!</definedName>
    <definedName name="_fill2" localSheetId="8" hidden="1">#REF!</definedName>
    <definedName name="_fill2" hidden="1">#REF!</definedName>
    <definedName name="_je1" localSheetId="6">#REF!</definedName>
    <definedName name="_je1" localSheetId="2">#REF!</definedName>
    <definedName name="_je1" localSheetId="8">#REF!</definedName>
    <definedName name="_je1">#REF!</definedName>
    <definedName name="_JE124" localSheetId="6">#REF!</definedName>
    <definedName name="_JE124" localSheetId="2">#REF!</definedName>
    <definedName name="_JE124" localSheetId="8">#REF!</definedName>
    <definedName name="_JE124">#REF!</definedName>
    <definedName name="_JE13" localSheetId="6">#REF!</definedName>
    <definedName name="_JE13" localSheetId="2">#REF!</definedName>
    <definedName name="_JE13" localSheetId="8">#REF!</definedName>
    <definedName name="_JE13">#REF!</definedName>
    <definedName name="_je14" localSheetId="6">#REF!</definedName>
    <definedName name="_je14" localSheetId="2">#REF!</definedName>
    <definedName name="_je14" localSheetId="8">#REF!</definedName>
    <definedName name="_je14">#REF!</definedName>
    <definedName name="_JE147" localSheetId="6">#REF!</definedName>
    <definedName name="_JE147" localSheetId="2">#REF!</definedName>
    <definedName name="_JE147" localSheetId="8">#REF!</definedName>
    <definedName name="_JE147">#REF!</definedName>
    <definedName name="_JE16" localSheetId="6">#REF!</definedName>
    <definedName name="_JE16" localSheetId="2">#REF!</definedName>
    <definedName name="_JE16" localSheetId="8">#REF!</definedName>
    <definedName name="_JE16">#REF!</definedName>
    <definedName name="_JE17" localSheetId="6">#REF!</definedName>
    <definedName name="_JE17" localSheetId="2">#REF!</definedName>
    <definedName name="_JE17" localSheetId="8">#REF!</definedName>
    <definedName name="_JE17">#REF!</definedName>
    <definedName name="_je2" localSheetId="6">#REF!</definedName>
    <definedName name="_je2" localSheetId="2">#REF!</definedName>
    <definedName name="_je2" localSheetId="9">#REF!</definedName>
    <definedName name="_je2" localSheetId="8">#REF!</definedName>
    <definedName name="_je2">#REF!</definedName>
    <definedName name="_JE220" localSheetId="6">#REF!</definedName>
    <definedName name="_JE220" localSheetId="2">#REF!</definedName>
    <definedName name="_JE220" localSheetId="8">#REF!</definedName>
    <definedName name="_JE220">#REF!</definedName>
    <definedName name="_JE230" localSheetId="6">#REF!</definedName>
    <definedName name="_JE230" localSheetId="2">#REF!</definedName>
    <definedName name="_JE230" localSheetId="8">#REF!</definedName>
    <definedName name="_JE230">#REF!</definedName>
    <definedName name="_JE234" localSheetId="6">#REF!</definedName>
    <definedName name="_JE234" localSheetId="2">#REF!</definedName>
    <definedName name="_JE234" localSheetId="8">#REF!</definedName>
    <definedName name="_JE234">#REF!</definedName>
    <definedName name="_JE236" localSheetId="6">#REF!</definedName>
    <definedName name="_JE236" localSheetId="2">#REF!</definedName>
    <definedName name="_JE236" localSheetId="8">#REF!</definedName>
    <definedName name="_JE236">#REF!</definedName>
    <definedName name="_JE237" localSheetId="6">#REF!</definedName>
    <definedName name="_JE237" localSheetId="2">#REF!</definedName>
    <definedName name="_JE237" localSheetId="8">#REF!</definedName>
    <definedName name="_JE237">#REF!</definedName>
    <definedName name="_JE24" localSheetId="6">#REF!</definedName>
    <definedName name="_JE24" localSheetId="2">#REF!</definedName>
    <definedName name="_JE24" localSheetId="8">#REF!</definedName>
    <definedName name="_JE24">#REF!</definedName>
    <definedName name="_JE33" localSheetId="6">#REF!</definedName>
    <definedName name="_JE33" localSheetId="2">#REF!</definedName>
    <definedName name="_JE33" localSheetId="8">#REF!</definedName>
    <definedName name="_JE33">#REF!</definedName>
    <definedName name="_Key1" localSheetId="6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8" hidden="1">#REF!</definedName>
    <definedName name="_Key1" hidden="1">#REF!</definedName>
    <definedName name="_Order1" hidden="1">255</definedName>
    <definedName name="_Order2">255</definedName>
    <definedName name="_ORIG_COST_TRAN_MW_AVG_ORG_PURCH_PRICE_for_MISO_00" localSheetId="9" hidden="1">#REF!</definedName>
    <definedName name="_ORIG_COST_TRAN_MW_AVG_ORG_PURCH_PRICE_for_MISO_00" localSheetId="8" hidden="1">#REF!</definedName>
    <definedName name="_ORIG_COST_TRAN_MW_AVG_ORG_PURCH_PRICE_for_MISO_00" hidden="1">#REF!</definedName>
    <definedName name="_pcSlicerSheet_Slicer1" localSheetId="6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localSheetId="3" hidden="1">#REF!</definedName>
    <definedName name="_pcSlicerSheet_Slicer1" localSheetId="8" hidden="1">#REF!</definedName>
    <definedName name="_pcSlicerSheet_Slicer1" hidden="1">#REF!</definedName>
    <definedName name="_pcSlicerSheet1_Slicer1" localSheetId="6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localSheetId="3" hidden="1">#REF!</definedName>
    <definedName name="_pcSlicerSheet1_Slicer1" localSheetId="8" hidden="1">#REF!</definedName>
    <definedName name="_pcSlicerSheet1_Slicer1" hidden="1">#REF!</definedName>
    <definedName name="_pcSlicerSheet2_Slicer1" localSheetId="9" hidden="1">#REF!</definedName>
    <definedName name="_pcSlicerSheet2_Slicer1" localSheetId="8" hidden="1">#REF!</definedName>
    <definedName name="_pcSlicerSheet2_Slicer1" hidden="1">#REF!</definedName>
    <definedName name="_pcSlicerSheet3_Slicer1" localSheetId="9" hidden="1">#REF!</definedName>
    <definedName name="_pcSlicerSheet3_Slicer1" localSheetId="8" hidden="1">#REF!</definedName>
    <definedName name="_pcSlicerSheet3_Slicer1" hidden="1">#REF!</definedName>
    <definedName name="_pcSlicerSheet4_Slicer1" localSheetId="9" hidden="1">#REF!</definedName>
    <definedName name="_pcSlicerSheet4_Slicer1" localSheetId="8" hidden="1">#REF!</definedName>
    <definedName name="_pcSlicerSheet4_Slicer1" hidden="1">#REF!</definedName>
    <definedName name="_pcSlicerSheet5_Slicer1" localSheetId="9" hidden="1">#REF!</definedName>
    <definedName name="_pcSlicerSheet5_Slicer1" localSheetId="8" hidden="1">#REF!</definedName>
    <definedName name="_pcSlicerSheet5_Slicer1" hidden="1">#REF!</definedName>
    <definedName name="_pcSlicerSheet6_Slicer1" localSheetId="9" hidden="1">#REF!</definedName>
    <definedName name="_pcSlicerSheet6_Slicer1" localSheetId="8" hidden="1">#REF!</definedName>
    <definedName name="_pcSlicerSheet6_Slicer1" hidden="1">#REF!</definedName>
    <definedName name="_pcSlicerSheet7_Slicer1" localSheetId="9" hidden="1">#REF!</definedName>
    <definedName name="_pcSlicerSheet7_Slicer1" localSheetId="8" hidden="1">#REF!</definedName>
    <definedName name="_pcSlicerSheet7_Slicer1" hidden="1">#REF!</definedName>
    <definedName name="_pcSlicerSheet8_Slicer1" localSheetId="9" hidden="1">#REF!</definedName>
    <definedName name="_pcSlicerSheet8_Slicer1" localSheetId="8" hidden="1">#REF!</definedName>
    <definedName name="_pcSlicerSheet8_Slicer1" hidden="1">#REF!</definedName>
    <definedName name="_pcSlicerSheet9_Slicer1" localSheetId="9" hidden="1">#REF!</definedName>
    <definedName name="_pcSlicerSheet9_Slicer1" localSheetId="8" hidden="1">#REF!</definedName>
    <definedName name="_pcSlicerSheet9_Slicer1" hidden="1">#REF!</definedName>
    <definedName name="_pg1" localSheetId="6">#REF!</definedName>
    <definedName name="_pg1" localSheetId="0">#REF!</definedName>
    <definedName name="_pg1" localSheetId="1">#REF!</definedName>
    <definedName name="_pg1" localSheetId="2">#REF!</definedName>
    <definedName name="_pg1" localSheetId="3">#REF!</definedName>
    <definedName name="_pg1" localSheetId="8">#REF!</definedName>
    <definedName name="_pg1">#REF!</definedName>
    <definedName name="_PG2" localSheetId="6">#REF!</definedName>
    <definedName name="_PG2" localSheetId="0">#REF!</definedName>
    <definedName name="_PG2" localSheetId="1">#REF!</definedName>
    <definedName name="_PG2" localSheetId="2">#REF!</definedName>
    <definedName name="_PG2" localSheetId="3">#REF!</definedName>
    <definedName name="_PG2" localSheetId="8">#REF!</definedName>
    <definedName name="_PG2">#REF!</definedName>
    <definedName name="_q1" localSheetId="6">PAGE5</definedName>
    <definedName name="_q1" localSheetId="2">PAGE5</definedName>
    <definedName name="_q1" localSheetId="9">PAGE5</definedName>
    <definedName name="_q1" localSheetId="8">PAGE5</definedName>
    <definedName name="_q1">PAGE5</definedName>
    <definedName name="_REVENUE_TRAN_MW_AVG_ORG_SALES_PRICE_for_April_00" localSheetId="9" hidden="1">#REF!</definedName>
    <definedName name="_REVENUE_TRAN_MW_AVG_ORG_SALES_PRICE_for_April_00" localSheetId="8" hidden="1">#REF!</definedName>
    <definedName name="_REVENUE_TRAN_MW_AVG_ORG_SALES_PRICE_for_April_00" hidden="1">#REF!</definedName>
    <definedName name="_REVENUE_TRAN_MW_AVG_ORG_SALES_PRICE_for_MISO_00" localSheetId="9" hidden="1">#REF!</definedName>
    <definedName name="_REVENUE_TRAN_MW_AVG_ORG_SALES_PRICE_for_MISO_00" localSheetId="8" hidden="1">#REF!</definedName>
    <definedName name="_REVENUE_TRAN_MW_AVG_ORG_SALES_PRICE_for_MISO_00" hidden="1">#REF!</definedName>
    <definedName name="_SO2" localSheetId="6">#REF!</definedName>
    <definedName name="_SO2" localSheetId="2">#REF!</definedName>
    <definedName name="_SO2" localSheetId="8">#REF!</definedName>
    <definedName name="_SO2">#REF!</definedName>
    <definedName name="_Sort" localSheetId="6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8" hidden="1">#REF!</definedName>
    <definedName name="_Sort" hidden="1">#REF!</definedName>
    <definedName name="a" localSheetId="6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3" hidden="1">#REF!</definedName>
    <definedName name="a" localSheetId="8" hidden="1">#REF!</definedName>
    <definedName name="a" hidden="1">#REF!</definedName>
    <definedName name="abc" localSheetId="6">#REF!</definedName>
    <definedName name="abc" localSheetId="2">#REF!</definedName>
    <definedName name="abc" localSheetId="8">#REF!</definedName>
    <definedName name="abc">#REF!</definedName>
    <definedName name="AdjDol" localSheetId="9">OFFSET(#REF!,0,0,COUNTA(#REF!),1)</definedName>
    <definedName name="AdjDol" localSheetId="8">OFFSET(#REF!,0,0,COUNTA(#REF!),1)</definedName>
    <definedName name="AdjDol">OFFSET(#REF!,0,0,COUNTA(#REF!),1)</definedName>
    <definedName name="AdjTons" localSheetId="9">OFFSET(#REF!,0,0,COUNTA(#REF!),1)</definedName>
    <definedName name="AdjTons" localSheetId="8">OFFSET(#REF!,0,0,COUNTA(#REF!),1)</definedName>
    <definedName name="AdjTons">OFFSET(#REF!,0,0,COUNTA(#REF!),1)</definedName>
    <definedName name="amo" localSheetId="6">#REF!</definedName>
    <definedName name="amo" localSheetId="2">#REF!</definedName>
    <definedName name="amo" localSheetId="8">#REF!</definedName>
    <definedName name="amo">#REF!</definedName>
    <definedName name="Amount" localSheetId="6">#REF!</definedName>
    <definedName name="Amount" localSheetId="2">#REF!</definedName>
    <definedName name="Amount" localSheetId="8">#REF!</definedName>
    <definedName name="Amount">#REF!</definedName>
    <definedName name="AprGenDol" localSheetId="9">OFFSET(#REF!,0,0,COUNTA(#REF!),1)</definedName>
    <definedName name="AprGenDol" localSheetId="8">OFFSET(#REF!,0,0,COUNTA(#REF!),1)</definedName>
    <definedName name="AprGenDol">OFFSET(#REF!,0,0,COUNTA(#REF!),1)</definedName>
    <definedName name="AprInvDol" localSheetId="9">OFFSET(#REF!,0,0,COUNTA(#REF!),1)</definedName>
    <definedName name="AprInvDol" localSheetId="8">OFFSET(#REF!,0,0,COUNTA(#REF!),1)</definedName>
    <definedName name="AprInvDol">OFFSET(#REF!,0,0,COUNTA(#REF!),1)</definedName>
    <definedName name="AprTonInv" localSheetId="9">OFFSET(#REF!,0,0,COUNTA(#REF!),1)</definedName>
    <definedName name="AprTonInv" localSheetId="8">OFFSET(#REF!,0,0,COUNTA(#REF!),1)</definedName>
    <definedName name="AprTonInv">OFFSET(#REF!,0,0,COUNTA(#REF!),1)</definedName>
    <definedName name="AprUnits" localSheetId="9">OFFSET(#REF!,0,0,COUNTA(#REF!),1)</definedName>
    <definedName name="AprUnits" localSheetId="8">OFFSET(#REF!,0,0,COUNTA(#REF!),1)</definedName>
    <definedName name="AprUnits">OFFSET(#REF!,0,0,COUNTA(#REF!),1)</definedName>
    <definedName name="AS2DocOpenMode">"AS2DocumentEdit"</definedName>
    <definedName name="AugGenDol" localSheetId="9">OFFSET(#REF!,0,0,COUNTA(#REF!),1)</definedName>
    <definedName name="AugGenDol" localSheetId="8">OFFSET(#REF!,0,0,COUNTA(#REF!),1)</definedName>
    <definedName name="AugGenDol">OFFSET(#REF!,0,0,COUNTA(#REF!),1)</definedName>
    <definedName name="AugInvDol" localSheetId="9">OFFSET(#REF!,0,0,COUNTA(#REF!),1)</definedName>
    <definedName name="AugInvDol" localSheetId="8">OFFSET(#REF!,0,0,COUNTA(#REF!),1)</definedName>
    <definedName name="AugInvDol">OFFSET(#REF!,0,0,COUNTA(#REF!),1)</definedName>
    <definedName name="AugTonInv" localSheetId="9">OFFSET(#REF!,0,0,COUNTA(#REF!),1)</definedName>
    <definedName name="AugTonInv" localSheetId="8">OFFSET(#REF!,0,0,COUNTA(#REF!),1)</definedName>
    <definedName name="AugTonInv">OFFSET(#REF!,0,0,COUNTA(#REF!),1)</definedName>
    <definedName name="AugUnits" localSheetId="9">OFFSET(#REF!,0,0,COUNTA(#REF!),1)</definedName>
    <definedName name="AugUnits" localSheetId="8">OFFSET(#REF!,0,0,COUNTA(#REF!),1)</definedName>
    <definedName name="AugUnits">OFFSET(#REF!,0,0,COUNTA(#REF!),1)</definedName>
    <definedName name="Base_KWH" localSheetId="6">#REF!</definedName>
    <definedName name="Base_KWH" localSheetId="2">#REF!</definedName>
    <definedName name="Base_KWH" localSheetId="8">#REF!</definedName>
    <definedName name="Base_KWH">#REF!</definedName>
    <definedName name="BDGenDol" localSheetId="9">OFFSET(#REF!,0,0,COUNTA(#REF!),1)</definedName>
    <definedName name="BDGenDol" localSheetId="8">OFFSET(#REF!,0,0,COUNTA(#REF!),1)</definedName>
    <definedName name="BDGenDol">OFFSET(#REF!,0,0,COUNTA(#REF!),1)</definedName>
    <definedName name="BDInvDol" localSheetId="9">OFFSET(#REF!,0,0,COUNTA(#REF!),1)</definedName>
    <definedName name="BDInvDol" localSheetId="8">OFFSET(#REF!,0,0,COUNTA(#REF!),1)</definedName>
    <definedName name="BDInvDol">OFFSET(#REF!,0,0,COUNTA(#REF!),1)</definedName>
    <definedName name="BDTonInv" localSheetId="9">OFFSET(#REF!,0,0,COUNTA(#REF!),1)</definedName>
    <definedName name="BDTonInv" localSheetId="8">OFFSET(#REF!,0,0,COUNTA(#REF!),1)</definedName>
    <definedName name="BDTonInv">OFFSET(#REF!,0,0,COUNTA(#REF!),1)</definedName>
    <definedName name="BDUnits" localSheetId="9">OFFSET(#REF!,0,0,COUNTA(#REF!),1)</definedName>
    <definedName name="BDUnits" localSheetId="8">OFFSET(#REF!,0,0,COUNTA(#REF!),1)</definedName>
    <definedName name="BDUnits">OFFSET(#REF!,0,0,COUNTA(#REF!),1)</definedName>
    <definedName name="booka_g" localSheetId="6">#REF!</definedName>
    <definedName name="booka_g" localSheetId="2">#REF!</definedName>
    <definedName name="booka_g" localSheetId="8">#REF!</definedName>
    <definedName name="booka_g">#REF!</definedName>
    <definedName name="CilDCCoalCo" localSheetId="6">#REF!</definedName>
    <definedName name="CilDCCoalCo" localSheetId="2">#REF!</definedName>
    <definedName name="CilDCCoalCo" localSheetId="8">#REF!</definedName>
    <definedName name="CilDCCoalCo">#REF!</definedName>
    <definedName name="CilDCCurrPrior" localSheetId="6">#REF!</definedName>
    <definedName name="CilDCCurrPrior" localSheetId="2">#REF!</definedName>
    <definedName name="CilDCCurrPrior" localSheetId="8">#REF!</definedName>
    <definedName name="CilDCCurrPrior">#REF!</definedName>
    <definedName name="CilDCFuel" localSheetId="6">#REF!</definedName>
    <definedName name="CilDCFuel" localSheetId="2">#REF!</definedName>
    <definedName name="CilDCFuel" localSheetId="8">#REF!</definedName>
    <definedName name="CilDCFuel">#REF!</definedName>
    <definedName name="CilDCFuelwTax" localSheetId="6">#REF!</definedName>
    <definedName name="CilDCFuelwTax" localSheetId="2">#REF!</definedName>
    <definedName name="CilDCFuelwTax" localSheetId="8">#REF!</definedName>
    <definedName name="CilDCFuelwTax">#REF!</definedName>
    <definedName name="CilDCInvoiceType" localSheetId="6">#REF!</definedName>
    <definedName name="CilDCInvoiceType" localSheetId="2">#REF!</definedName>
    <definedName name="CilDCInvoiceType" localSheetId="8">#REF!</definedName>
    <definedName name="CilDCInvoiceType">#REF!</definedName>
    <definedName name="CilDCSourceData" localSheetId="6">#REF!</definedName>
    <definedName name="CilDCSourceData" localSheetId="2">#REF!</definedName>
    <definedName name="CilDCSourceData" localSheetId="8">#REF!</definedName>
    <definedName name="CilDCSourceData">#REF!</definedName>
    <definedName name="CilDCStats" localSheetId="6">#REF!</definedName>
    <definedName name="CilDCStats" localSheetId="2">#REF!</definedName>
    <definedName name="CilDCStats" localSheetId="8">#REF!</definedName>
    <definedName name="CilDCStats">#REF!</definedName>
    <definedName name="CilDCTransp" localSheetId="6">#REF!</definedName>
    <definedName name="CilDCTransp" localSheetId="2">#REF!</definedName>
    <definedName name="CilDCTransp" localSheetId="8">#REF!</definedName>
    <definedName name="CilDCTransp">#REF!</definedName>
    <definedName name="CilDCUnits" localSheetId="6">#REF!</definedName>
    <definedName name="CilDCUnits" localSheetId="2">#REF!</definedName>
    <definedName name="CilDCUnits" localSheetId="8">#REF!</definedName>
    <definedName name="CilDCUnits">#REF!</definedName>
    <definedName name="CilDCUnitType" localSheetId="6">#REF!</definedName>
    <definedName name="CilDCUnitType" localSheetId="2">#REF!</definedName>
    <definedName name="CilDCUnitType" localSheetId="8">#REF!</definedName>
    <definedName name="CilDCUnitType">#REF!</definedName>
    <definedName name="CilEDCoalCo" localSheetId="6">#REF!</definedName>
    <definedName name="CilEDCoalCo" localSheetId="2">#REF!</definedName>
    <definedName name="CilEDCoalCo" localSheetId="8">#REF!</definedName>
    <definedName name="CilEDCoalCo">#REF!</definedName>
    <definedName name="CilEDCurrPrior" localSheetId="6">#REF!</definedName>
    <definedName name="CilEDCurrPrior" localSheetId="2">#REF!</definedName>
    <definedName name="CilEDCurrPrior" localSheetId="8">#REF!</definedName>
    <definedName name="CilEDCurrPrior">#REF!</definedName>
    <definedName name="CilEDFuel" localSheetId="6">#REF!</definedName>
    <definedName name="CilEDFuel" localSheetId="2">#REF!</definedName>
    <definedName name="CilEDFuel" localSheetId="8">#REF!</definedName>
    <definedName name="CilEDFuel">#REF!</definedName>
    <definedName name="CilEDFuelwTax" localSheetId="6">#REF!</definedName>
    <definedName name="CilEDFuelwTax" localSheetId="2">#REF!</definedName>
    <definedName name="CilEDFuelwTax" localSheetId="8">#REF!</definedName>
    <definedName name="CilEDFuelwTax">#REF!</definedName>
    <definedName name="CilEDInvoiceType" localSheetId="6">#REF!</definedName>
    <definedName name="CilEDInvoiceType" localSheetId="2">#REF!</definedName>
    <definedName name="CilEDInvoiceType" localSheetId="8">#REF!</definedName>
    <definedName name="CilEDInvoiceType">#REF!</definedName>
    <definedName name="CilEDSourceData" localSheetId="6">#REF!</definedName>
    <definedName name="CilEDSourceData" localSheetId="2">#REF!</definedName>
    <definedName name="CilEDSourceData" localSheetId="8">#REF!</definedName>
    <definedName name="CilEDSourceData">#REF!</definedName>
    <definedName name="CilEDStats" localSheetId="6">#REF!</definedName>
    <definedName name="CilEDStats" localSheetId="2">#REF!</definedName>
    <definedName name="CilEDStats" localSheetId="8">#REF!</definedName>
    <definedName name="CilEDStats">#REF!</definedName>
    <definedName name="CilEDTransp" localSheetId="6">#REF!</definedName>
    <definedName name="CilEDTransp" localSheetId="2">#REF!</definedName>
    <definedName name="CilEDTransp" localSheetId="8">#REF!</definedName>
    <definedName name="CilEDTransp">#REF!</definedName>
    <definedName name="CilEDUnits" localSheetId="6">#REF!</definedName>
    <definedName name="CilEDUnits" localSheetId="2">#REF!</definedName>
    <definedName name="CilEDUnits" localSheetId="8">#REF!</definedName>
    <definedName name="CilEDUnits">#REF!</definedName>
    <definedName name="CilEDUnitType" localSheetId="6">#REF!</definedName>
    <definedName name="CilEDUnitType" localSheetId="2">#REF!</definedName>
    <definedName name="CilEDUnitType" localSheetId="8">#REF!</definedName>
    <definedName name="CilEDUnitType">#REF!</definedName>
    <definedName name="CIPS_IL_EZ_parcels" localSheetId="6">#REF!</definedName>
    <definedName name="CIPS_IL_EZ_parcels" localSheetId="2">#REF!</definedName>
    <definedName name="CIPS_IL_EZ_parcels" localSheetId="8">#REF!</definedName>
    <definedName name="CIPS_IL_EZ_parcels">#REF!</definedName>
    <definedName name="ckdl" localSheetId="6">#REF!</definedName>
    <definedName name="ckdl" localSheetId="2">#REF!</definedName>
    <definedName name="ckdl" localSheetId="8">#REF!</definedName>
    <definedName name="ckdl">#REF!</definedName>
    <definedName name="CoalFreight" localSheetId="9">OFFSET(#REF!,0,0,COUNTA(#REF!),1)</definedName>
    <definedName name="CoalFreight" localSheetId="8">OFFSET(#REF!,0,0,COUNTA(#REF!),1)</definedName>
    <definedName name="CoalFreight">OFFSET(#REF!,0,0,COUNTA(#REF!),1)</definedName>
    <definedName name="color" localSheetId="6">#REF!</definedName>
    <definedName name="color" localSheetId="2">#REF!</definedName>
    <definedName name="color" localSheetId="8">#REF!</definedName>
    <definedName name="color">#REF!</definedName>
    <definedName name="Common_Inventory" localSheetId="9">OFFSET(#REF!,0,0,COUNTA(#REF!),1)</definedName>
    <definedName name="Common_Inventory" localSheetId="8">OFFSET(#REF!,0,0,COUNTA(#REF!),1)</definedName>
    <definedName name="Common_Inventory">OFFSET(#REF!,0,0,COUNTA(#REF!),1)</definedName>
    <definedName name="Common_Inventory_Table" localSheetId="9">OFFSET(#REF!,0,0,COUNTA(#REF!),4)</definedName>
    <definedName name="Common_Inventory_Table" localSheetId="8">OFFSET(#REF!,0,0,COUNTA(#REF!),4)</definedName>
    <definedName name="Common_Inventory_Table">OFFSET(#REF!,0,0,COUNTA(#REF!),4)</definedName>
    <definedName name="CORPGenDol" localSheetId="9">OFFSET(#REF!,0,0,COUNTA(#REF!),1)</definedName>
    <definedName name="CORPGenDol" localSheetId="8">OFFSET(#REF!,0,0,COUNTA(#REF!),1)</definedName>
    <definedName name="CORPGenDol">OFFSET(#REF!,0,0,COUNTA(#REF!),1)</definedName>
    <definedName name="CorpUnits" localSheetId="9">OFFSET(#REF!,0,0,COUNTA(#REF!),1)</definedName>
    <definedName name="CorpUnits" localSheetId="8">OFFSET(#REF!,0,0,COUNTA(#REF!),1)</definedName>
    <definedName name="CorpUnits">OFFSET(#REF!,0,0,COUNTA(#REF!),1)</definedName>
    <definedName name="cosales" localSheetId="6">#REF!</definedName>
    <definedName name="cosales" localSheetId="0">#REF!</definedName>
    <definedName name="cosales" localSheetId="1">#REF!</definedName>
    <definedName name="cosales" localSheetId="2">#REF!</definedName>
    <definedName name="cosales" localSheetId="3">#REF!</definedName>
    <definedName name="cosales" localSheetId="8">#REF!</definedName>
    <definedName name="cosales">#REF!</definedName>
    <definedName name="Critical_Peak_KWH" localSheetId="6">#REF!</definedName>
    <definedName name="Critical_Peak_KWH" localSheetId="2">#REF!</definedName>
    <definedName name="Critical_Peak_KWH" localSheetId="8">#REF!</definedName>
    <definedName name="Critical_Peak_KWH">#REF!</definedName>
    <definedName name="CT_1" localSheetId="6" hidden="1">{"page1",#N/A,FALSE,"260"}</definedName>
    <definedName name="CT_1" localSheetId="9" hidden="1">{"page1",#N/A,FALSE,"260"}</definedName>
    <definedName name="CT_1" localSheetId="8" hidden="1">{"page1",#N/A,FALSE,"260"}</definedName>
    <definedName name="CT_1" hidden="1">{"page1",#N/A,FALSE,"260"}</definedName>
    <definedName name="ctoucc" localSheetId="6">#REF!</definedName>
    <definedName name="ctoucc" localSheetId="2">#REF!</definedName>
    <definedName name="ctoucc" localSheetId="9">#REF!</definedName>
    <definedName name="ctoucc" localSheetId="8">#REF!</definedName>
    <definedName name="ctoucc">#REF!</definedName>
    <definedName name="ctouskw" localSheetId="6">#REF!</definedName>
    <definedName name="ctouskw" localSheetId="2">#REF!</definedName>
    <definedName name="ctouskw" localSheetId="9">#REF!</definedName>
    <definedName name="ctouskw" localSheetId="8">#REF!</definedName>
    <definedName name="ctouskw">#REF!</definedName>
    <definedName name="ctousofkwh" localSheetId="6">#REF!</definedName>
    <definedName name="ctousofkwh" localSheetId="2">#REF!</definedName>
    <definedName name="ctousofkwh" localSheetId="9">#REF!</definedName>
    <definedName name="ctousofkwh" localSheetId="8">#REF!</definedName>
    <definedName name="ctousofkwh">#REF!</definedName>
    <definedName name="ctouspkkwh" localSheetId="6">#REF!</definedName>
    <definedName name="ctouspkkwh" localSheetId="2">#REF!</definedName>
    <definedName name="ctouspkkwh" localSheetId="9">#REF!</definedName>
    <definedName name="ctouspkkwh" localSheetId="8">#REF!</definedName>
    <definedName name="ctouspkkwh">#REF!</definedName>
    <definedName name="ctouwkw" localSheetId="6">#REF!</definedName>
    <definedName name="ctouwkw" localSheetId="2">#REF!</definedName>
    <definedName name="ctouwkw" localSheetId="9">#REF!</definedName>
    <definedName name="ctouwkw" localSheetId="8">#REF!</definedName>
    <definedName name="ctouwkw">#REF!</definedName>
    <definedName name="ctouwofkwh" localSheetId="6">#REF!</definedName>
    <definedName name="ctouwofkwh" localSheetId="2">#REF!</definedName>
    <definedName name="ctouwofkwh" localSheetId="9">#REF!</definedName>
    <definedName name="ctouwofkwh" localSheetId="8">#REF!</definedName>
    <definedName name="ctouwofkwh">#REF!</definedName>
    <definedName name="ctouwpkkwh" localSheetId="6">#REF!</definedName>
    <definedName name="ctouwpkkwh" localSheetId="2">#REF!</definedName>
    <definedName name="ctouwpkkwh" localSheetId="9">#REF!</definedName>
    <definedName name="ctouwpkkwh" localSheetId="8">#REF!</definedName>
    <definedName name="ctouwpkkwh">#REF!</definedName>
    <definedName name="CUSSUM" localSheetId="6">#REF!</definedName>
    <definedName name="CUSSUM" localSheetId="2">#REF!</definedName>
    <definedName name="CUSSUM" localSheetId="8">#REF!</definedName>
    <definedName name="CUSSUM">#REF!</definedName>
    <definedName name="cust" localSheetId="9">#REF!</definedName>
    <definedName name="cust" localSheetId="8">#REF!</definedName>
    <definedName name="cust">#REF!</definedName>
    <definedName name="Customer_Count" localSheetId="6">#REF!</definedName>
    <definedName name="Customer_Count" localSheetId="2">#REF!</definedName>
    <definedName name="Customer_Count" localSheetId="8">#REF!</definedName>
    <definedName name="Customer_Count">#REF!</definedName>
    <definedName name="CUSWIN" localSheetId="6">#REF!</definedName>
    <definedName name="CUSWIN" localSheetId="2">#REF!</definedName>
    <definedName name="CUSWIN" localSheetId="8">#REF!</definedName>
    <definedName name="CUSWIN">#REF!</definedName>
    <definedName name="d" localSheetId="9" hidden="1">#REF!</definedName>
    <definedName name="d" localSheetId="8" hidden="1">#REF!</definedName>
    <definedName name="d" hidden="1">#REF!</definedName>
    <definedName name="Data" localSheetId="6">#REF!</definedName>
    <definedName name="Data" localSheetId="2">#REF!</definedName>
    <definedName name="Data" localSheetId="8">#REF!</definedName>
    <definedName name="Data">#REF!</definedName>
    <definedName name="date" localSheetId="6">#REF!</definedName>
    <definedName name="date" localSheetId="2">#REF!</definedName>
    <definedName name="date" localSheetId="8">#REF!</definedName>
    <definedName name="date">#REF!</definedName>
    <definedName name="DateDue" localSheetId="6">#REF!</definedName>
    <definedName name="DateDue" localSheetId="2">#REF!</definedName>
    <definedName name="DateDue" localSheetId="8">#REF!</definedName>
    <definedName name="DateDue">#REF!</definedName>
    <definedName name="DecGenDol" localSheetId="9">OFFSET(#REF!,0,0,COUNTA(#REF!),1)</definedName>
    <definedName name="DecGenDol" localSheetId="8">OFFSET(#REF!,0,0,COUNTA(#REF!),1)</definedName>
    <definedName name="DecGenDol">OFFSET(#REF!,0,0,COUNTA(#REF!),1)</definedName>
    <definedName name="DecInvDol" localSheetId="9">OFFSET(#REF!,0,0,COUNTA(#REF!),1)</definedName>
    <definedName name="DecInvDol" localSheetId="8">OFFSET(#REF!,0,0,COUNTA(#REF!),1)</definedName>
    <definedName name="DecInvDol">OFFSET(#REF!,0,0,COUNTA(#REF!),1)</definedName>
    <definedName name="DecInvDolPrior" localSheetId="9">OFFSET(#REF!,0,0,COUNTA(#REF!),1)</definedName>
    <definedName name="DecInvDolPrior" localSheetId="8">OFFSET(#REF!,0,0,COUNTA(#REF!),1)</definedName>
    <definedName name="DecInvDolPrior">OFFSET(#REF!,0,0,COUNTA(#REF!),1)</definedName>
    <definedName name="DecTonInv" localSheetId="9">OFFSET(#REF!,0,0,COUNTA(#REF!),1)</definedName>
    <definedName name="DecTonInv" localSheetId="8">OFFSET(#REF!,0,0,COUNTA(#REF!),1)</definedName>
    <definedName name="DecTonInv">OFFSET(#REF!,0,0,COUNTA(#REF!),1)</definedName>
    <definedName name="DecTonInvPrior" localSheetId="9">OFFSET(#REF!,0,0,COUNTA(#REF!),1)</definedName>
    <definedName name="DecTonInvPrior" localSheetId="8">OFFSET(#REF!,0,0,COUNTA(#REF!),1)</definedName>
    <definedName name="DecTonInvPrior">OFFSET(#REF!,0,0,COUNTA(#REF!),1)</definedName>
    <definedName name="DecUnits" localSheetId="9">OFFSET(#REF!,0,0,COUNTA(#REF!),1)</definedName>
    <definedName name="DecUnits" localSheetId="8">OFFSET(#REF!,0,0,COUNTA(#REF!),1)</definedName>
    <definedName name="DecUnits">OFFSET(#REF!,0,0,COUNTA(#REF!),1)</definedName>
    <definedName name="Demand_KW" localSheetId="6">#REF!</definedName>
    <definedName name="Demand_KW" localSheetId="2">#REF!</definedName>
    <definedName name="Demand_KW" localSheetId="8">#REF!</definedName>
    <definedName name="Demand_KW">#REF!</definedName>
    <definedName name="DEPRECIATION" localSheetId="6">#REF!</definedName>
    <definedName name="DEPRECIATION" localSheetId="0">#REF!</definedName>
    <definedName name="DEPRECIATION" localSheetId="1">#REF!</definedName>
    <definedName name="DEPRECIATION" localSheetId="2">#REF!</definedName>
    <definedName name="DEPRECIATION" localSheetId="10">#REF!</definedName>
    <definedName name="DEPRECIATION" localSheetId="8">#REF!</definedName>
    <definedName name="DEPRECIATION">#REF!</definedName>
    <definedName name="DescrDol" localSheetId="9">OFFSET(#REF!,0,0,COUNTA(#REF!),1)</definedName>
    <definedName name="DescrDol" localSheetId="8">OFFSET(#REF!,0,0,COUNTA(#REF!),1)</definedName>
    <definedName name="DescrDol">OFFSET(#REF!,0,0,COUNTA(#REF!),1)</definedName>
    <definedName name="Difference" localSheetId="6">#REF!</definedName>
    <definedName name="Difference" localSheetId="2">#REF!</definedName>
    <definedName name="Difference" localSheetId="8">#REF!</definedName>
    <definedName name="Difference">#REF!</definedName>
    <definedName name="DLOV_oracle_apps_financials_generalLedger_journals_desktopEntry_di_FinGlDesktopMultibatchEntryPageDef_PeriodName_LedgerId_0">#REF!</definedName>
    <definedName name="DLOV_oracle_apps_financials_generalLedger_journals_desktopEntry_di_FinGlDesktopMultibatchEntryPageDef_ReversalPeriodName_LedgerId_0">#REF!</definedName>
    <definedName name="FCode_Amt" localSheetId="6">OFFSET(#REF!,0,0,COUNTA(#REF!),1)</definedName>
    <definedName name="FCode_Amt" localSheetId="2">OFFSET(#REF!,0,0,COUNTA(#REF!),1)</definedName>
    <definedName name="FCode_Amt" localSheetId="8">OFFSET(#REF!,0,0,COUNTA(#REF!),1)</definedName>
    <definedName name="FCode_Amt">OFFSET(#REF!,0,0,COUNTA(#REF!),1)</definedName>
    <definedName name="FCode_Amt2" localSheetId="6">OFFSET(#REF!,0,0,COUNTA(#REF!),1)</definedName>
    <definedName name="FCode_Amt2" localSheetId="2">OFFSET(#REF!,0,0,COUNTA(#REF!),1)</definedName>
    <definedName name="FCode_Amt2" localSheetId="8">OFFSET(#REF!,0,0,COUNTA(#REF!),1)</definedName>
    <definedName name="FCode_Amt2">OFFSET(#REF!,0,0,COUNTA(#REF!),1)</definedName>
    <definedName name="FCode_BD" localSheetId="6">OFFSET(#REF!,0,0,COUNTA(#REF!),1)</definedName>
    <definedName name="FCode_BD" localSheetId="2">OFFSET(#REF!,0,0,COUNTA(#REF!),1)</definedName>
    <definedName name="FCode_BD" localSheetId="8">OFFSET(#REF!,0,0,COUNTA(#REF!),1)</definedName>
    <definedName name="FCode_BD">OFFSET(#REF!,0,0,COUNTA(#REF!),1)</definedName>
    <definedName name="FCode_Corp" localSheetId="6">OFFSET(#REF!,0,0,COUNTA(#REF!),1)</definedName>
    <definedName name="FCode_Corp" localSheetId="2">OFFSET(#REF!,0,0,COUNTA(#REF!),1)</definedName>
    <definedName name="FCode_Corp" localSheetId="8">OFFSET(#REF!,0,0,COUNTA(#REF!),1)</definedName>
    <definedName name="FCode_Corp">OFFSET(#REF!,0,0,COUNTA(#REF!),1)</definedName>
    <definedName name="FCode_Funcode" localSheetId="6">OFFSET(#REF!,0,0,COUNTA(#REF!),1)</definedName>
    <definedName name="FCode_Funcode" localSheetId="2">OFFSET(#REF!,0,0,COUNTA(#REF!),1)</definedName>
    <definedName name="FCode_Funcode" localSheetId="8">OFFSET(#REF!,0,0,COUNTA(#REF!),1)</definedName>
    <definedName name="FCode_Funcode">OFFSET(#REF!,0,0,COUNTA(#REF!),1)</definedName>
    <definedName name="FebGenDol" localSheetId="9">OFFSET(#REF!,0,0,COUNTA(#REF!),1)</definedName>
    <definedName name="FebGenDol" localSheetId="8">OFFSET(#REF!,0,0,COUNTA(#REF!),1)</definedName>
    <definedName name="FebGenDol">OFFSET(#REF!,0,0,COUNTA(#REF!),1)</definedName>
    <definedName name="FebInvDol" localSheetId="9">OFFSET(#REF!,0,0,COUNTA(#REF!),1)</definedName>
    <definedName name="FebInvDol" localSheetId="8">OFFSET(#REF!,0,0,COUNTA(#REF!),1)</definedName>
    <definedName name="FebInvDol">OFFSET(#REF!,0,0,COUNTA(#REF!),1)</definedName>
    <definedName name="FebTonInv" localSheetId="9">OFFSET(#REF!,0,0,COUNTA(#REF!),1)</definedName>
    <definedName name="FebTonInv" localSheetId="8">OFFSET(#REF!,0,0,COUNTA(#REF!),1)</definedName>
    <definedName name="FebTonInv">OFFSET(#REF!,0,0,COUNTA(#REF!),1)</definedName>
    <definedName name="FebUnits" localSheetId="9">OFFSET(#REF!,0,0,COUNTA(#REF!),1)</definedName>
    <definedName name="FebUnits" localSheetId="8">OFFSET(#REF!,0,0,COUNTA(#REF!),1)</definedName>
    <definedName name="FebUnits">OFFSET(#REF!,0,0,COUNTA(#REF!),1)</definedName>
    <definedName name="FINAL_JV" localSheetId="6">#REF!</definedName>
    <definedName name="FINAL_JV" localSheetId="0">#REF!</definedName>
    <definedName name="FINAL_JV" localSheetId="1">#REF!</definedName>
    <definedName name="FINAL_JV" localSheetId="2">#REF!</definedName>
    <definedName name="FINAL_JV" localSheetId="10">#REF!</definedName>
    <definedName name="FINAL_JV" localSheetId="8">#REF!</definedName>
    <definedName name="FINAL_JV">#REF!</definedName>
    <definedName name="First_Block_kwh" localSheetId="6">#REF!</definedName>
    <definedName name="First_Block_kwh" localSheetId="2">#REF!</definedName>
    <definedName name="First_Block_kwh" localSheetId="8">#REF!</definedName>
    <definedName name="First_Block_kwh">#REF!</definedName>
    <definedName name="FuelType" localSheetId="9">OFFSET(#REF!,0,0,COUNTA(#REF!),2)</definedName>
    <definedName name="FuelType" localSheetId="8">OFFSET(#REF!,0,0,COUNTA(#REF!),2)</definedName>
    <definedName name="FuelType">OFFSET(#REF!,0,0,COUNTA(#REF!),2)</definedName>
    <definedName name="FueltypeGenDol" localSheetId="9">OFFSET(#REF!,0,0,COUNTA(#REF!),1)</definedName>
    <definedName name="FueltypeGenDol" localSheetId="8">OFFSET(#REF!,0,0,COUNTA(#REF!),1)</definedName>
    <definedName name="FueltypeGenDol">OFFSET(#REF!,0,0,COUNTA(#REF!),1)</definedName>
    <definedName name="FuelTypeInvDol" localSheetId="9">OFFSET(#REF!,0,0,COUNTA(#REF!),1)</definedName>
    <definedName name="FuelTypeInvDol" localSheetId="8">OFFSET(#REF!,0,0,COUNTA(#REF!),1)</definedName>
    <definedName name="FuelTypeInvDol">OFFSET(#REF!,0,0,COUNTA(#REF!),1)</definedName>
    <definedName name="FuelTypeList" localSheetId="6">OFFSET(#REF!,0,0,COUNTA(#REF!),1)</definedName>
    <definedName name="FuelTypeList" localSheetId="2">OFFSET(#REF!,0,0,COUNTA(#REF!),1)</definedName>
    <definedName name="FuelTypeList" localSheetId="8">OFFSET(#REF!,0,0,COUNTA(#REF!),1)</definedName>
    <definedName name="FuelTypeList">OFFSET(#REF!,0,0,COUNTA(#REF!),1)</definedName>
    <definedName name="FuelTypeTonInv" localSheetId="9">OFFSET(#REF!,0,0,COUNTA(#REF!),1)</definedName>
    <definedName name="FuelTypeTonInv" localSheetId="8">OFFSET(#REF!,0,0,COUNTA(#REF!),1)</definedName>
    <definedName name="FuelTypeTonInv">OFFSET(#REF!,0,0,COUNTA(#REF!),1)</definedName>
    <definedName name="FuelTypeUnits" localSheetId="9">OFFSET(#REF!,0,0,COUNTA(#REF!),1)</definedName>
    <definedName name="FuelTypeUnits" localSheetId="8">OFFSET(#REF!,0,0,COUNTA(#REF!),1)</definedName>
    <definedName name="FuelTypeUnits">OFFSET(#REF!,0,0,COUNTA(#REF!),1)</definedName>
    <definedName name="Gas" localSheetId="9">OFFSET(#REF!,0,0,COUNTA(#REF!),1)</definedName>
    <definedName name="Gas" localSheetId="8">OFFSET(#REF!,0,0,COUNTA(#REF!),1)</definedName>
    <definedName name="Gas">OFFSET(#REF!,0,0,COUNTA(#REF!),1)</definedName>
    <definedName name="Gen66CoalCo" localSheetId="6">#REF!</definedName>
    <definedName name="Gen66CoalCo" localSheetId="2">#REF!</definedName>
    <definedName name="Gen66CoalCo" localSheetId="8">#REF!</definedName>
    <definedName name="Gen66CoalCo">#REF!</definedName>
    <definedName name="Gen66CurrPrior" localSheetId="6">#REF!</definedName>
    <definedName name="Gen66CurrPrior" localSheetId="2">#REF!</definedName>
    <definedName name="Gen66CurrPrior" localSheetId="8">#REF!</definedName>
    <definedName name="Gen66CurrPrior">#REF!</definedName>
    <definedName name="Gen66Fuel" localSheetId="6">#REF!</definedName>
    <definedName name="Gen66Fuel" localSheetId="2">#REF!</definedName>
    <definedName name="Gen66Fuel" localSheetId="8">#REF!</definedName>
    <definedName name="Gen66Fuel">#REF!</definedName>
    <definedName name="Gen66FuelwTax" localSheetId="6">#REF!</definedName>
    <definedName name="Gen66FuelwTax" localSheetId="2">#REF!</definedName>
    <definedName name="Gen66FuelwTax" localSheetId="8">#REF!</definedName>
    <definedName name="Gen66FuelwTax">#REF!</definedName>
    <definedName name="Gen66InvoiceType" localSheetId="6">#REF!</definedName>
    <definedName name="Gen66InvoiceType" localSheetId="2">#REF!</definedName>
    <definedName name="Gen66InvoiceType" localSheetId="8">#REF!</definedName>
    <definedName name="Gen66InvoiceType">#REF!</definedName>
    <definedName name="Gen66SourceData" localSheetId="6">#REF!</definedName>
    <definedName name="Gen66SourceData" localSheetId="2">#REF!</definedName>
    <definedName name="Gen66SourceData" localSheetId="8">#REF!</definedName>
    <definedName name="Gen66SourceData">#REF!</definedName>
    <definedName name="Gen66Stats" localSheetId="6">#REF!</definedName>
    <definedName name="Gen66Stats" localSheetId="2">#REF!</definedName>
    <definedName name="Gen66Stats" localSheetId="8">#REF!</definedName>
    <definedName name="Gen66Stats">#REF!</definedName>
    <definedName name="Gen66Transp" localSheetId="6">#REF!</definedName>
    <definedName name="Gen66Transp" localSheetId="2">#REF!</definedName>
    <definedName name="Gen66Transp" localSheetId="8">#REF!</definedName>
    <definedName name="Gen66Transp">#REF!</definedName>
    <definedName name="Gen66Units" localSheetId="6">#REF!</definedName>
    <definedName name="Gen66Units" localSheetId="2">#REF!</definedName>
    <definedName name="Gen66Units" localSheetId="8">#REF!</definedName>
    <definedName name="Gen66Units">#REF!</definedName>
    <definedName name="Gen66UnitType" localSheetId="6">#REF!</definedName>
    <definedName name="Gen66UnitType" localSheetId="2">#REF!</definedName>
    <definedName name="Gen66UnitType" localSheetId="8">#REF!</definedName>
    <definedName name="Gen66UnitType">#REF!</definedName>
    <definedName name="Gen68CoalCo" localSheetId="6">#REF!</definedName>
    <definedName name="Gen68CoalCo" localSheetId="2">#REF!</definedName>
    <definedName name="Gen68CoalCo" localSheetId="8">#REF!</definedName>
    <definedName name="Gen68CoalCo">#REF!</definedName>
    <definedName name="Gen68CurrPrior" localSheetId="6">#REF!</definedName>
    <definedName name="Gen68CurrPrior" localSheetId="2">#REF!</definedName>
    <definedName name="Gen68CurrPrior" localSheetId="8">#REF!</definedName>
    <definedName name="Gen68CurrPrior">#REF!</definedName>
    <definedName name="Gen68Fuel" localSheetId="6">#REF!</definedName>
    <definedName name="Gen68Fuel" localSheetId="2">#REF!</definedName>
    <definedName name="Gen68Fuel" localSheetId="8">#REF!</definedName>
    <definedName name="Gen68Fuel">#REF!</definedName>
    <definedName name="Gen68FuelwTax" localSheetId="6">#REF!</definedName>
    <definedName name="Gen68FuelwTax" localSheetId="2">#REF!</definedName>
    <definedName name="Gen68FuelwTax" localSheetId="8">#REF!</definedName>
    <definedName name="Gen68FuelwTax">#REF!</definedName>
    <definedName name="Gen68InvoiceType" localSheetId="6">#REF!</definedName>
    <definedName name="Gen68InvoiceType" localSheetId="2">#REF!</definedName>
    <definedName name="Gen68InvoiceType" localSheetId="8">#REF!</definedName>
    <definedName name="Gen68InvoiceType">#REF!</definedName>
    <definedName name="Gen68SourceData" localSheetId="6">#REF!</definedName>
    <definedName name="Gen68SourceData" localSheetId="2">#REF!</definedName>
    <definedName name="Gen68SourceData" localSheetId="8">#REF!</definedName>
    <definedName name="Gen68SourceData">#REF!</definedName>
    <definedName name="Gen68Stats" localSheetId="6">#REF!</definedName>
    <definedName name="Gen68Stats" localSheetId="2">#REF!</definedName>
    <definedName name="Gen68Stats" localSheetId="8">#REF!</definedName>
    <definedName name="Gen68Stats">#REF!</definedName>
    <definedName name="Gen68Transp" localSheetId="6">#REF!</definedName>
    <definedName name="Gen68Transp" localSheetId="2">#REF!</definedName>
    <definedName name="Gen68Transp" localSheetId="8">#REF!</definedName>
    <definedName name="Gen68Transp">#REF!</definedName>
    <definedName name="Gen68Units" localSheetId="6">#REF!</definedName>
    <definedName name="Gen68Units" localSheetId="2">#REF!</definedName>
    <definedName name="Gen68Units" localSheetId="8">#REF!</definedName>
    <definedName name="Gen68Units">#REF!</definedName>
    <definedName name="Gen68UnitType" localSheetId="6">#REF!</definedName>
    <definedName name="Gen68UnitType" localSheetId="2">#REF!</definedName>
    <definedName name="Gen68UnitType" localSheetId="8">#REF!</definedName>
    <definedName name="Gen68UnitType">#REF!</definedName>
    <definedName name="Gen69CoalCo" localSheetId="6">#REF!</definedName>
    <definedName name="Gen69CoalCo" localSheetId="2">#REF!</definedName>
    <definedName name="Gen69CoalCo" localSheetId="8">#REF!</definedName>
    <definedName name="Gen69CoalCo">#REF!</definedName>
    <definedName name="Gen69CurrPrior" localSheetId="6">#REF!</definedName>
    <definedName name="Gen69CurrPrior" localSheetId="2">#REF!</definedName>
    <definedName name="Gen69CurrPrior" localSheetId="8">#REF!</definedName>
    <definedName name="Gen69CurrPrior">#REF!</definedName>
    <definedName name="Gen69Fuel" localSheetId="6">#REF!</definedName>
    <definedName name="Gen69Fuel" localSheetId="2">#REF!</definedName>
    <definedName name="Gen69Fuel" localSheetId="8">#REF!</definedName>
    <definedName name="Gen69Fuel">#REF!</definedName>
    <definedName name="Gen69FuelwTax" localSheetId="6">#REF!</definedName>
    <definedName name="Gen69FuelwTax" localSheetId="2">#REF!</definedName>
    <definedName name="Gen69FuelwTax" localSheetId="8">#REF!</definedName>
    <definedName name="Gen69FuelwTax">#REF!</definedName>
    <definedName name="Gen69InvoiceType" localSheetId="6">#REF!</definedName>
    <definedName name="Gen69InvoiceType" localSheetId="2">#REF!</definedName>
    <definedName name="Gen69InvoiceType" localSheetId="8">#REF!</definedName>
    <definedName name="Gen69InvoiceType">#REF!</definedName>
    <definedName name="Gen69SourceData" localSheetId="6">#REF!</definedName>
    <definedName name="Gen69SourceData" localSheetId="2">#REF!</definedName>
    <definedName name="Gen69SourceData" localSheetId="8">#REF!</definedName>
    <definedName name="Gen69SourceData">#REF!</definedName>
    <definedName name="Gen69Stats" localSheetId="6">#REF!</definedName>
    <definedName name="Gen69Stats" localSheetId="2">#REF!</definedName>
    <definedName name="Gen69Stats" localSheetId="8">#REF!</definedName>
    <definedName name="Gen69Stats">#REF!</definedName>
    <definedName name="Gen69Transp" localSheetId="6">#REF!</definedName>
    <definedName name="Gen69Transp" localSheetId="2">#REF!</definedName>
    <definedName name="Gen69Transp" localSheetId="8">#REF!</definedName>
    <definedName name="Gen69Transp">#REF!</definedName>
    <definedName name="Gen69Units" localSheetId="6">#REF!</definedName>
    <definedName name="Gen69Units" localSheetId="2">#REF!</definedName>
    <definedName name="Gen69Units" localSheetId="8">#REF!</definedName>
    <definedName name="Gen69Units">#REF!</definedName>
    <definedName name="Gen69UnitType" localSheetId="6">#REF!</definedName>
    <definedName name="Gen69UnitType" localSheetId="2">#REF!</definedName>
    <definedName name="Gen69UnitType" localSheetId="8">#REF!</definedName>
    <definedName name="Gen69UnitType">#REF!</definedName>
    <definedName name="Gen79CoalCo" localSheetId="6">#REF!</definedName>
    <definedName name="Gen79CoalCo" localSheetId="2">#REF!</definedName>
    <definedName name="Gen79CoalCo" localSheetId="8">#REF!</definedName>
    <definedName name="Gen79CoalCo">#REF!</definedName>
    <definedName name="Gen79CurrPrior" localSheetId="6">#REF!</definedName>
    <definedName name="Gen79CurrPrior" localSheetId="2">#REF!</definedName>
    <definedName name="Gen79CurrPrior" localSheetId="8">#REF!</definedName>
    <definedName name="Gen79CurrPrior">#REF!</definedName>
    <definedName name="Gen79Fuel" localSheetId="6">#REF!</definedName>
    <definedName name="Gen79Fuel" localSheetId="2">#REF!</definedName>
    <definedName name="Gen79Fuel" localSheetId="8">#REF!</definedName>
    <definedName name="Gen79Fuel">#REF!</definedName>
    <definedName name="Gen79FuelwTax" localSheetId="6">#REF!</definedName>
    <definedName name="Gen79FuelwTax" localSheetId="2">#REF!</definedName>
    <definedName name="Gen79FuelwTax" localSheetId="8">#REF!</definedName>
    <definedName name="Gen79FuelwTax">#REF!</definedName>
    <definedName name="Gen79InvoiceType" localSheetId="6">#REF!</definedName>
    <definedName name="Gen79InvoiceType" localSheetId="2">#REF!</definedName>
    <definedName name="Gen79InvoiceType" localSheetId="8">#REF!</definedName>
    <definedName name="Gen79InvoiceType">#REF!</definedName>
    <definedName name="Gen79SourceData" localSheetId="6">#REF!</definedName>
    <definedName name="Gen79SourceData" localSheetId="2">#REF!</definedName>
    <definedName name="Gen79SourceData" localSheetId="8">#REF!</definedName>
    <definedName name="Gen79SourceData">#REF!</definedName>
    <definedName name="Gen79Stats" localSheetId="6">#REF!</definedName>
    <definedName name="Gen79Stats" localSheetId="2">#REF!</definedName>
    <definedName name="Gen79Stats" localSheetId="8">#REF!</definedName>
    <definedName name="Gen79Stats">#REF!</definedName>
    <definedName name="Gen79Transp" localSheetId="6">#REF!</definedName>
    <definedName name="Gen79Transp" localSheetId="2">#REF!</definedName>
    <definedName name="Gen79Transp" localSheetId="8">#REF!</definedName>
    <definedName name="Gen79Transp">#REF!</definedName>
    <definedName name="Gen79Units" localSheetId="6">#REF!</definedName>
    <definedName name="Gen79Units" localSheetId="2">#REF!</definedName>
    <definedName name="Gen79Units" localSheetId="8">#REF!</definedName>
    <definedName name="Gen79Units">#REF!</definedName>
    <definedName name="Gen79UnitType" localSheetId="6">#REF!</definedName>
    <definedName name="Gen79UnitType" localSheetId="2">#REF!</definedName>
    <definedName name="Gen79UnitType" localSheetId="8">#REF!</definedName>
    <definedName name="Gen79UnitType">#REF!</definedName>
    <definedName name="Gen91CoalCo" localSheetId="6">#REF!</definedName>
    <definedName name="Gen91CoalCo" localSheetId="2">#REF!</definedName>
    <definedName name="Gen91CoalCo" localSheetId="8">#REF!</definedName>
    <definedName name="Gen91CoalCo">#REF!</definedName>
    <definedName name="Gen91CurrPrior" localSheetId="6">#REF!</definedName>
    <definedName name="Gen91CurrPrior" localSheetId="2">#REF!</definedName>
    <definedName name="Gen91CurrPrior" localSheetId="8">#REF!</definedName>
    <definedName name="Gen91CurrPrior">#REF!</definedName>
    <definedName name="Gen91Fuel" localSheetId="6">#REF!</definedName>
    <definedName name="Gen91Fuel" localSheetId="2">#REF!</definedName>
    <definedName name="Gen91Fuel" localSheetId="8">#REF!</definedName>
    <definedName name="Gen91Fuel">#REF!</definedName>
    <definedName name="Gen91FuelwTax" localSheetId="6">#REF!</definedName>
    <definedName name="Gen91FuelwTax" localSheetId="2">#REF!</definedName>
    <definedName name="Gen91FuelwTax" localSheetId="8">#REF!</definedName>
    <definedName name="Gen91FuelwTax">#REF!</definedName>
    <definedName name="Gen91InvoiceType" localSheetId="6">#REF!</definedName>
    <definedName name="Gen91InvoiceType" localSheetId="2">#REF!</definedName>
    <definedName name="Gen91InvoiceType" localSheetId="8">#REF!</definedName>
    <definedName name="Gen91InvoiceType">#REF!</definedName>
    <definedName name="Gen91SourceData" localSheetId="6">#REF!</definedName>
    <definedName name="Gen91SourceData" localSheetId="2">#REF!</definedName>
    <definedName name="Gen91SourceData" localSheetId="8">#REF!</definedName>
    <definedName name="Gen91SourceData">#REF!</definedName>
    <definedName name="Gen91Stats" localSheetId="6">#REF!</definedName>
    <definedName name="Gen91Stats" localSheetId="2">#REF!</definedName>
    <definedName name="Gen91Stats" localSheetId="8">#REF!</definedName>
    <definedName name="Gen91Stats">#REF!</definedName>
    <definedName name="Gen91Transp" localSheetId="6">#REF!</definedName>
    <definedName name="Gen91Transp" localSheetId="2">#REF!</definedName>
    <definedName name="Gen91Transp" localSheetId="8">#REF!</definedName>
    <definedName name="Gen91Transp">#REF!</definedName>
    <definedName name="Gen91Units" localSheetId="6">#REF!</definedName>
    <definedName name="Gen91Units" localSheetId="2">#REF!</definedName>
    <definedName name="Gen91Units" localSheetId="8">#REF!</definedName>
    <definedName name="Gen91Units">#REF!</definedName>
    <definedName name="Gen91UnitType" localSheetId="6">#REF!</definedName>
    <definedName name="Gen91UnitType" localSheetId="2">#REF!</definedName>
    <definedName name="Gen91UnitType" localSheetId="8">#REF!</definedName>
    <definedName name="Gen91UnitType">#REF!</definedName>
    <definedName name="Gen92CoalCo" localSheetId="6">#REF!</definedName>
    <definedName name="Gen92CoalCo" localSheetId="2">#REF!</definedName>
    <definedName name="Gen92CoalCo" localSheetId="8">#REF!</definedName>
    <definedName name="Gen92CoalCo">#REF!</definedName>
    <definedName name="Gen92CurrPrior" localSheetId="6">#REF!</definedName>
    <definedName name="Gen92CurrPrior" localSheetId="2">#REF!</definedName>
    <definedName name="Gen92CurrPrior" localSheetId="8">#REF!</definedName>
    <definedName name="Gen92CurrPrior">#REF!</definedName>
    <definedName name="Gen92Fuel" localSheetId="6">#REF!</definedName>
    <definedName name="Gen92Fuel" localSheetId="2">#REF!</definedName>
    <definedName name="Gen92Fuel" localSheetId="8">#REF!</definedName>
    <definedName name="Gen92Fuel">#REF!</definedName>
    <definedName name="Gen92FuelwTax" localSheetId="6">#REF!</definedName>
    <definedName name="Gen92FuelwTax" localSheetId="2">#REF!</definedName>
    <definedName name="Gen92FuelwTax" localSheetId="8">#REF!</definedName>
    <definedName name="Gen92FuelwTax">#REF!</definedName>
    <definedName name="Gen92InvoiceType" localSheetId="6">#REF!</definedName>
    <definedName name="Gen92InvoiceType" localSheetId="2">#REF!</definedName>
    <definedName name="Gen92InvoiceType" localSheetId="8">#REF!</definedName>
    <definedName name="Gen92InvoiceType">#REF!</definedName>
    <definedName name="Gen92SourceData" localSheetId="6">#REF!</definedName>
    <definedName name="Gen92SourceData" localSheetId="2">#REF!</definedName>
    <definedName name="Gen92SourceData" localSheetId="8">#REF!</definedName>
    <definedName name="Gen92SourceData">#REF!</definedName>
    <definedName name="Gen92Stats" localSheetId="6">#REF!</definedName>
    <definedName name="Gen92Stats" localSheetId="2">#REF!</definedName>
    <definedName name="Gen92Stats" localSheetId="8">#REF!</definedName>
    <definedName name="Gen92Stats">#REF!</definedName>
    <definedName name="Gen92Transp" localSheetId="6">#REF!</definedName>
    <definedName name="Gen92Transp" localSheetId="2">#REF!</definedName>
    <definedName name="Gen92Transp" localSheetId="8">#REF!</definedName>
    <definedName name="Gen92Transp">#REF!</definedName>
    <definedName name="Gen92Units" localSheetId="6">#REF!</definedName>
    <definedName name="Gen92Units" localSheetId="2">#REF!</definedName>
    <definedName name="Gen92Units" localSheetId="8">#REF!</definedName>
    <definedName name="Gen92Units">#REF!</definedName>
    <definedName name="Gen92UnitType" localSheetId="6">#REF!</definedName>
    <definedName name="Gen92UnitType" localSheetId="2">#REF!</definedName>
    <definedName name="Gen92UnitType" localSheetId="8">#REF!</definedName>
    <definedName name="Gen92UnitType">#REF!</definedName>
    <definedName name="Gen93CoalCo" localSheetId="6">#REF!</definedName>
    <definedName name="Gen93CoalCo" localSheetId="2">#REF!</definedName>
    <definedName name="Gen93CoalCo" localSheetId="8">#REF!</definedName>
    <definedName name="Gen93CoalCo">#REF!</definedName>
    <definedName name="Gen93CurrPrior" localSheetId="6">#REF!</definedName>
    <definedName name="Gen93CurrPrior" localSheetId="2">#REF!</definedName>
    <definedName name="Gen93CurrPrior" localSheetId="8">#REF!</definedName>
    <definedName name="Gen93CurrPrior">#REF!</definedName>
    <definedName name="Gen93Fuel" localSheetId="6">#REF!</definedName>
    <definedName name="Gen93Fuel" localSheetId="2">#REF!</definedName>
    <definedName name="Gen93Fuel" localSheetId="8">#REF!</definedName>
    <definedName name="Gen93Fuel">#REF!</definedName>
    <definedName name="Gen93FuelwTax" localSheetId="6">#REF!</definedName>
    <definedName name="Gen93FuelwTax" localSheetId="2">#REF!</definedName>
    <definedName name="Gen93FuelwTax" localSheetId="8">#REF!</definedName>
    <definedName name="Gen93FuelwTax">#REF!</definedName>
    <definedName name="Gen93InvoiceType" localSheetId="6">#REF!</definedName>
    <definedName name="Gen93InvoiceType" localSheetId="2">#REF!</definedName>
    <definedName name="Gen93InvoiceType" localSheetId="8">#REF!</definedName>
    <definedName name="Gen93InvoiceType">#REF!</definedName>
    <definedName name="Gen93SourceData" localSheetId="6">#REF!</definedName>
    <definedName name="Gen93SourceData" localSheetId="2">#REF!</definedName>
    <definedName name="Gen93SourceData" localSheetId="8">#REF!</definedName>
    <definedName name="Gen93SourceData">#REF!</definedName>
    <definedName name="Gen93Stats" localSheetId="6">#REF!</definedName>
    <definedName name="Gen93Stats" localSheetId="2">#REF!</definedName>
    <definedName name="Gen93Stats" localSheetId="8">#REF!</definedName>
    <definedName name="Gen93Stats">#REF!</definedName>
    <definedName name="Gen93Transp" localSheetId="6">#REF!</definedName>
    <definedName name="Gen93Transp" localSheetId="2">#REF!</definedName>
    <definedName name="Gen93Transp" localSheetId="8">#REF!</definedName>
    <definedName name="Gen93Transp">#REF!</definedName>
    <definedName name="Gen93Units" localSheetId="6">#REF!</definedName>
    <definedName name="Gen93Units" localSheetId="2">#REF!</definedName>
    <definedName name="Gen93Units" localSheetId="8">#REF!</definedName>
    <definedName name="Gen93Units">#REF!</definedName>
    <definedName name="Gen93UnitType" localSheetId="6">#REF!</definedName>
    <definedName name="Gen93UnitType" localSheetId="2">#REF!</definedName>
    <definedName name="Gen93UnitType" localSheetId="8">#REF!</definedName>
    <definedName name="Gen93UnitType">#REF!</definedName>
    <definedName name="Gen94CoalCo" localSheetId="6">#REF!</definedName>
    <definedName name="Gen94CoalCo" localSheetId="2">#REF!</definedName>
    <definedName name="Gen94CoalCo" localSheetId="8">#REF!</definedName>
    <definedName name="Gen94CoalCo">#REF!</definedName>
    <definedName name="Gen94CurrPrior" localSheetId="6">#REF!</definedName>
    <definedName name="Gen94CurrPrior" localSheetId="2">#REF!</definedName>
    <definedName name="Gen94CurrPrior" localSheetId="8">#REF!</definedName>
    <definedName name="Gen94CurrPrior">#REF!</definedName>
    <definedName name="Gen94Fuel" localSheetId="6">#REF!</definedName>
    <definedName name="Gen94Fuel" localSheetId="2">#REF!</definedName>
    <definedName name="Gen94Fuel" localSheetId="8">#REF!</definedName>
    <definedName name="Gen94Fuel">#REF!</definedName>
    <definedName name="Gen94FuelwTax" localSheetId="6">#REF!</definedName>
    <definedName name="Gen94FuelwTax" localSheetId="2">#REF!</definedName>
    <definedName name="Gen94FuelwTax" localSheetId="8">#REF!</definedName>
    <definedName name="Gen94FuelwTax">#REF!</definedName>
    <definedName name="Gen94InvoiceType" localSheetId="6">#REF!</definedName>
    <definedName name="Gen94InvoiceType" localSheetId="2">#REF!</definedName>
    <definedName name="Gen94InvoiceType" localSheetId="8">#REF!</definedName>
    <definedName name="Gen94InvoiceType">#REF!</definedName>
    <definedName name="Gen94SourceData" localSheetId="6">#REF!</definedName>
    <definedName name="Gen94SourceData" localSheetId="2">#REF!</definedName>
    <definedName name="Gen94SourceData" localSheetId="8">#REF!</definedName>
    <definedName name="Gen94SourceData">#REF!</definedName>
    <definedName name="Gen94Stats" localSheetId="6">#REF!</definedName>
    <definedName name="Gen94Stats" localSheetId="2">#REF!</definedName>
    <definedName name="Gen94Stats" localSheetId="8">#REF!</definedName>
    <definedName name="Gen94Stats">#REF!</definedName>
    <definedName name="Gen94Transp" localSheetId="6">#REF!</definedName>
    <definedName name="Gen94Transp" localSheetId="2">#REF!</definedName>
    <definedName name="Gen94Transp" localSheetId="8">#REF!</definedName>
    <definedName name="Gen94Transp">#REF!</definedName>
    <definedName name="Gen94Units" localSheetId="6">#REF!</definedName>
    <definedName name="Gen94Units" localSheetId="2">#REF!</definedName>
    <definedName name="Gen94Units" localSheetId="8">#REF!</definedName>
    <definedName name="Gen94Units">#REF!</definedName>
    <definedName name="Gen94UnitType" localSheetId="6">#REF!</definedName>
    <definedName name="Gen94UnitType" localSheetId="2">#REF!</definedName>
    <definedName name="Gen94UnitType" localSheetId="8">#REF!</definedName>
    <definedName name="Gen94UnitType">#REF!</definedName>
    <definedName name="Gen95CoalCo" localSheetId="6">#REF!</definedName>
    <definedName name="Gen95CoalCo" localSheetId="2">#REF!</definedName>
    <definedName name="Gen95CoalCo" localSheetId="8">#REF!</definedName>
    <definedName name="Gen95CoalCo">#REF!</definedName>
    <definedName name="Gen95CurrPrior" localSheetId="6">#REF!</definedName>
    <definedName name="Gen95CurrPrior" localSheetId="2">#REF!</definedName>
    <definedName name="Gen95CurrPrior" localSheetId="8">#REF!</definedName>
    <definedName name="Gen95CurrPrior">#REF!</definedName>
    <definedName name="Gen95Fuel" localSheetId="6">#REF!</definedName>
    <definedName name="Gen95Fuel" localSheetId="2">#REF!</definedName>
    <definedName name="Gen95Fuel" localSheetId="8">#REF!</definedName>
    <definedName name="Gen95Fuel">#REF!</definedName>
    <definedName name="Gen95FuelwTax" localSheetId="6">#REF!</definedName>
    <definedName name="Gen95FuelwTax" localSheetId="2">#REF!</definedName>
    <definedName name="Gen95FuelwTax" localSheetId="8">#REF!</definedName>
    <definedName name="Gen95FuelwTax">#REF!</definedName>
    <definedName name="Gen95InvoiceType" localSheetId="6">#REF!</definedName>
    <definedName name="Gen95InvoiceType" localSheetId="2">#REF!</definedName>
    <definedName name="Gen95InvoiceType" localSheetId="8">#REF!</definedName>
    <definedName name="Gen95InvoiceType">#REF!</definedName>
    <definedName name="Gen95SourceData" localSheetId="6">#REF!</definedName>
    <definedName name="Gen95SourceData" localSheetId="2">#REF!</definedName>
    <definedName name="Gen95SourceData" localSheetId="8">#REF!</definedName>
    <definedName name="Gen95SourceData">#REF!</definedName>
    <definedName name="Gen95Stats" localSheetId="6">#REF!</definedName>
    <definedName name="Gen95Stats" localSheetId="2">#REF!</definedName>
    <definedName name="Gen95Stats" localSheetId="8">#REF!</definedName>
    <definedName name="Gen95Stats">#REF!</definedName>
    <definedName name="Gen95Transp" localSheetId="6">#REF!</definedName>
    <definedName name="Gen95Transp" localSheetId="2">#REF!</definedName>
    <definedName name="Gen95Transp" localSheetId="8">#REF!</definedName>
    <definedName name="Gen95Transp">#REF!</definedName>
    <definedName name="Gen95Units" localSheetId="6">#REF!</definedName>
    <definedName name="Gen95Units" localSheetId="2">#REF!</definedName>
    <definedName name="Gen95Units" localSheetId="8">#REF!</definedName>
    <definedName name="Gen95Units">#REF!</definedName>
    <definedName name="Gen95UnitType" localSheetId="6">#REF!</definedName>
    <definedName name="Gen95UnitType" localSheetId="2">#REF!</definedName>
    <definedName name="Gen95UnitType" localSheetId="8">#REF!</definedName>
    <definedName name="Gen95UnitType">#REF!</definedName>
    <definedName name="Gen97CoalCo" localSheetId="6">#REF!</definedName>
    <definedName name="Gen97CoalCo" localSheetId="2">#REF!</definedName>
    <definedName name="Gen97CoalCo" localSheetId="8">#REF!</definedName>
    <definedName name="Gen97CoalCo">#REF!</definedName>
    <definedName name="Gen97CurrPrior" localSheetId="6">#REF!</definedName>
    <definedName name="Gen97CurrPrior" localSheetId="2">#REF!</definedName>
    <definedName name="Gen97CurrPrior" localSheetId="8">#REF!</definedName>
    <definedName name="Gen97CurrPrior">#REF!</definedName>
    <definedName name="Gen97Fuel" localSheetId="6">#REF!</definedName>
    <definedName name="Gen97Fuel" localSheetId="2">#REF!</definedName>
    <definedName name="Gen97Fuel" localSheetId="8">#REF!</definedName>
    <definedName name="Gen97Fuel">#REF!</definedName>
    <definedName name="Gen97FuelwTax" localSheetId="6">#REF!</definedName>
    <definedName name="Gen97FuelwTax" localSheetId="2">#REF!</definedName>
    <definedName name="Gen97FuelwTax" localSheetId="8">#REF!</definedName>
    <definedName name="Gen97FuelwTax">#REF!</definedName>
    <definedName name="Gen97InvoiceType" localSheetId="6">#REF!</definedName>
    <definedName name="Gen97InvoiceType" localSheetId="2">#REF!</definedName>
    <definedName name="Gen97InvoiceType" localSheetId="8">#REF!</definedName>
    <definedName name="Gen97InvoiceType">#REF!</definedName>
    <definedName name="Gen97SourceData" localSheetId="6">#REF!</definedName>
    <definedName name="Gen97SourceData" localSheetId="2">#REF!</definedName>
    <definedName name="Gen97SourceData" localSheetId="8">#REF!</definedName>
    <definedName name="Gen97SourceData">#REF!</definedName>
    <definedName name="Gen97Stats" localSheetId="6">#REF!</definedName>
    <definedName name="Gen97Stats" localSheetId="2">#REF!</definedName>
    <definedName name="Gen97Stats" localSheetId="8">#REF!</definedName>
    <definedName name="Gen97Stats">#REF!</definedName>
    <definedName name="Gen97transp" localSheetId="6">#REF!</definedName>
    <definedName name="Gen97transp" localSheetId="2">#REF!</definedName>
    <definedName name="Gen97transp" localSheetId="8">#REF!</definedName>
    <definedName name="Gen97transp">#REF!</definedName>
    <definedName name="Gen97Units" localSheetId="6">#REF!</definedName>
    <definedName name="Gen97Units" localSheetId="2">#REF!</definedName>
    <definedName name="Gen97Units" localSheetId="8">#REF!</definedName>
    <definedName name="Gen97Units">#REF!</definedName>
    <definedName name="Gen97UnitType" localSheetId="6">#REF!</definedName>
    <definedName name="Gen97UnitType" localSheetId="2">#REF!</definedName>
    <definedName name="Gen97UnitType" localSheetId="8">#REF!</definedName>
    <definedName name="Gen97UnitType">#REF!</definedName>
    <definedName name="GenDol" localSheetId="9">OFFSET(#REF!,0,0,COUNTA(#REF!),1)</definedName>
    <definedName name="GenDol" localSheetId="8">OFFSET(#REF!,0,0,COUNTA(#REF!),1)</definedName>
    <definedName name="GenDol">OFFSET(#REF!,0,0,COUNTA(#REF!),1)</definedName>
    <definedName name="GenDol_Amt" localSheetId="9">OFFSET(#REF!,0,0,COUNTA(#REF!),1)</definedName>
    <definedName name="GenDol_Amt" localSheetId="8">OFFSET(#REF!,0,0,COUNTA(#REF!),1)</definedName>
    <definedName name="GenDol_Amt">OFFSET(#REF!,0,0,COUNTA(#REF!),1)</definedName>
    <definedName name="GenDol_Amt2" localSheetId="9">OFFSET(#REF!,0,0,COUNTA(#REF!),1)</definedName>
    <definedName name="GenDol_Amt2" localSheetId="8">OFFSET(#REF!,0,0,COUNTA(#REF!),1)</definedName>
    <definedName name="GenDol_Amt2">OFFSET(#REF!,0,0,COUNTA(#REF!),1)</definedName>
    <definedName name="GenDol_BD" localSheetId="9">OFFSET(#REF!,0,0,COUNTA(#REF!),1)</definedName>
    <definedName name="GenDol_BD" localSheetId="8">OFFSET(#REF!,0,0,COUNTA(#REF!),1)</definedName>
    <definedName name="GenDol_BD">OFFSET(#REF!,0,0,COUNTA(#REF!),1)</definedName>
    <definedName name="GenDol_Corp" localSheetId="9">OFFSET(#REF!,0,0,COUNTA(#REF!),1)</definedName>
    <definedName name="GenDol_Corp" localSheetId="8">OFFSET(#REF!,0,0,COUNTA(#REF!),1)</definedName>
    <definedName name="GenDol_Corp">OFFSET(#REF!,0,0,COUNTA(#REF!),1)</definedName>
    <definedName name="GenDol_FuelType" localSheetId="9">OFFSET(#REF!,0,0,COUNTA(#REF!),1)</definedName>
    <definedName name="GenDol_FuelType" localSheetId="8">OFFSET(#REF!,0,0,COUNTA(#REF!),1)</definedName>
    <definedName name="GenDol_FuelType">OFFSET(#REF!,0,0,COUNTA(#REF!),1)</definedName>
    <definedName name="GenDol_Majmin" localSheetId="9">OFFSET(#REF!,0,0,COUNTA(#REF!),1)</definedName>
    <definedName name="GenDol_Majmin" localSheetId="8">OFFSET(#REF!,0,0,COUNTA(#REF!),1)</definedName>
    <definedName name="GenDol_Majmin">OFFSET(#REF!,0,0,COUNTA(#REF!),1)</definedName>
    <definedName name="GenDol_RMC" localSheetId="9">OFFSET(#REF!,0,0,COUNTA(#REF!),1)</definedName>
    <definedName name="GenDol_RMC" localSheetId="8">OFFSET(#REF!,0,0,COUNTA(#REF!),1)</definedName>
    <definedName name="GenDol_RMC">OFFSET(#REF!,0,0,COUNTA(#REF!),1)</definedName>
    <definedName name="GenDol_RT" localSheetId="9">OFFSET(#REF!,0,0,COUNTA(#REF!),1)</definedName>
    <definedName name="GenDol_RT" localSheetId="8">OFFSET(#REF!,0,0,COUNTA(#REF!),1)</definedName>
    <definedName name="GenDol_RT">OFFSET(#REF!,0,0,COUNTA(#REF!),1)</definedName>
    <definedName name="GenDolAmt" localSheetId="9">OFFSET(#REF!,0,0,COUNTA(#REF!),1)</definedName>
    <definedName name="GenDolAmt" localSheetId="8">OFFSET(#REF!,0,0,COUNTA(#REF!),1)</definedName>
    <definedName name="GenDolAmt">OFFSET(#REF!,0,0,COUNTA(#REF!),1)</definedName>
    <definedName name="GenDolYTD" localSheetId="9">OFFSET(#REF!,0,0,COUNTA(#REF!),1)</definedName>
    <definedName name="GenDolYTD" localSheetId="8">OFFSET(#REF!,0,0,COUNTA(#REF!),1)</definedName>
    <definedName name="GenDolYTD">OFFSET(#REF!,0,0,COUNTA(#REF!),1)</definedName>
    <definedName name="GenTons" localSheetId="9">OFFSET(#REF!,0,0,COUNTA(#REF!),1)</definedName>
    <definedName name="GenTons" localSheetId="8">OFFSET(#REF!,0,0,COUNTA(#REF!),1)</definedName>
    <definedName name="GenTons">OFFSET(#REF!,0,0,COUNTA(#REF!),1)</definedName>
    <definedName name="home" localSheetId="6">#REF!</definedName>
    <definedName name="home" localSheetId="2">#REF!</definedName>
    <definedName name="home" localSheetId="8">#REF!</definedName>
    <definedName name="home">#REF!</definedName>
    <definedName name="intedp2data" localSheetId="6">#REF!</definedName>
    <definedName name="intedp2data" localSheetId="2">#REF!</definedName>
    <definedName name="intedp2data" localSheetId="8">#REF!</definedName>
    <definedName name="intedp2data">#REF!</definedName>
    <definedName name="Inv_JE" localSheetId="6">#REF!</definedName>
    <definedName name="Inv_JE" localSheetId="2">#REF!</definedName>
    <definedName name="Inv_JE" localSheetId="8">#REF!</definedName>
    <definedName name="Inv_JE">#REF!</definedName>
    <definedName name="Inv_wp" localSheetId="6">#REF!</definedName>
    <definedName name="Inv_wp" localSheetId="2">#REF!</definedName>
    <definedName name="Inv_wp" localSheetId="8">#REF!</definedName>
    <definedName name="Inv_wp">#REF!</definedName>
    <definedName name="InvDol_Amt" localSheetId="9">OFFSET(#REF!,0,0,COUNTA(#REF!),1)</definedName>
    <definedName name="InvDol_Amt" localSheetId="8">OFFSET(#REF!,0,0,COUNTA(#REF!),1)</definedName>
    <definedName name="InvDol_Amt">OFFSET(#REF!,0,0,COUNTA(#REF!),1)</definedName>
    <definedName name="InvDol_AmtPrior" localSheetId="9">OFFSET(#REF!,0,0,COUNTA(#REF!),1)</definedName>
    <definedName name="InvDol_AmtPrior" localSheetId="8">OFFSET(#REF!,0,0,COUNTA(#REF!),1)</definedName>
    <definedName name="InvDol_AmtPrior">OFFSET(#REF!,0,0,COUNTA(#REF!),1)</definedName>
    <definedName name="InvDol_BD" localSheetId="9">OFFSET(#REF!,0,0,COUNTA(#REF!),1)</definedName>
    <definedName name="InvDol_BD" localSheetId="8">OFFSET(#REF!,0,0,COUNTA(#REF!),1)</definedName>
    <definedName name="InvDol_BD">OFFSET(#REF!,0,0,COUNTA(#REF!),1)</definedName>
    <definedName name="InvDol_FuelType" localSheetId="9">OFFSET(#REF!,0,0,COUNTA(#REF!),1)</definedName>
    <definedName name="InvDol_FuelType" localSheetId="8">OFFSET(#REF!,0,0,COUNTA(#REF!),1)</definedName>
    <definedName name="InvDol_FuelType">OFFSET(#REF!,0,0,COUNTA(#REF!),1)</definedName>
    <definedName name="InvDol_Majmin" localSheetId="9">OFFSET(#REF!,0,0,COUNTA(#REF!),1)</definedName>
    <definedName name="InvDol_Majmin" localSheetId="8">OFFSET(#REF!,0,0,COUNTA(#REF!),1)</definedName>
    <definedName name="InvDol_Majmin">OFFSET(#REF!,0,0,COUNTA(#REF!),1)</definedName>
    <definedName name="InvDolAmt" localSheetId="9">OFFSET(#REF!,0,0,COUNTA(#REF!),1)</definedName>
    <definedName name="InvDolAmt" localSheetId="8">OFFSET(#REF!,0,0,COUNTA(#REF!),1)</definedName>
    <definedName name="InvDolAmt">OFFSET(#REF!,0,0,COUNTA(#REF!),1)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anGenDol" localSheetId="9">OFFSET(#REF!,0,0,COUNTA(#REF!),1)</definedName>
    <definedName name="JanGenDol" localSheetId="8">OFFSET(#REF!,0,0,COUNTA(#REF!),1)</definedName>
    <definedName name="JanGenDol">OFFSET(#REF!,0,0,COUNTA(#REF!),1)</definedName>
    <definedName name="JanInvDol" localSheetId="9">OFFSET(#REF!,0,0,COUNTA(#REF!),1)</definedName>
    <definedName name="JanInvDol" localSheetId="8">OFFSET(#REF!,0,0,COUNTA(#REF!),1)</definedName>
    <definedName name="JanInvDol">OFFSET(#REF!,0,0,COUNTA(#REF!),1)</definedName>
    <definedName name="JanTonInv" localSheetId="9">OFFSET(#REF!,0,0,COUNTA(#REF!),1)</definedName>
    <definedName name="JanTonInv" localSheetId="8">OFFSET(#REF!,0,0,COUNTA(#REF!),1)</definedName>
    <definedName name="JanTonInv">OFFSET(#REF!,0,0,COUNTA(#REF!),1)</definedName>
    <definedName name="JanUnits" localSheetId="9">OFFSET(#REF!,0,0,COUNTA(#REF!),1)</definedName>
    <definedName name="JanUnits" localSheetId="8">OFFSET(#REF!,0,0,COUNTA(#REF!),1)</definedName>
    <definedName name="JanUnits">OFFSET(#REF!,0,0,COUNTA(#REF!),1)</definedName>
    <definedName name="JE33WP" localSheetId="6">#REF!</definedName>
    <definedName name="JE33WP" localSheetId="2">#REF!</definedName>
    <definedName name="JE33WP" localSheetId="8">#REF!</definedName>
    <definedName name="JE33WP">#REF!</definedName>
    <definedName name="JOURNAL_VOUCHER" localSheetId="6">#REF!</definedName>
    <definedName name="JOURNAL_VOUCHER" localSheetId="0">#REF!</definedName>
    <definedName name="JOURNAL_VOUCHER" localSheetId="1">#REF!</definedName>
    <definedName name="JOURNAL_VOUCHER" localSheetId="2">#REF!</definedName>
    <definedName name="JOURNAL_VOUCHER" localSheetId="10">#REF!</definedName>
    <definedName name="JOURNAL_VOUCHER" localSheetId="8">#REF!</definedName>
    <definedName name="JOURNAL_VOUCHER">#REF!</definedName>
    <definedName name="JulGenDol" localSheetId="9">OFFSET(#REF!,0,0,COUNTA(#REF!),1)</definedName>
    <definedName name="JulGenDol" localSheetId="8">OFFSET(#REF!,0,0,COUNTA(#REF!),1)</definedName>
    <definedName name="JulGenDol">OFFSET(#REF!,0,0,COUNTA(#REF!),1)</definedName>
    <definedName name="JulInvDol" localSheetId="9">OFFSET(#REF!,0,0,COUNTA(#REF!),1)</definedName>
    <definedName name="JulInvDol" localSheetId="8">OFFSET(#REF!,0,0,COUNTA(#REF!),1)</definedName>
    <definedName name="JulInvDol">OFFSET(#REF!,0,0,COUNTA(#REF!),1)</definedName>
    <definedName name="JulTonInv" localSheetId="9">OFFSET(#REF!,0,0,COUNTA(#REF!),1)</definedName>
    <definedName name="JulTonInv" localSheetId="8">OFFSET(#REF!,0,0,COUNTA(#REF!),1)</definedName>
    <definedName name="JulTonInv">OFFSET(#REF!,0,0,COUNTA(#REF!),1)</definedName>
    <definedName name="JulUnits" localSheetId="9">OFFSET(#REF!,0,0,COUNTA(#REF!),1)</definedName>
    <definedName name="JulUnits" localSheetId="8">OFFSET(#REF!,0,0,COUNTA(#REF!),1)</definedName>
    <definedName name="JulUnits">OFFSET(#REF!,0,0,COUNTA(#REF!),1)</definedName>
    <definedName name="JunGenDol" localSheetId="9">OFFSET(#REF!,0,0,COUNTA(#REF!),1)</definedName>
    <definedName name="JunGenDol" localSheetId="8">OFFSET(#REF!,0,0,COUNTA(#REF!),1)</definedName>
    <definedName name="JunGenDol">OFFSET(#REF!,0,0,COUNTA(#REF!),1)</definedName>
    <definedName name="JunInvDol" localSheetId="9">OFFSET(#REF!,0,0,COUNTA(#REF!),1)</definedName>
    <definedName name="JunInvDol" localSheetId="8">OFFSET(#REF!,0,0,COUNTA(#REF!),1)</definedName>
    <definedName name="JunInvDol">OFFSET(#REF!,0,0,COUNTA(#REF!),1)</definedName>
    <definedName name="JunTonInv" localSheetId="9">OFFSET(#REF!,0,0,COUNTA(#REF!),1)</definedName>
    <definedName name="JunTonInv" localSheetId="8">OFFSET(#REF!,0,0,COUNTA(#REF!),1)</definedName>
    <definedName name="JunTonInv">OFFSET(#REF!,0,0,COUNTA(#REF!),1)</definedName>
    <definedName name="JunUnits" localSheetId="9">OFFSET(#REF!,0,0,COUNTA(#REF!),1)</definedName>
    <definedName name="JunUnits" localSheetId="8">OFFSET(#REF!,0,0,COUNTA(#REF!),1)</definedName>
    <definedName name="JunUnits">OFFSET(#REF!,0,0,COUNTA(#REF!),1)</definedName>
    <definedName name="KVAR" localSheetId="6">#REF!</definedName>
    <definedName name="KVAR" localSheetId="2">#REF!</definedName>
    <definedName name="KVAR" localSheetId="8">#REF!</definedName>
    <definedName name="KVAR">#REF!</definedName>
    <definedName name="Kwh_Amt" localSheetId="9">OFFSET(#REF!,0,0,COUNTA(#REF!),1)</definedName>
    <definedName name="Kwh_Amt" localSheetId="8">OFFSET(#REF!,0,0,COUNTA(#REF!),1)</definedName>
    <definedName name="Kwh_Amt">OFFSET(#REF!,0,0,COUNTA(#REF!),1)</definedName>
    <definedName name="Kwh_Amt2" localSheetId="9">OFFSET(#REF!,0,0,COUNTA(#REF!),1)</definedName>
    <definedName name="Kwh_Amt2" localSheetId="8">OFFSET(#REF!,0,0,COUNTA(#REF!),1)</definedName>
    <definedName name="Kwh_Amt2">OFFSET(#REF!,0,0,COUNTA(#REF!),1)</definedName>
    <definedName name="Kwh_Amt3" localSheetId="9">OFFSET(#REF!,0,0,COUNTA(#REF!),1)</definedName>
    <definedName name="Kwh_Amt3" localSheetId="8">OFFSET(#REF!,0,0,COUNTA(#REF!),1)</definedName>
    <definedName name="Kwh_Amt3">OFFSET(#REF!,0,0,COUNTA(#REF!),1)</definedName>
    <definedName name="Kwh_Amt4" localSheetId="9">OFFSET(#REF!,0,0,COUNTA(#REF!),1)</definedName>
    <definedName name="Kwh_Amt4" localSheetId="8">OFFSET(#REF!,0,0,COUNTA(#REF!),1)</definedName>
    <definedName name="Kwh_Amt4">OFFSET(#REF!,0,0,COUNTA(#REF!),1)</definedName>
    <definedName name="Kwh_BD" localSheetId="9">OFFSET(#REF!,0,0,COUNTA(#REF!),1)</definedName>
    <definedName name="Kwh_BD" localSheetId="8">OFFSET(#REF!,0,0,COUNTA(#REF!),1)</definedName>
    <definedName name="Kwh_BD">OFFSET(#REF!,0,0,COUNTA(#REF!),1)</definedName>
    <definedName name="Kwh_Corp" localSheetId="9">OFFSET(#REF!,0,0,COUNTA(#REF!),1)</definedName>
    <definedName name="Kwh_Corp" localSheetId="8">OFFSET(#REF!,0,0,COUNTA(#REF!),1)</definedName>
    <definedName name="Kwh_Corp">OFFSET(#REF!,0,0,COUNTA(#REF!),1)</definedName>
    <definedName name="Kwh_majmin" localSheetId="9">OFFSET(#REF!,0,0,COUNTA(#REF!),1)</definedName>
    <definedName name="Kwh_majmin" localSheetId="8">OFFSET(#REF!,0,0,COUNTA(#REF!),1)</definedName>
    <definedName name="Kwh_majmin">OFFSET(#REF!,0,0,COUNTA(#REF!),1)</definedName>
    <definedName name="LABOR_RATIO" localSheetId="6">#REF!</definedName>
    <definedName name="LABOR_RATIO" localSheetId="0">#REF!</definedName>
    <definedName name="LABOR_RATIO" localSheetId="1">#REF!</definedName>
    <definedName name="LABOR_RATIO" localSheetId="2">#REF!</definedName>
    <definedName name="LABOR_RATIO" localSheetId="10">#REF!</definedName>
    <definedName name="LABOR_RATIO" localSheetId="8">#REF!</definedName>
    <definedName name="LABOR_RATIO">#REF!</definedName>
    <definedName name="LOV_FinGlDesktopEntryPageDef_HeaderAccountingPeriodList" hidden="1">#REF!</definedName>
    <definedName name="LOV_FinGlDesktopEntryPageDef_HeaderLedgerIdList" hidden="1">#REF!</definedName>
    <definedName name="LOV_FinGlDesktopEntryPageDef_HeaderReversalPeriodList" hidden="1">#REF!</definedName>
    <definedName name="LOV_FinGlDesktopEntryPageDef_HeaderSourceList" hidden="1">#REF!</definedName>
    <definedName name="LOV_oracle_apps_financials_generalLedger_journals_desktopEntry_di_FinGlDesktopMultibatchEntryPageDef_CurrencyCode" hidden="1">#REF!</definedName>
    <definedName name="LOV_oracle_apps_financials_generalLedger_journals_desktopEntry_di_FinGlDesktopMultibatchEntryPageDef_LedgerId" hidden="1">#REF!</definedName>
    <definedName name="LOV_oracle_apps_financials_generalLedger_journals_desktopEntry_di_FinGlDesktopMultibatchEntryPageDef_PeriodName" hidden="1">#REF!</definedName>
    <definedName name="LOV_oracle_apps_financials_generalLedger_journals_desktopEntry_di_FinGlDesktopMultibatchEntryPageDef_ReversalPeriodName" hidden="1">#REF!</definedName>
    <definedName name="LOV_oracle_apps_financials_generalLedger_journals_desktopEntry_di_FinGlDesktopMultibatchEntryPageDef_UserCurrencyConversionType" hidden="1">#REF!</definedName>
    <definedName name="LOV_oracle_apps_financials_generalLedger_journals_desktopEntry_di_FinGlDesktopMultibatchEntryPageDef_UserJeSourceName" hidden="1">#REF!</definedName>
    <definedName name="MailBCC" localSheetId="9">OFFSET(#REF!,0,0,COUNTA(#REF!),1)</definedName>
    <definedName name="MailBCC" localSheetId="8">OFFSET(#REF!,0,0,COUNTA(#REF!),1)</definedName>
    <definedName name="MailBCC">OFFSET(#REF!,0,0,COUNTA(#REF!),1)</definedName>
    <definedName name="MailCC" localSheetId="9">OFFSET(#REF!,0,0,COUNTA(#REF!),1)</definedName>
    <definedName name="MailCC" localSheetId="8">OFFSET(#REF!,0,0,COUNTA(#REF!),1)</definedName>
    <definedName name="MailCC">OFFSET(#REF!,0,0,COUNTA(#REF!),1)</definedName>
    <definedName name="MailTo" localSheetId="9">OFFSET(#REF!,0,0,COUNTA(#REF!),1)</definedName>
    <definedName name="MailTo" localSheetId="8">OFFSET(#REF!,0,0,COUNTA(#REF!),1)</definedName>
    <definedName name="MailTo">OFFSET(#REF!,0,0,COUNTA(#REF!),1)</definedName>
    <definedName name="MajminDol" localSheetId="9">OFFSET(#REF!,0,0,COUNTA(#REF!),1)</definedName>
    <definedName name="MajminDol" localSheetId="8">OFFSET(#REF!,0,0,COUNTA(#REF!),1)</definedName>
    <definedName name="MajminDol">OFFSET(#REF!,0,0,COUNTA(#REF!),1)</definedName>
    <definedName name="MAJMINGenDol" localSheetId="9">OFFSET(#REF!,0,0,COUNTA(#REF!),1)</definedName>
    <definedName name="MAJMINGenDol" localSheetId="8">OFFSET(#REF!,0,0,COUNTA(#REF!),1)</definedName>
    <definedName name="MAJMINGenDol">OFFSET(#REF!,0,0,COUNTA(#REF!),1)</definedName>
    <definedName name="MajminInvDol" localSheetId="9">OFFSET(#REF!,0,0,COUNTA(#REF!),1)</definedName>
    <definedName name="MajminInvDol" localSheetId="8">OFFSET(#REF!,0,0,COUNTA(#REF!),1)</definedName>
    <definedName name="MajminInvDol">OFFSET(#REF!,0,0,COUNTA(#REF!),1)</definedName>
    <definedName name="MajminTonInv" localSheetId="9">OFFSET(#REF!,0,0,COUNTA(#REF!),1)</definedName>
    <definedName name="MajminTonInv" localSheetId="8">OFFSET(#REF!,0,0,COUNTA(#REF!),1)</definedName>
    <definedName name="MajminTonInv">OFFSET(#REF!,0,0,COUNTA(#REF!),1)</definedName>
    <definedName name="MAJMINUnits" localSheetId="9">OFFSET(#REF!,0,0,COUNTA(#REF!),1)</definedName>
    <definedName name="MAJMINUnits" localSheetId="8">OFFSET(#REF!,0,0,COUNTA(#REF!),1)</definedName>
    <definedName name="MAJMINUnits">OFFSET(#REF!,0,0,COUNTA(#REF!),1)</definedName>
    <definedName name="MarGenDol" localSheetId="9">OFFSET(#REF!,0,0,COUNTA(#REF!),1)</definedName>
    <definedName name="MarGenDol" localSheetId="8">OFFSET(#REF!,0,0,COUNTA(#REF!),1)</definedName>
    <definedName name="MarGenDol">OFFSET(#REF!,0,0,COUNTA(#REF!),1)</definedName>
    <definedName name="MarInvDol" localSheetId="9">OFFSET(#REF!,0,0,COUNTA(#REF!),1)</definedName>
    <definedName name="MarInvDol" localSheetId="8">OFFSET(#REF!,0,0,COUNTA(#REF!),1)</definedName>
    <definedName name="MarInvDol">OFFSET(#REF!,0,0,COUNTA(#REF!),1)</definedName>
    <definedName name="MarTonInv" localSheetId="9">OFFSET(#REF!,0,0,COUNTA(#REF!),1)</definedName>
    <definedName name="MarTonInv" localSheetId="8">OFFSET(#REF!,0,0,COUNTA(#REF!),1)</definedName>
    <definedName name="MarTonInv">OFFSET(#REF!,0,0,COUNTA(#REF!),1)</definedName>
    <definedName name="MarUnits" localSheetId="9">OFFSET(#REF!,0,0,COUNTA(#REF!),1)</definedName>
    <definedName name="MarUnits" localSheetId="8">OFFSET(#REF!,0,0,COUNTA(#REF!),1)</definedName>
    <definedName name="MarUnits">OFFSET(#REF!,0,0,COUNTA(#REF!),1)</definedName>
    <definedName name="MatTonInv" localSheetId="9">OFFSET(#REF!,0,0,COUNTA(#REF!),1)</definedName>
    <definedName name="MatTonInv" localSheetId="8">OFFSET(#REF!,0,0,COUNTA(#REF!),1)</definedName>
    <definedName name="MatTonInv">OFFSET(#REF!,0,0,COUNTA(#REF!),1)</definedName>
    <definedName name="MayGenDol" localSheetId="9">OFFSET(#REF!,0,0,COUNTA(#REF!),1)</definedName>
    <definedName name="MayGenDol" localSheetId="8">OFFSET(#REF!,0,0,COUNTA(#REF!),1)</definedName>
    <definedName name="MayGenDol">OFFSET(#REF!,0,0,COUNTA(#REF!),1)</definedName>
    <definedName name="MayInvDol" localSheetId="9">OFFSET(#REF!,0,0,COUNTA(#REF!),1)</definedName>
    <definedName name="MayInvDol" localSheetId="8">OFFSET(#REF!,0,0,COUNTA(#REF!),1)</definedName>
    <definedName name="MayInvDol">OFFSET(#REF!,0,0,COUNTA(#REF!),1)</definedName>
    <definedName name="MayTonInv" localSheetId="9">OFFSET(#REF!,0,0,COUNTA(#REF!),1)</definedName>
    <definedName name="MayTonInv" localSheetId="8">OFFSET(#REF!,0,0,COUNTA(#REF!),1)</definedName>
    <definedName name="MayTonInv">OFFSET(#REF!,0,0,COUNTA(#REF!),1)</definedName>
    <definedName name="MayUnits" localSheetId="9">OFFSET(#REF!,0,0,COUNTA(#REF!),1)</definedName>
    <definedName name="MayUnits" localSheetId="8">OFFSET(#REF!,0,0,COUNTA(#REF!),1)</definedName>
    <definedName name="MayUnits">OFFSET(#REF!,0,0,COUNTA(#REF!),1)</definedName>
    <definedName name="Mid_Peak_KWH" localSheetId="6">#REF!</definedName>
    <definedName name="Mid_Peak_KWH" localSheetId="2">#REF!</definedName>
    <definedName name="Mid_Peak_KWH" localSheetId="8">#REF!</definedName>
    <definedName name="Mid_Peak_KWH">#REF!</definedName>
    <definedName name="MMbtu_amt" localSheetId="9">OFFSET(#REF!,0,0,COUNTA(#REF!),1)</definedName>
    <definedName name="MMbtu_amt" localSheetId="8">OFFSET(#REF!,0,0,COUNTA(#REF!),1)</definedName>
    <definedName name="MMbtu_amt">OFFSET(#REF!,0,0,COUNTA(#REF!),1)</definedName>
    <definedName name="MMbtu_amt01" localSheetId="9">OFFSET(#REF!,0,0,COUNTA(#REF!),1)</definedName>
    <definedName name="MMbtu_amt01" localSheetId="8">OFFSET(#REF!,0,0,COUNTA(#REF!),1)</definedName>
    <definedName name="MMbtu_amt01">OFFSET(#REF!,0,0,COUNTA(#REF!),1)</definedName>
    <definedName name="MMbtu_amt01p" localSheetId="9">OFFSET(#REF!,0,0,COUNTA(#REF!),1)</definedName>
    <definedName name="MMbtu_amt01p" localSheetId="8">OFFSET(#REF!,0,0,COUNTA(#REF!),1)</definedName>
    <definedName name="MMbtu_amt01p">OFFSET(#REF!,0,0,COUNTA(#REF!),1)</definedName>
    <definedName name="MMbtu_amt02" localSheetId="9">OFFSET(#REF!,0,0,COUNTA(#REF!),1)</definedName>
    <definedName name="MMbtu_amt02" localSheetId="8">OFFSET(#REF!,0,0,COUNTA(#REF!),1)</definedName>
    <definedName name="MMbtu_amt02">OFFSET(#REF!,0,0,COUNTA(#REF!),1)</definedName>
    <definedName name="MMbtu_amt02p" localSheetId="9">OFFSET(#REF!,0,0,COUNTA(#REF!),1)</definedName>
    <definedName name="MMbtu_amt02p" localSheetId="8">OFFSET(#REF!,0,0,COUNTA(#REF!),1)</definedName>
    <definedName name="MMbtu_amt02p">OFFSET(#REF!,0,0,COUNTA(#REF!),1)</definedName>
    <definedName name="MMbtu_amt03" localSheetId="9">OFFSET(#REF!,0,0,COUNTA(#REF!),1)</definedName>
    <definedName name="MMbtu_amt03" localSheetId="8">OFFSET(#REF!,0,0,COUNTA(#REF!),1)</definedName>
    <definedName name="MMbtu_amt03">OFFSET(#REF!,0,0,COUNTA(#REF!),1)</definedName>
    <definedName name="MMbtu_amt03p" localSheetId="9">OFFSET(#REF!,0,0,COUNTA(#REF!),1)</definedName>
    <definedName name="MMbtu_amt03p" localSheetId="8">OFFSET(#REF!,0,0,COUNTA(#REF!),1)</definedName>
    <definedName name="MMbtu_amt03p">OFFSET(#REF!,0,0,COUNTA(#REF!),1)</definedName>
    <definedName name="MMbtu_amt04" localSheetId="9">OFFSET(#REF!,0,0,COUNTA(#REF!),1)</definedName>
    <definedName name="MMbtu_amt04" localSheetId="8">OFFSET(#REF!,0,0,COUNTA(#REF!),1)</definedName>
    <definedName name="MMbtu_amt04">OFFSET(#REF!,0,0,COUNTA(#REF!),1)</definedName>
    <definedName name="MMbtu_amt04p" localSheetId="9">OFFSET(#REF!,0,0,COUNTA(#REF!),1)</definedName>
    <definedName name="MMbtu_amt04p" localSheetId="8">OFFSET(#REF!,0,0,COUNTA(#REF!),1)</definedName>
    <definedName name="MMbtu_amt04p">OFFSET(#REF!,0,0,COUNTA(#REF!),1)</definedName>
    <definedName name="MMbtu_amt05" localSheetId="9">OFFSET(#REF!,0,0,COUNTA(#REF!),1)</definedName>
    <definedName name="MMbtu_amt05" localSheetId="8">OFFSET(#REF!,0,0,COUNTA(#REF!),1)</definedName>
    <definedName name="MMbtu_amt05">OFFSET(#REF!,0,0,COUNTA(#REF!),1)</definedName>
    <definedName name="MMbtu_amt05p" localSheetId="9">OFFSET(#REF!,0,0,COUNTA(#REF!),1)</definedName>
    <definedName name="MMbtu_amt05p" localSheetId="8">OFFSET(#REF!,0,0,COUNTA(#REF!),1)</definedName>
    <definedName name="MMbtu_amt05p">OFFSET(#REF!,0,0,COUNTA(#REF!),1)</definedName>
    <definedName name="MMbtu_amt06" localSheetId="9">OFFSET(#REF!,0,0,COUNTA(#REF!),1)</definedName>
    <definedName name="MMbtu_amt06" localSheetId="8">OFFSET(#REF!,0,0,COUNTA(#REF!),1)</definedName>
    <definedName name="MMbtu_amt06">OFFSET(#REF!,0,0,COUNTA(#REF!),1)</definedName>
    <definedName name="MMbtu_amt06p" localSheetId="9">OFFSET(#REF!,0,0,COUNTA(#REF!),1)</definedName>
    <definedName name="MMbtu_amt06p" localSheetId="8">OFFSET(#REF!,0,0,COUNTA(#REF!),1)</definedName>
    <definedName name="MMbtu_amt06p">OFFSET(#REF!,0,0,COUNTA(#REF!),1)</definedName>
    <definedName name="MMbtu_amt07" localSheetId="9">OFFSET(#REF!,0,0,COUNTA(#REF!),1)</definedName>
    <definedName name="MMbtu_amt07" localSheetId="8">OFFSET(#REF!,0,0,COUNTA(#REF!),1)</definedName>
    <definedName name="MMbtu_amt07">OFFSET(#REF!,0,0,COUNTA(#REF!),1)</definedName>
    <definedName name="MMbtu_amt07p" localSheetId="9">OFFSET(#REF!,0,0,COUNTA(#REF!),1)</definedName>
    <definedName name="MMbtu_amt07p" localSheetId="8">OFFSET(#REF!,0,0,COUNTA(#REF!),1)</definedName>
    <definedName name="MMbtu_amt07p">OFFSET(#REF!,0,0,COUNTA(#REF!),1)</definedName>
    <definedName name="MMbtu_amt08" localSheetId="9">OFFSET(#REF!,0,0,COUNTA(#REF!),1)</definedName>
    <definedName name="MMbtu_amt08" localSheetId="8">OFFSET(#REF!,0,0,COUNTA(#REF!),1)</definedName>
    <definedName name="MMbtu_amt08">OFFSET(#REF!,0,0,COUNTA(#REF!),1)</definedName>
    <definedName name="MMbtu_amt08p" localSheetId="9">OFFSET(#REF!,0,0,COUNTA(#REF!),1)</definedName>
    <definedName name="MMbtu_amt08p" localSheetId="8">OFFSET(#REF!,0,0,COUNTA(#REF!),1)</definedName>
    <definedName name="MMbtu_amt08p">OFFSET(#REF!,0,0,COUNTA(#REF!),1)</definedName>
    <definedName name="MMbtu_amt09" localSheetId="9">OFFSET(#REF!,0,0,COUNTA(#REF!),1)</definedName>
    <definedName name="MMbtu_amt09" localSheetId="8">OFFSET(#REF!,0,0,COUNTA(#REF!),1)</definedName>
    <definedName name="MMbtu_amt09">OFFSET(#REF!,0,0,COUNTA(#REF!),1)</definedName>
    <definedName name="MMbtu_amt09p" localSheetId="9">OFFSET(#REF!,0,0,COUNTA(#REF!),1)</definedName>
    <definedName name="MMbtu_amt09p" localSheetId="8">OFFSET(#REF!,0,0,COUNTA(#REF!),1)</definedName>
    <definedName name="MMbtu_amt09p">OFFSET(#REF!,0,0,COUNTA(#REF!),1)</definedName>
    <definedName name="MMbtu_amt10" localSheetId="9">OFFSET(#REF!,0,0,COUNTA(#REF!),1)</definedName>
    <definedName name="MMbtu_amt10" localSheetId="8">OFFSET(#REF!,0,0,COUNTA(#REF!),1)</definedName>
    <definedName name="MMbtu_amt10">OFFSET(#REF!,0,0,COUNTA(#REF!),1)</definedName>
    <definedName name="MMbtu_amt10p" localSheetId="9">OFFSET(#REF!,0,0,COUNTA(#REF!),1)</definedName>
    <definedName name="MMbtu_amt10p" localSheetId="8">OFFSET(#REF!,0,0,COUNTA(#REF!),1)</definedName>
    <definedName name="MMbtu_amt10p">OFFSET(#REF!,0,0,COUNTA(#REF!),1)</definedName>
    <definedName name="MMbtu_amt11" localSheetId="9">OFFSET(#REF!,0,0,COUNTA(#REF!),1)</definedName>
    <definedName name="MMbtu_amt11" localSheetId="8">OFFSET(#REF!,0,0,COUNTA(#REF!),1)</definedName>
    <definedName name="MMbtu_amt11">OFFSET(#REF!,0,0,COUNTA(#REF!),1)</definedName>
    <definedName name="MMbtu_amt11p" localSheetId="9">OFFSET(#REF!,0,0,COUNTA(#REF!),1)</definedName>
    <definedName name="MMbtu_amt11p" localSheetId="8">OFFSET(#REF!,0,0,COUNTA(#REF!),1)</definedName>
    <definedName name="MMbtu_amt11p">OFFSET(#REF!,0,0,COUNTA(#REF!),1)</definedName>
    <definedName name="MMbtu_amt12" localSheetId="9">OFFSET(#REF!,0,0,COUNTA(#REF!),1)</definedName>
    <definedName name="MMbtu_amt12" localSheetId="8">OFFSET(#REF!,0,0,COUNTA(#REF!),1)</definedName>
    <definedName name="MMbtu_amt12">OFFSET(#REF!,0,0,COUNTA(#REF!),1)</definedName>
    <definedName name="MMbtu_amt12p" localSheetId="9">OFFSET(#REF!,0,0,COUNTA(#REF!),1)</definedName>
    <definedName name="MMbtu_amt12p" localSheetId="8">OFFSET(#REF!,0,0,COUNTA(#REF!),1)</definedName>
    <definedName name="MMbtu_amt12p">OFFSET(#REF!,0,0,COUNTA(#REF!),1)</definedName>
    <definedName name="MMbtu_amt2" localSheetId="9">OFFSET(#REF!,0,0,COUNTA(#REF!),1)</definedName>
    <definedName name="MMbtu_amt2" localSheetId="8">OFFSET(#REF!,0,0,COUNTA(#REF!),1)</definedName>
    <definedName name="MMbtu_amt2">OFFSET(#REF!,0,0,COUNTA(#REF!),1)</definedName>
    <definedName name="MMbtu_amt3" localSheetId="9">OFFSET(#REF!,0,0,COUNTA(#REF!),1)</definedName>
    <definedName name="MMbtu_amt3" localSheetId="8">OFFSET(#REF!,0,0,COUNTA(#REF!),1)</definedName>
    <definedName name="MMbtu_amt3">OFFSET(#REF!,0,0,COUNTA(#REF!),1)</definedName>
    <definedName name="MMbtu_amt4" localSheetId="9">OFFSET(#REF!,0,0,COUNTA(#REF!),1)</definedName>
    <definedName name="MMbtu_amt4" localSheetId="8">OFFSET(#REF!,0,0,COUNTA(#REF!),1)</definedName>
    <definedName name="MMbtu_amt4">OFFSET(#REF!,0,0,COUNTA(#REF!),1)</definedName>
    <definedName name="MMbtu_BD" localSheetId="9">OFFSET(#REF!,0,0,COUNTA(#REF!),1)</definedName>
    <definedName name="MMbtu_BD" localSheetId="8">OFFSET(#REF!,0,0,COUNTA(#REF!),1)</definedName>
    <definedName name="MMbtu_BD">OFFSET(#REF!,0,0,COUNTA(#REF!),1)</definedName>
    <definedName name="MMbtu_Corp" localSheetId="9">OFFSET(#REF!,0,0,COUNTA(#REF!),1)</definedName>
    <definedName name="MMbtu_Corp" localSheetId="8">OFFSET(#REF!,0,0,COUNTA(#REF!),1)</definedName>
    <definedName name="MMbtu_Corp">OFFSET(#REF!,0,0,COUNTA(#REF!),1)</definedName>
    <definedName name="MMbtu_FuelType" localSheetId="9">OFFSET(#REF!,0,0,COUNTA(#REF!),1)</definedName>
    <definedName name="MMbtu_FuelType" localSheetId="8">OFFSET(#REF!,0,0,COUNTA(#REF!),1)</definedName>
    <definedName name="MMbtu_FuelType">OFFSET(#REF!,0,0,COUNTA(#REF!),1)</definedName>
    <definedName name="MMbtu_Majmin" localSheetId="9">OFFSET(#REF!,0,0,COUNTA(#REF!),1)</definedName>
    <definedName name="MMbtu_Majmin" localSheetId="8">OFFSET(#REF!,0,0,COUNTA(#REF!),1)</definedName>
    <definedName name="MMbtu_Majmin">OFFSET(#REF!,0,0,COUNTA(#REF!),1)</definedName>
    <definedName name="MMbtu_RMC" localSheetId="9">OFFSET(#REF!,0,0,COUNTA(#REF!),1)</definedName>
    <definedName name="MMbtu_RMC" localSheetId="8">OFFSET(#REF!,0,0,COUNTA(#REF!),1)</definedName>
    <definedName name="MMbtu_RMC">OFFSET(#REF!,0,0,COUNTA(#REF!),1)</definedName>
    <definedName name="MMbtu_RT" localSheetId="9">OFFSET(#REF!,0,0,COUNTA(#REF!),1)</definedName>
    <definedName name="MMbtu_RT" localSheetId="8">OFFSET(#REF!,0,0,COUNTA(#REF!),1)</definedName>
    <definedName name="MMbtu_RT">OFFSET(#REF!,0,0,COUNTA(#REF!),1)</definedName>
    <definedName name="mmbtu_YTD" localSheetId="9">OFFSET(#REF!,0,0,COUNTA(#REF!),1)</definedName>
    <definedName name="mmbtu_YTD" localSheetId="8">OFFSET(#REF!,0,0,COUNTA(#REF!),1)</definedName>
    <definedName name="mmbtu_YTD">OFFSET(#REF!,0,0,COUNTA(#REF!),1)</definedName>
    <definedName name="Month" localSheetId="6">#REF!</definedName>
    <definedName name="Month" localSheetId="2">#REF!</definedName>
    <definedName name="Month" localSheetId="8">#REF!</definedName>
    <definedName name="Month">#REF!</definedName>
    <definedName name="MonthNum" localSheetId="6">#REF!</definedName>
    <definedName name="MonthNum" localSheetId="2">#REF!</definedName>
    <definedName name="MonthNum" localSheetId="8">#REF!</definedName>
    <definedName name="MonthNum">#REF!</definedName>
    <definedName name="Muni_Billable_KWH" localSheetId="6">#REF!</definedName>
    <definedName name="Muni_Billable_KWH" localSheetId="2">#REF!</definedName>
    <definedName name="Muni_Billable_KWH" localSheetId="8">#REF!</definedName>
    <definedName name="Muni_Billable_KWH">#REF!</definedName>
    <definedName name="NET_Book_Ratio" localSheetId="9">#REF!</definedName>
    <definedName name="NET_Book_Ratio" localSheetId="8">#REF!</definedName>
    <definedName name="NET_Book_Ratio">#REF!</definedName>
    <definedName name="new" localSheetId="6">#REF!</definedName>
    <definedName name="new" localSheetId="2">#REF!</definedName>
    <definedName name="new" localSheetId="8">#REF!</definedName>
    <definedName name="new">#REF!</definedName>
    <definedName name="newa" localSheetId="6">#REF!</definedName>
    <definedName name="newa" localSheetId="2">#REF!</definedName>
    <definedName name="newa" localSheetId="8">#REF!</definedName>
    <definedName name="newa">#REF!</definedName>
    <definedName name="NonGenDol" localSheetId="9">OFFSET(#REF!,0,0,COUNTA(#REF!),1)</definedName>
    <definedName name="NonGenDol" localSheetId="8">OFFSET(#REF!,0,0,COUNTA(#REF!),1)</definedName>
    <definedName name="NonGenDol">OFFSET(#REF!,0,0,COUNTA(#REF!),1)</definedName>
    <definedName name="NonGenTons" localSheetId="9">OFFSET(#REF!,0,0,COUNTA(#REF!),1)</definedName>
    <definedName name="NonGenTons" localSheetId="8">OFFSET(#REF!,0,0,COUNTA(#REF!),1)</definedName>
    <definedName name="NonGenTons">OFFSET(#REF!,0,0,COUNTA(#REF!),1)</definedName>
    <definedName name="NovgenDol" localSheetId="9">OFFSET(#REF!,0,0,COUNTA(#REF!),1)</definedName>
    <definedName name="NovgenDol" localSheetId="8">OFFSET(#REF!,0,0,COUNTA(#REF!),1)</definedName>
    <definedName name="NovgenDol">OFFSET(#REF!,0,0,COUNTA(#REF!),1)</definedName>
    <definedName name="NovInvDol" localSheetId="9">OFFSET(#REF!,0,0,COUNTA(#REF!),1)</definedName>
    <definedName name="NovInvDol" localSheetId="8">OFFSET(#REF!,0,0,COUNTA(#REF!),1)</definedName>
    <definedName name="NovInvDol">OFFSET(#REF!,0,0,COUNTA(#REF!),1)</definedName>
    <definedName name="NovTonInv" localSheetId="9">OFFSET(#REF!,0,0,COUNTA(#REF!),1)</definedName>
    <definedName name="NovTonInv" localSheetId="8">OFFSET(#REF!,0,0,COUNTA(#REF!),1)</definedName>
    <definedName name="NovTonInv">OFFSET(#REF!,0,0,COUNTA(#REF!),1)</definedName>
    <definedName name="NovUnits" localSheetId="9">OFFSET(#REF!,0,0,COUNTA(#REF!),1)</definedName>
    <definedName name="NovUnits" localSheetId="8">OFFSET(#REF!,0,0,COUNTA(#REF!),1)</definedName>
    <definedName name="NovUnits">OFFSET(#REF!,0,0,COUNTA(#REF!),1)</definedName>
    <definedName name="now" localSheetId="6">#REF!</definedName>
    <definedName name="now" localSheetId="2">#REF!</definedName>
    <definedName name="now" localSheetId="8">#REF!</definedName>
    <definedName name="now">#REF!</definedName>
    <definedName name="NOx" localSheetId="6">#REF!</definedName>
    <definedName name="NOx" localSheetId="2">#REF!</definedName>
    <definedName name="NOx" localSheetId="8">#REF!</definedName>
    <definedName name="NOx">#REF!</definedName>
    <definedName name="NUC_ratio" localSheetId="9">#REF!</definedName>
    <definedName name="NUC_ratio" localSheetId="8">#REF!</definedName>
    <definedName name="NUC_ratio">#REF!</definedName>
    <definedName name="NvsASD">"V2002-12-31"</definedName>
    <definedName name="NvsAutoDrillOk">"VN"</definedName>
    <definedName name="NvsElapsedTime">0.00648252314567799</definedName>
    <definedName name="NvsEndTime">37718.2618033565</definedName>
    <definedName name="NvsInstSpec">"%,FBUSINESS_UNIT,TCONSOLIDATION,NCILCO"</definedName>
    <definedName name="NvsLayoutType">"M3"</definedName>
    <definedName name="NvsPanelEffdt">"V1900-01-01"</definedName>
    <definedName name="NvsPanelSetid">"VCORP1"</definedName>
    <definedName name="NvsReqBU">"V01100"</definedName>
    <definedName name="NvsReqBUOnly">"VN"</definedName>
    <definedName name="NvsTransLed">"VN"</definedName>
    <definedName name="NvsTreeASD">"V2002-12-31"</definedName>
    <definedName name="OctGenDol" localSheetId="9">OFFSET(#REF!,0,0,COUNTA(#REF!),1)</definedName>
    <definedName name="OctGenDol" localSheetId="8">OFFSET(#REF!,0,0,COUNTA(#REF!),1)</definedName>
    <definedName name="OctGenDol">OFFSET(#REF!,0,0,COUNTA(#REF!),1)</definedName>
    <definedName name="OctInvDol" localSheetId="9">OFFSET(#REF!,0,0,COUNTA(#REF!),1)</definedName>
    <definedName name="OctInvDol" localSheetId="8">OFFSET(#REF!,0,0,COUNTA(#REF!),1)</definedName>
    <definedName name="OctInvDol">OFFSET(#REF!,0,0,COUNTA(#REF!),1)</definedName>
    <definedName name="OctTonInv" localSheetId="9">OFFSET(#REF!,0,0,COUNTA(#REF!),1)</definedName>
    <definedName name="OctTonInv" localSheetId="8">OFFSET(#REF!,0,0,COUNTA(#REF!),1)</definedName>
    <definedName name="OctTonInv">OFFSET(#REF!,0,0,COUNTA(#REF!),1)</definedName>
    <definedName name="OctUnits" localSheetId="9">OFFSET(#REF!,0,0,COUNTA(#REF!),1)</definedName>
    <definedName name="OctUnits" localSheetId="8">OFFSET(#REF!,0,0,COUNTA(#REF!),1)</definedName>
    <definedName name="OctUnits">OFFSET(#REF!,0,0,COUNTA(#REF!),1)</definedName>
    <definedName name="Off_Peak_KWH" localSheetId="6">#REF!</definedName>
    <definedName name="Off_Peak_KWH" localSheetId="2">#REF!</definedName>
    <definedName name="Off_Peak_KWH" localSheetId="8">#REF!</definedName>
    <definedName name="Off_Peak_KWH">#REF!</definedName>
    <definedName name="Office" localSheetId="6">#REF!</definedName>
    <definedName name="Office" localSheetId="2">#REF!</definedName>
    <definedName name="Office" localSheetId="8">#REF!</definedName>
    <definedName name="Office">#REF!</definedName>
    <definedName name="On_Peak_KWH" localSheetId="6">#REF!</definedName>
    <definedName name="On_Peak_KWH" localSheetId="2">#REF!</definedName>
    <definedName name="On_Peak_KWH" localSheetId="8">#REF!</definedName>
    <definedName name="On_Peak_KWH">#REF!</definedName>
    <definedName name="OTHER_TAXES" localSheetId="6">#REF!</definedName>
    <definedName name="OTHER_TAXES" localSheetId="0">#REF!</definedName>
    <definedName name="OTHER_TAXES" localSheetId="1">#REF!</definedName>
    <definedName name="OTHER_TAXES" localSheetId="2">#REF!</definedName>
    <definedName name="OTHER_TAXES" localSheetId="10">#REF!</definedName>
    <definedName name="OTHER_TAXES" localSheetId="8">#REF!</definedName>
    <definedName name="OTHER_TAXES">#REF!</definedName>
    <definedName name="OTHER_TAXES_2" localSheetId="6">#REF!</definedName>
    <definedName name="OTHER_TAXES_2" localSheetId="0">#REF!</definedName>
    <definedName name="OTHER_TAXES_2" localSheetId="1">#REF!</definedName>
    <definedName name="OTHER_TAXES_2" localSheetId="2">#REF!</definedName>
    <definedName name="OTHER_TAXES_2" localSheetId="10">#REF!</definedName>
    <definedName name="OTHER_TAXES_2" localSheetId="8">#REF!</definedName>
    <definedName name="OTHER_TAXES_2">#REF!</definedName>
    <definedName name="Other_Usage" localSheetId="6">#REF!</definedName>
    <definedName name="Other_Usage" localSheetId="2">#REF!</definedName>
    <definedName name="Other_Usage" localSheetId="8">#REF!</definedName>
    <definedName name="Other_Usage">#REF!</definedName>
    <definedName name="p" localSheetId="6">#REF!</definedName>
    <definedName name="p" localSheetId="0">#REF!</definedName>
    <definedName name="p" localSheetId="1">#REF!</definedName>
    <definedName name="p" localSheetId="2">#REF!</definedName>
    <definedName name="p" localSheetId="3">#REF!</definedName>
    <definedName name="p" localSheetId="9">#REF!</definedName>
    <definedName name="p" localSheetId="8">#REF!</definedName>
    <definedName name="p">#REF!</definedName>
    <definedName name="Peak_Load_Ratio" localSheetId="9">#REF!</definedName>
    <definedName name="Peak_Load_Ratio" localSheetId="8">#REF!</definedName>
    <definedName name="Peak_Load_Ratio">#REF!</definedName>
    <definedName name="PeriodDol" localSheetId="9">OFFSET(#REF!,0,0,COUNTA(#REF!),1)</definedName>
    <definedName name="PeriodDol" localSheetId="8">OFFSET(#REF!,0,0,COUNTA(#REF!),1)</definedName>
    <definedName name="PeriodDol">OFFSET(#REF!,0,0,COUNTA(#REF!),1)</definedName>
    <definedName name="PeriodDolPrior" localSheetId="9">OFFSET(#REF!,0,0,COUNTA(#REF!),1)</definedName>
    <definedName name="PeriodDolPrior" localSheetId="8">OFFSET(#REF!,0,0,COUNTA(#REF!),1)</definedName>
    <definedName name="PeriodDolPrior">OFFSET(#REF!,0,0,COUNTA(#REF!),1)</definedName>
    <definedName name="PeriodTonInv" localSheetId="9">OFFSET(#REF!,0,0,COUNTA(#REF!),1)</definedName>
    <definedName name="PeriodTonInv" localSheetId="8">OFFSET(#REF!,0,0,COUNTA(#REF!),1)</definedName>
    <definedName name="PeriodTonInv">OFFSET(#REF!,0,0,COUNTA(#REF!),1)</definedName>
    <definedName name="PlanDol" localSheetId="9">OFFSET(#REF!,0,0,COUNTA(#REF!),1)</definedName>
    <definedName name="PlanDol" localSheetId="8">OFFSET(#REF!,0,0,COUNTA(#REF!),1)</definedName>
    <definedName name="PlanDol">OFFSET(#REF!,0,0,COUNTA(#REF!),1)</definedName>
    <definedName name="PlantTons" localSheetId="9">OFFSET(#REF!,0,0,COUNTA(#REF!),1)</definedName>
    <definedName name="PlantTons" localSheetId="8">OFFSET(#REF!,0,0,COUNTA(#REF!),1)</definedName>
    <definedName name="PlantTons">OFFSET(#REF!,0,0,COUNTA(#REF!),1)</definedName>
    <definedName name="POOL" localSheetId="6">#REF!</definedName>
    <definedName name="POOL" localSheetId="0">#REF!</definedName>
    <definedName name="POOL" localSheetId="1">#REF!</definedName>
    <definedName name="POOL" localSheetId="2">#REF!</definedName>
    <definedName name="POOL" localSheetId="3">#REF!</definedName>
    <definedName name="POOL" localSheetId="8">#REF!</definedName>
    <definedName name="POOL">#REF!</definedName>
    <definedName name="Primary_Month" localSheetId="6">#REF!</definedName>
    <definedName name="Primary_Month" localSheetId="2">#REF!</definedName>
    <definedName name="Primary_Month" localSheetId="8">#REF!</definedName>
    <definedName name="Primary_Month">#REF!</definedName>
    <definedName name="_xlnm.Print_Area" localSheetId="19">'Apr 25 Int'!$A$1:$ER$41</definedName>
    <definedName name="_xlnm.Print_Area" localSheetId="11">'Aug 24 Int'!$A$1:$ER$42</definedName>
    <definedName name="_xlnm.Print_Area" localSheetId="15">'Dec 24 Int'!$A$1:$ER$42</definedName>
    <definedName name="_xlnm.Print_Area" localSheetId="17">'Feb 25 Int'!$A$1:$ER$39</definedName>
    <definedName name="_xlnm.Print_Area" localSheetId="16">'Jan 25 Int'!$A$1:$ER$42</definedName>
    <definedName name="_xlnm.Print_Area" localSheetId="22">'Jul 25 Int'!$A$1:$ER$42</definedName>
    <definedName name="_xlnm.Print_Area" localSheetId="21">'Jun 25 Int'!$A$1:$ER$41</definedName>
    <definedName name="_xlnm.Print_Area" localSheetId="18">'Mar 25 Int'!$A$1:$ER$42</definedName>
    <definedName name="_xlnm.Print_Area" localSheetId="20">'May 25 Int'!$A$1:$ER$42</definedName>
    <definedName name="_xlnm.Print_Area" localSheetId="13">'Oct 24 Int'!$A$1:$ER$42</definedName>
    <definedName name="_xlnm.Print_Area" localSheetId="4">'Rate Schedule'!$A$1:$D$22</definedName>
    <definedName name="_xlnm.Print_Area" localSheetId="12">'Sept 24 Int'!$A$1:$ER$44</definedName>
    <definedName name="Print_Area_MI" localSheetId="6">#REF!</definedName>
    <definedName name="Print_Area_MI" localSheetId="2">#REF!</definedName>
    <definedName name="Print_Area_MI" localSheetId="8">#REF!</definedName>
    <definedName name="Print_Area_MI">#REF!</definedName>
    <definedName name="PRINT_MACRO" localSheetId="6">#REF!</definedName>
    <definedName name="PRINT_MACRO" localSheetId="0">#REF!</definedName>
    <definedName name="PRINT_MACRO" localSheetId="1">#REF!</definedName>
    <definedName name="PRINT_MACRO" localSheetId="2">#REF!</definedName>
    <definedName name="PRINT_MACRO" localSheetId="10">#REF!</definedName>
    <definedName name="PRINT_MACRO" localSheetId="8">#REF!</definedName>
    <definedName name="PRINT_MACRO">#REF!</definedName>
    <definedName name="PriorPeriodTonInv" localSheetId="9">OFFSET(#REF!,0,0,COUNTA(#REF!),1)</definedName>
    <definedName name="PriorPeriodTonInv" localSheetId="8">OFFSET(#REF!,0,0,COUNTA(#REF!),1)</definedName>
    <definedName name="PriorPeriodTonInv">OFFSET(#REF!,0,0,COUNTA(#REF!),1)</definedName>
    <definedName name="proforma2" localSheetId="6">#REF!</definedName>
    <definedName name="proforma2" localSheetId="2">#REF!</definedName>
    <definedName name="proforma2" localSheetId="8">#REF!</definedName>
    <definedName name="proforma2">#REF!</definedName>
    <definedName name="PUR" localSheetId="6">#REF!</definedName>
    <definedName name="PUR" localSheetId="0">#REF!</definedName>
    <definedName name="PUR" localSheetId="1">#REF!</definedName>
    <definedName name="PUR" localSheetId="2">#REF!</definedName>
    <definedName name="PUR" localSheetId="3">#REF!</definedName>
    <definedName name="PUR" localSheetId="8">#REF!</definedName>
    <definedName name="PUR">#REF!</definedName>
    <definedName name="q" localSheetId="6">#REF!</definedName>
    <definedName name="q" localSheetId="0">#REF!</definedName>
    <definedName name="q" localSheetId="1">#REF!</definedName>
    <definedName name="q" localSheetId="2">#REF!</definedName>
    <definedName name="q" localSheetId="3">#REF!</definedName>
    <definedName name="q" localSheetId="9">#REF!</definedName>
    <definedName name="q" localSheetId="8">#REF!</definedName>
    <definedName name="q">#REF!</definedName>
    <definedName name="RANGE_NAMES" localSheetId="6">#REF!</definedName>
    <definedName name="RANGE_NAMES" localSheetId="0">#REF!</definedName>
    <definedName name="RANGE_NAMES" localSheetId="1">#REF!</definedName>
    <definedName name="RANGE_NAMES" localSheetId="2">#REF!</definedName>
    <definedName name="RANGE_NAMES" localSheetId="10">#REF!</definedName>
    <definedName name="RANGE_NAMES" localSheetId="8">#REF!</definedName>
    <definedName name="RANGE_NAMES">#REF!</definedName>
    <definedName name="Rate" localSheetId="6">#REF!</definedName>
    <definedName name="Rate" localSheetId="2">#REF!</definedName>
    <definedName name="Rate" localSheetId="8">#REF!</definedName>
    <definedName name="Rate">#REF!</definedName>
    <definedName name="Rate_Month" localSheetId="6">#REF!</definedName>
    <definedName name="Rate_Month" localSheetId="2">#REF!</definedName>
    <definedName name="Rate_Month" localSheetId="8">#REF!</definedName>
    <definedName name="Rate_Month">#REF!</definedName>
    <definedName name="rates" localSheetId="9">#REF!</definedName>
    <definedName name="rates" localSheetId="8">#REF!</definedName>
    <definedName name="rates">#REF!</definedName>
    <definedName name="rd_d" localSheetId="6">#REF!</definedName>
    <definedName name="rd_d" localSheetId="2">#REF!</definedName>
    <definedName name="rd_d" localSheetId="8">#REF!</definedName>
    <definedName name="rd_d">#REF!</definedName>
    <definedName name="RdrB138" localSheetId="6">#REF!</definedName>
    <definedName name="RdrB138" localSheetId="2">#REF!</definedName>
    <definedName name="RdrB138" localSheetId="8">#REF!</definedName>
    <definedName name="RdrB138">#REF!</definedName>
    <definedName name="RdrB34" localSheetId="6">#REF!</definedName>
    <definedName name="RdrB34" localSheetId="2">#REF!</definedName>
    <definedName name="RdrB34" localSheetId="8">#REF!</definedName>
    <definedName name="RdrB34">#REF!</definedName>
    <definedName name="Reactive_KVAR" localSheetId="6">#REF!</definedName>
    <definedName name="Reactive_KVAR" localSheetId="2">#REF!</definedName>
    <definedName name="Reactive_KVAR" localSheetId="8">#REF!</definedName>
    <definedName name="Reactive_KVAR">#REF!</definedName>
    <definedName name="Rec_Rate" localSheetId="6">#REF!</definedName>
    <definedName name="Rec_Rate" localSheetId="0">#REF!</definedName>
    <definedName name="Rec_Rate" localSheetId="1">#REF!</definedName>
    <definedName name="Rec_Rate" localSheetId="2">#REF!</definedName>
    <definedName name="Rec_Rate" localSheetId="10">'Rate Base'!#REF!</definedName>
    <definedName name="Rec_Rate" localSheetId="8">#REF!</definedName>
    <definedName name="Rec_Rate">#REF!</definedName>
    <definedName name="rename1">#N/A</definedName>
    <definedName name="rename2" localSheetId="6">PAGE5</definedName>
    <definedName name="rename2" localSheetId="2">PAGE5</definedName>
    <definedName name="rename2" localSheetId="9">PAGE5</definedName>
    <definedName name="rename2" localSheetId="8">PAGE5</definedName>
    <definedName name="rename2">PAGE5</definedName>
    <definedName name="Revenue_Month" localSheetId="6">#REF!</definedName>
    <definedName name="Revenue_Month" localSheetId="2">#REF!</definedName>
    <definedName name="Revenue_Month" localSheetId="8">#REF!</definedName>
    <definedName name="Revenue_Month">#REF!</definedName>
    <definedName name="RGRG" localSheetId="8">#REF!</definedName>
    <definedName name="RGRG">#REF!</definedName>
    <definedName name="Rider_1" localSheetId="6">#REF!</definedName>
    <definedName name="Rider_1" localSheetId="2">#REF!</definedName>
    <definedName name="Rider_1" localSheetId="8">#REF!</definedName>
    <definedName name="Rider_1">#REF!</definedName>
    <definedName name="Rider_2" localSheetId="6">#REF!</definedName>
    <definedName name="Rider_2" localSheetId="2">#REF!</definedName>
    <definedName name="Rider_2" localSheetId="8">#REF!</definedName>
    <definedName name="Rider_2">#REF!</definedName>
    <definedName name="Rider_3" localSheetId="6">#REF!</definedName>
    <definedName name="Rider_3" localSheetId="2">#REF!</definedName>
    <definedName name="Rider_3" localSheetId="8">#REF!</definedName>
    <definedName name="Rider_3">#REF!</definedName>
    <definedName name="Rider_4" localSheetId="6">#REF!</definedName>
    <definedName name="Rider_4" localSheetId="2">#REF!</definedName>
    <definedName name="Rider_4" localSheetId="8">#REF!</definedName>
    <definedName name="Rider_4">#REF!</definedName>
    <definedName name="Rider_5" localSheetId="6">#REF!</definedName>
    <definedName name="Rider_5" localSheetId="2">#REF!</definedName>
    <definedName name="Rider_5" localSheetId="8">#REF!</definedName>
    <definedName name="Rider_5">#REF!</definedName>
    <definedName name="RMCGenDol" localSheetId="9">OFFSET(#REF!,0,0,COUNTA(#REF!),1)</definedName>
    <definedName name="RMCGenDol" localSheetId="8">OFFSET(#REF!,0,0,COUNTA(#REF!),1)</definedName>
    <definedName name="RMCGenDol">OFFSET(#REF!,0,0,COUNTA(#REF!),1)</definedName>
    <definedName name="RMCUnits" localSheetId="9">OFFSET(#REF!,0,0,COUNTA(#REF!),1)</definedName>
    <definedName name="RMCUnits" localSheetId="8">OFFSET(#REF!,0,0,COUNTA(#REF!),1)</definedName>
    <definedName name="RMCUnits">OFFSET(#REF!,0,0,COUNTA(#REF!),1)</definedName>
    <definedName name="ROR" localSheetId="6">#REF!</definedName>
    <definedName name="ROR" localSheetId="0">#REF!</definedName>
    <definedName name="ROR" localSheetId="1">#REF!</definedName>
    <definedName name="ROR" localSheetId="2">#REF!</definedName>
    <definedName name="ROR" localSheetId="10">'Rate Base'!#REF!</definedName>
    <definedName name="ROR" localSheetId="8">#REF!</definedName>
    <definedName name="ROR">#REF!</definedName>
    <definedName name="ROR_2">#REF!</definedName>
    <definedName name="ROR_3">#REF!</definedName>
    <definedName name="ROR_Debt" localSheetId="6">#REF!</definedName>
    <definedName name="ROR_Debt" localSheetId="0">#REF!</definedName>
    <definedName name="ROR_Debt" localSheetId="1">#REF!</definedName>
    <definedName name="ROR_Debt" localSheetId="2">#REF!</definedName>
    <definedName name="ROR_Debt" localSheetId="10">'Rate Base'!#REF!</definedName>
    <definedName name="ROR_Debt" localSheetId="8">#REF!</definedName>
    <definedName name="ROR_Debt">#REF!</definedName>
    <definedName name="ROR_Debt_2">#REF!</definedName>
    <definedName name="ROR_Debt_3">#REF!</definedName>
    <definedName name="ROR_Debt_new" localSheetId="9">#REF!</definedName>
    <definedName name="ROR_Debt_new" localSheetId="8">#REF!</definedName>
    <definedName name="ROR_Debt_new">#REF!</definedName>
    <definedName name="ROR_new" localSheetId="9">#REF!</definedName>
    <definedName name="ROR_new" localSheetId="8">#REF!</definedName>
    <definedName name="ROR_new">#REF!</definedName>
    <definedName name="rr" localSheetId="6">#REF!</definedName>
    <definedName name="rr" localSheetId="0">#REF!</definedName>
    <definedName name="rr" localSheetId="1">#REF!</definedName>
    <definedName name="rr" localSheetId="2">#REF!</definedName>
    <definedName name="rr" localSheetId="3">#REF!</definedName>
    <definedName name="rr" localSheetId="9">#REF!</definedName>
    <definedName name="rr" localSheetId="8">#REF!</definedName>
    <definedName name="rr">#REF!</definedName>
    <definedName name="rrr" localSheetId="9">#REF!</definedName>
    <definedName name="rrr" localSheetId="8">#REF!</definedName>
    <definedName name="rrr">#REF!</definedName>
    <definedName name="RTGenDol" localSheetId="9">OFFSET(#REF!,0,0,COUNTA(#REF!),1)</definedName>
    <definedName name="RTGenDol" localSheetId="8">OFFSET(#REF!,0,0,COUNTA(#REF!),1)</definedName>
    <definedName name="RTGenDol">OFFSET(#REF!,0,0,COUNTA(#REF!),1)</definedName>
    <definedName name="RTRTRTRT" localSheetId="9">#REF!</definedName>
    <definedName name="RTRTRTRT" localSheetId="8">#REF!</definedName>
    <definedName name="RTRTRTRT">#REF!</definedName>
    <definedName name="RTUnits" localSheetId="9">OFFSET(#REF!,0,0,COUNTA(#REF!),1)</definedName>
    <definedName name="RTUnits" localSheetId="8">OFFSET(#REF!,0,0,COUNTA(#REF!),1)</definedName>
    <definedName name="RTUnits">OFFSET(#REF!,0,0,COUNTA(#REF!),1)</definedName>
    <definedName name="SALES" localSheetId="6">#REF!</definedName>
    <definedName name="SALES" localSheetId="0">#REF!</definedName>
    <definedName name="SALES" localSheetId="1">#REF!</definedName>
    <definedName name="SALES" localSheetId="2">#REF!</definedName>
    <definedName name="SALES" localSheetId="3">#REF!</definedName>
    <definedName name="SALES" localSheetId="8">#REF!</definedName>
    <definedName name="SALES">#REF!</definedName>
    <definedName name="SAPBEXrevision" hidden="1">18</definedName>
    <definedName name="SAPBEXsysID" hidden="1">"BWP"</definedName>
    <definedName name="SAPBEXwbID" hidden="1">"3PHPFV8FO7PRQRDHFGKHVVOKV"</definedName>
    <definedName name="SCH01_MISO_Revenue" localSheetId="6">#REF!</definedName>
    <definedName name="SCH01_MISO_Revenue" localSheetId="2">#REF!</definedName>
    <definedName name="SCH01_MISO_Revenue" localSheetId="8">#REF!</definedName>
    <definedName name="SCH01_MISO_Revenue">#REF!</definedName>
    <definedName name="SCH01_Shadow_Revenue" localSheetId="6">#REF!</definedName>
    <definedName name="SCH01_Shadow_Revenue" localSheetId="2">#REF!</definedName>
    <definedName name="SCH01_Shadow_Revenue" localSheetId="8">#REF!</definedName>
    <definedName name="SCH01_Shadow_Revenue">#REF!</definedName>
    <definedName name="SCH1_NBV" localSheetId="9">#REF!</definedName>
    <definedName name="SCH1_NBV" localSheetId="8">#REF!</definedName>
    <definedName name="SCH1_NBV">#REF!</definedName>
    <definedName name="Seasonal_KWH" localSheetId="6">#REF!</definedName>
    <definedName name="Seasonal_KWH" localSheetId="2">#REF!</definedName>
    <definedName name="Seasonal_KWH" localSheetId="8">#REF!</definedName>
    <definedName name="Seasonal_KWH">#REF!</definedName>
    <definedName name="SepGenDol" localSheetId="9">OFFSET(#REF!,0,0,COUNTA(#REF!),1)</definedName>
    <definedName name="SepGenDol" localSheetId="8">OFFSET(#REF!,0,0,COUNTA(#REF!),1)</definedName>
    <definedName name="SepGenDol">OFFSET(#REF!,0,0,COUNTA(#REF!),1)</definedName>
    <definedName name="SepInvDol" localSheetId="9">OFFSET(#REF!,0,0,COUNTA(#REF!),1)</definedName>
    <definedName name="SepInvDol" localSheetId="8">OFFSET(#REF!,0,0,COUNTA(#REF!),1)</definedName>
    <definedName name="SepInvDol">OFFSET(#REF!,0,0,COUNTA(#REF!),1)</definedName>
    <definedName name="SepTonInv" localSheetId="9">OFFSET(#REF!,0,0,COUNTA(#REF!),1)</definedName>
    <definedName name="SepTonInv" localSheetId="8">OFFSET(#REF!,0,0,COUNTA(#REF!),1)</definedName>
    <definedName name="SepTonInv">OFFSET(#REF!,0,0,COUNTA(#REF!),1)</definedName>
    <definedName name="SepUnits" localSheetId="9">OFFSET(#REF!,0,0,COUNTA(#REF!),1)</definedName>
    <definedName name="SepUnits" localSheetId="8">OFFSET(#REF!,0,0,COUNTA(#REF!),1)</definedName>
    <definedName name="SepUnits">OFFSET(#REF!,0,0,COUNTA(#REF!),1)</definedName>
    <definedName name="SKW" localSheetId="6">#REF!</definedName>
    <definedName name="SKW" localSheetId="2">#REF!</definedName>
    <definedName name="SKW" localSheetId="8">#REF!</definedName>
    <definedName name="SKW">#REF!</definedName>
    <definedName name="SKWH" localSheetId="6">#REF!</definedName>
    <definedName name="SKWH" localSheetId="2">#REF!</definedName>
    <definedName name="SKWH" localSheetId="8">#REF!</definedName>
    <definedName name="SKWH">#REF!</definedName>
    <definedName name="SOffpkkwh" localSheetId="6">#REF!</definedName>
    <definedName name="SOffpkkwh" localSheetId="2">#REF!</definedName>
    <definedName name="SOffpkkwh" localSheetId="8">#REF!</definedName>
    <definedName name="SOffpkkwh">#REF!</definedName>
    <definedName name="SOnpkkwh" localSheetId="6">#REF!</definedName>
    <definedName name="SOnpkkwh" localSheetId="2">#REF!</definedName>
    <definedName name="SOnpkkwh" localSheetId="8">#REF!</definedName>
    <definedName name="SOnpkkwh">#REF!</definedName>
    <definedName name="SPA" localSheetId="6">#REF!</definedName>
    <definedName name="SPA" localSheetId="0">#REF!</definedName>
    <definedName name="SPA" localSheetId="1">#REF!</definedName>
    <definedName name="SPA" localSheetId="2">#REF!</definedName>
    <definedName name="SPA" localSheetId="3">#REF!</definedName>
    <definedName name="SPA" localSheetId="8">#REF!</definedName>
    <definedName name="SPA">#REF!</definedName>
    <definedName name="TAB1136877249">#REF!</definedName>
    <definedName name="table" localSheetId="6">#REF!</definedName>
    <definedName name="table" localSheetId="2">#REF!</definedName>
    <definedName name="table" localSheetId="8">#REF!</definedName>
    <definedName name="table">#REF!</definedName>
    <definedName name="Tariff" localSheetId="6">#REF!</definedName>
    <definedName name="Tariff" localSheetId="2">#REF!</definedName>
    <definedName name="Tariff" localSheetId="8">#REF!</definedName>
    <definedName name="Tariff">#REF!</definedName>
    <definedName name="TAX_RATES_1" localSheetId="6">#REF!</definedName>
    <definedName name="TAX_RATES_1" localSheetId="0">#REF!</definedName>
    <definedName name="TAX_RATES_1" localSheetId="1">#REF!</definedName>
    <definedName name="TAX_RATES_1" localSheetId="2">#REF!</definedName>
    <definedName name="TAX_RATES_1" localSheetId="10">#REF!</definedName>
    <definedName name="TAX_RATES_1" localSheetId="8">#REF!</definedName>
    <definedName name="TAX_RATES_1">#REF!</definedName>
    <definedName name="TAX_RATES_2" localSheetId="6">#REF!</definedName>
    <definedName name="TAX_RATES_2" localSheetId="0">#REF!</definedName>
    <definedName name="TAX_RATES_2" localSheetId="1">#REF!</definedName>
    <definedName name="TAX_RATES_2" localSheetId="2">#REF!</definedName>
    <definedName name="TAX_RATES_2" localSheetId="10">#REF!</definedName>
    <definedName name="TAX_RATES_2" localSheetId="8">#REF!</definedName>
    <definedName name="TAX_RATES_2">#REF!</definedName>
    <definedName name="TAX_RATES_3" localSheetId="6">#REF!</definedName>
    <definedName name="TAX_RATES_3" localSheetId="0">#REF!</definedName>
    <definedName name="TAX_RATES_3" localSheetId="1">#REF!</definedName>
    <definedName name="TAX_RATES_3" localSheetId="2">#REF!</definedName>
    <definedName name="TAX_RATES_3" localSheetId="10">#REF!</definedName>
    <definedName name="TAX_RATES_3" localSheetId="8">#REF!</definedName>
    <definedName name="TAX_RATES_3">#REF!</definedName>
    <definedName name="tblActivity_Key" localSheetId="6">#REF!</definedName>
    <definedName name="tblActivity_Key" localSheetId="2">#REF!</definedName>
    <definedName name="tblActivity_Key" localSheetId="8">#REF!</definedName>
    <definedName name="tblActivity_Key">#REF!</definedName>
    <definedName name="Test" localSheetId="6">#REF!</definedName>
    <definedName name="Test" localSheetId="2">#REF!</definedName>
    <definedName name="Test" localSheetId="8">#REF!</definedName>
    <definedName name="Test">#REF!</definedName>
    <definedName name="Test_2" localSheetId="6">#REF!</definedName>
    <definedName name="Test_2" localSheetId="2">#REF!</definedName>
    <definedName name="Test_2" localSheetId="8">#REF!</definedName>
    <definedName name="Test_2">#REF!</definedName>
    <definedName name="TextRefCopyRangeCount">1</definedName>
    <definedName name="Today" localSheetId="6">#REF!</definedName>
    <definedName name="Today" localSheetId="2">#REF!</definedName>
    <definedName name="Today" localSheetId="8">#REF!</definedName>
    <definedName name="Today">#REF!</definedName>
    <definedName name="TonInv_Amt" localSheetId="9">OFFSET(#REF!,0,0,COUNTA(#REF!),1)</definedName>
    <definedName name="TonInv_Amt" localSheetId="8">OFFSET(#REF!,0,0,COUNTA(#REF!),1)</definedName>
    <definedName name="TonInv_Amt">OFFSET(#REF!,0,0,COUNTA(#REF!),1)</definedName>
    <definedName name="TonInv_AmtPrior" localSheetId="9">OFFSET(#REF!,0,0,COUNTA(#REF!),1)</definedName>
    <definedName name="TonInv_AmtPrior" localSheetId="8">OFFSET(#REF!,0,0,COUNTA(#REF!),1)</definedName>
    <definedName name="TonInv_AmtPrior">OFFSET(#REF!,0,0,COUNTA(#REF!),1)</definedName>
    <definedName name="TonInv_BD" localSheetId="9">OFFSET(#REF!,0,0,COUNTA(#REF!),1)</definedName>
    <definedName name="TonInv_BD" localSheetId="8">OFFSET(#REF!,0,0,COUNTA(#REF!),1)</definedName>
    <definedName name="TonInv_BD">OFFSET(#REF!,0,0,COUNTA(#REF!),1)</definedName>
    <definedName name="TonInv_FuelType" localSheetId="9">OFFSET(#REF!,0,0,COUNTA(#REF!),1)</definedName>
    <definedName name="TonInv_FuelType" localSheetId="8">OFFSET(#REF!,0,0,COUNTA(#REF!),1)</definedName>
    <definedName name="TonInv_FuelType">OFFSET(#REF!,0,0,COUNTA(#REF!),1)</definedName>
    <definedName name="TonInv_Majmin" localSheetId="9">OFFSET(#REF!,0,0,COUNTA(#REF!),1)</definedName>
    <definedName name="TonInv_Majmin" localSheetId="8">OFFSET(#REF!,0,0,COUNTA(#REF!),1)</definedName>
    <definedName name="TonInv_Majmin">OFFSET(#REF!,0,0,COUNTA(#REF!),1)</definedName>
    <definedName name="TonInv_YTD" localSheetId="9">OFFSET(#REF!,0,0,COUNTA(#REF!),1)</definedName>
    <definedName name="TonInv_YTD" localSheetId="8">OFFSET(#REF!,0,0,COUNTA(#REF!),1)</definedName>
    <definedName name="TonInv_YTD">OFFSET(#REF!,0,0,COUNTA(#REF!),1)</definedName>
    <definedName name="Tot_Base_Recalc_Rev" localSheetId="6">#REF!</definedName>
    <definedName name="Tot_Base_Recalc_Rev" localSheetId="2">#REF!</definedName>
    <definedName name="Tot_Base_Recalc_Rev" localSheetId="8">#REF!</definedName>
    <definedName name="Tot_Base_Recalc_Rev">#REF!</definedName>
    <definedName name="Total_Base_Rev" localSheetId="6">#REF!</definedName>
    <definedName name="Total_Base_Rev" localSheetId="2">#REF!</definedName>
    <definedName name="Total_Base_Rev" localSheetId="8">#REF!</definedName>
    <definedName name="Total_Base_Rev">#REF!</definedName>
    <definedName name="Total_Crit_Peak_Rev" localSheetId="6">#REF!</definedName>
    <definedName name="Total_Crit_Peak_Rev" localSheetId="2">#REF!</definedName>
    <definedName name="Total_Crit_Peak_Rev" localSheetId="8">#REF!</definedName>
    <definedName name="Total_Crit_Peak_Rev">#REF!</definedName>
    <definedName name="Total_Cust_Charge" localSheetId="6">#REF!</definedName>
    <definedName name="Total_Cust_Charge" localSheetId="2">#REF!</definedName>
    <definedName name="Total_Cust_Charge" localSheetId="8">#REF!</definedName>
    <definedName name="Total_Cust_Charge">#REF!</definedName>
    <definedName name="Total_Demand_Rev" localSheetId="6">#REF!</definedName>
    <definedName name="Total_Demand_Rev" localSheetId="2">#REF!</definedName>
    <definedName name="Total_Demand_Rev" localSheetId="8">#REF!</definedName>
    <definedName name="Total_Demand_Rev">#REF!</definedName>
    <definedName name="Total_KWH" localSheetId="6">#REF!</definedName>
    <definedName name="Total_KWH" localSheetId="2">#REF!</definedName>
    <definedName name="Total_KWH" localSheetId="8">#REF!</definedName>
    <definedName name="Total_KWH">#REF!</definedName>
    <definedName name="Total_KWH_Step_1" localSheetId="6">#REF!</definedName>
    <definedName name="Total_KWH_Step_1" localSheetId="2">#REF!</definedName>
    <definedName name="Total_KWH_Step_1" localSheetId="8">#REF!</definedName>
    <definedName name="Total_KWH_Step_1">#REF!</definedName>
    <definedName name="Total_KWH_Step_2" localSheetId="6">#REF!</definedName>
    <definedName name="Total_KWH_Step_2" localSheetId="2">#REF!</definedName>
    <definedName name="Total_KWH_Step_2" localSheetId="8">#REF!</definedName>
    <definedName name="Total_KWH_Step_2">#REF!</definedName>
    <definedName name="Total_KWH_Step_3" localSheetId="6">#REF!</definedName>
    <definedName name="Total_KWH_Step_3" localSheetId="2">#REF!</definedName>
    <definedName name="Total_KWH_Step_3" localSheetId="8">#REF!</definedName>
    <definedName name="Total_KWH_Step_3">#REF!</definedName>
    <definedName name="Total_Off_Peak_Rev" localSheetId="6">#REF!</definedName>
    <definedName name="Total_Off_Peak_Rev" localSheetId="2">#REF!</definedName>
    <definedName name="Total_Off_Peak_Rev" localSheetId="8">#REF!</definedName>
    <definedName name="Total_Off_Peak_Rev">#REF!</definedName>
    <definedName name="Total_On_Peak_Rev" localSheetId="6">#REF!</definedName>
    <definedName name="Total_On_Peak_Rev" localSheetId="2">#REF!</definedName>
    <definedName name="Total_On_Peak_Rev" localSheetId="8">#REF!</definedName>
    <definedName name="Total_On_Peak_Rev">#REF!</definedName>
    <definedName name="Total_Other_Rev" localSheetId="6">#REF!</definedName>
    <definedName name="Total_Other_Rev" localSheetId="2">#REF!</definedName>
    <definedName name="Total_Other_Rev" localSheetId="8">#REF!</definedName>
    <definedName name="Total_Other_Rev">#REF!</definedName>
    <definedName name="Total_Reactive_Rev" localSheetId="6">#REF!</definedName>
    <definedName name="Total_Reactive_Rev" localSheetId="2">#REF!</definedName>
    <definedName name="Total_Reactive_Rev" localSheetId="8">#REF!</definedName>
    <definedName name="Total_Reactive_Rev">#REF!</definedName>
    <definedName name="Total_Revenue" localSheetId="6">#REF!</definedName>
    <definedName name="Total_Revenue" localSheetId="2">#REF!</definedName>
    <definedName name="Total_Revenue" localSheetId="8">#REF!</definedName>
    <definedName name="Total_Revenue">#REF!</definedName>
    <definedName name="Total_Seasonal_Rev" localSheetId="6">#REF!</definedName>
    <definedName name="Total_Seasonal_Rev" localSheetId="2">#REF!</definedName>
    <definedName name="Total_Seasonal_Rev" localSheetId="8">#REF!</definedName>
    <definedName name="Total_Seasonal_Rev">#REF!</definedName>
    <definedName name="Total_Suppl_Adj_Rev" localSheetId="6">#REF!</definedName>
    <definedName name="Total_Suppl_Adj_Rev" localSheetId="2">#REF!</definedName>
    <definedName name="Total_Suppl_Adj_Rev" localSheetId="8">#REF!</definedName>
    <definedName name="Total_Suppl_Adj_Rev">#REF!</definedName>
    <definedName name="Transaction" localSheetId="6">#REF!</definedName>
    <definedName name="Transaction" localSheetId="2">#REF!</definedName>
    <definedName name="Transaction" localSheetId="8">#REF!</definedName>
    <definedName name="Transaction">#REF!</definedName>
    <definedName name="Transmission_by_Others" localSheetId="6">#REF!</definedName>
    <definedName name="Transmission_by_Others" localSheetId="2">#REF!</definedName>
    <definedName name="Transmission_by_Others" localSheetId="8">#REF!</definedName>
    <definedName name="Transmission_by_Others">#REF!</definedName>
    <definedName name="u" localSheetId="6">PAGE5</definedName>
    <definedName name="u" localSheetId="2">PAGE5</definedName>
    <definedName name="u" localSheetId="9">PAGE5</definedName>
    <definedName name="u" localSheetId="8">PAGE5</definedName>
    <definedName name="u">PAGE5</definedName>
    <definedName name="UE_IL_EZ_parcels" localSheetId="6">#REF!</definedName>
    <definedName name="UE_IL_EZ_parcels" localSheetId="2">#REF!</definedName>
    <definedName name="UE_IL_EZ_parcels" localSheetId="8">#REF!</definedName>
    <definedName name="UE_IL_EZ_parcels">#REF!</definedName>
    <definedName name="UE50Current" localSheetId="6">#REF!</definedName>
    <definedName name="UE50Current" localSheetId="2">#REF!</definedName>
    <definedName name="UE50Current" localSheetId="8">#REF!</definedName>
    <definedName name="UE50Current">#REF!</definedName>
    <definedName name="UE50Unique" localSheetId="6">#REF!</definedName>
    <definedName name="UE50Unique" localSheetId="2">#REF!</definedName>
    <definedName name="UE50Unique" localSheetId="8">#REF!</definedName>
    <definedName name="UE50Unique">#REF!</definedName>
    <definedName name="UEC50CoalCo" localSheetId="6">#REF!</definedName>
    <definedName name="UEC50CoalCo" localSheetId="2">#REF!</definedName>
    <definedName name="UEC50CoalCo" localSheetId="8">#REF!</definedName>
    <definedName name="UEC50CoalCo">#REF!</definedName>
    <definedName name="UEC50CurrPrior" localSheetId="6">#REF!</definedName>
    <definedName name="UEC50CurrPrior" localSheetId="2">#REF!</definedName>
    <definedName name="UEC50CurrPrior" localSheetId="8">#REF!</definedName>
    <definedName name="UEC50CurrPrior">#REF!</definedName>
    <definedName name="UEC50Fuel" localSheetId="6">#REF!</definedName>
    <definedName name="UEC50Fuel" localSheetId="2">#REF!</definedName>
    <definedName name="UEC50Fuel" localSheetId="8">#REF!</definedName>
    <definedName name="UEC50Fuel">#REF!</definedName>
    <definedName name="UEC50FuelwTax" localSheetId="6">#REF!</definedName>
    <definedName name="UEC50FuelwTax" localSheetId="2">#REF!</definedName>
    <definedName name="UEC50FuelwTax" localSheetId="8">#REF!</definedName>
    <definedName name="UEC50FuelwTax">#REF!</definedName>
    <definedName name="UEC50InvoiceType" localSheetId="6">#REF!</definedName>
    <definedName name="UEC50InvoiceType" localSheetId="2">#REF!</definedName>
    <definedName name="UEC50InvoiceType" localSheetId="8">#REF!</definedName>
    <definedName name="UEC50InvoiceType">#REF!</definedName>
    <definedName name="UEC50SourceData" localSheetId="6">#REF!</definedName>
    <definedName name="UEC50SourceData" localSheetId="2">#REF!</definedName>
    <definedName name="UEC50SourceData" localSheetId="8">#REF!</definedName>
    <definedName name="UEC50SourceData">#REF!</definedName>
    <definedName name="UEC50Stats" localSheetId="6">#REF!</definedName>
    <definedName name="UEC50Stats" localSheetId="2">#REF!</definedName>
    <definedName name="UEC50Stats" localSheetId="8">#REF!</definedName>
    <definedName name="UEC50Stats">#REF!</definedName>
    <definedName name="UEC50Transp" localSheetId="6">#REF!</definedName>
    <definedName name="UEC50Transp" localSheetId="2">#REF!</definedName>
    <definedName name="UEC50Transp" localSheetId="8">#REF!</definedName>
    <definedName name="UEC50Transp">#REF!</definedName>
    <definedName name="Uec50Units" localSheetId="6">#REF!</definedName>
    <definedName name="Uec50Units" localSheetId="2">#REF!</definedName>
    <definedName name="Uec50Units" localSheetId="8">#REF!</definedName>
    <definedName name="Uec50Units">#REF!</definedName>
    <definedName name="UEC50UnitType" localSheetId="6">#REF!</definedName>
    <definedName name="UEC50UnitType" localSheetId="2">#REF!</definedName>
    <definedName name="UEC50UnitType" localSheetId="8">#REF!</definedName>
    <definedName name="UEC50UnitType">#REF!</definedName>
    <definedName name="Uec53CoalCo" localSheetId="6">#REF!</definedName>
    <definedName name="Uec53CoalCo" localSheetId="2">#REF!</definedName>
    <definedName name="Uec53CoalCo" localSheetId="8">#REF!</definedName>
    <definedName name="Uec53CoalCo">#REF!</definedName>
    <definedName name="Uec53CurrPrior" localSheetId="6">#REF!</definedName>
    <definedName name="Uec53CurrPrior" localSheetId="2">#REF!</definedName>
    <definedName name="Uec53CurrPrior" localSheetId="8">#REF!</definedName>
    <definedName name="Uec53CurrPrior">#REF!</definedName>
    <definedName name="Uec53Fuel" localSheetId="6">#REF!</definedName>
    <definedName name="Uec53Fuel" localSheetId="2">#REF!</definedName>
    <definedName name="Uec53Fuel" localSheetId="8">#REF!</definedName>
    <definedName name="Uec53Fuel">#REF!</definedName>
    <definedName name="Uec53FuelwTax" localSheetId="6">#REF!</definedName>
    <definedName name="Uec53FuelwTax" localSheetId="2">#REF!</definedName>
    <definedName name="Uec53FuelwTax" localSheetId="8">#REF!</definedName>
    <definedName name="Uec53FuelwTax">#REF!</definedName>
    <definedName name="Uec53InvoiceType" localSheetId="6">#REF!</definedName>
    <definedName name="Uec53InvoiceType" localSheetId="2">#REF!</definedName>
    <definedName name="Uec53InvoiceType" localSheetId="8">#REF!</definedName>
    <definedName name="Uec53InvoiceType">#REF!</definedName>
    <definedName name="Uec53SourceData" localSheetId="6">#REF!</definedName>
    <definedName name="Uec53SourceData" localSheetId="2">#REF!</definedName>
    <definedName name="Uec53SourceData" localSheetId="8">#REF!</definedName>
    <definedName name="Uec53SourceData">#REF!</definedName>
    <definedName name="Uec53Stats" localSheetId="6">#REF!</definedName>
    <definedName name="Uec53Stats" localSheetId="2">#REF!</definedName>
    <definedName name="Uec53Stats" localSheetId="8">#REF!</definedName>
    <definedName name="Uec53Stats">#REF!</definedName>
    <definedName name="Uec53Transp" localSheetId="6">#REF!</definedName>
    <definedName name="Uec53Transp" localSheetId="2">#REF!</definedName>
    <definedName name="Uec53Transp" localSheetId="8">#REF!</definedName>
    <definedName name="Uec53Transp">#REF!</definedName>
    <definedName name="Uec53Units" localSheetId="6">#REF!</definedName>
    <definedName name="Uec53Units" localSheetId="2">#REF!</definedName>
    <definedName name="Uec53Units" localSheetId="8">#REF!</definedName>
    <definedName name="Uec53Units">#REF!</definedName>
    <definedName name="Uec53UnitType" localSheetId="6">#REF!</definedName>
    <definedName name="Uec53UnitType" localSheetId="2">#REF!</definedName>
    <definedName name="Uec53UnitType" localSheetId="8">#REF!</definedName>
    <definedName name="Uec53UnitType">#REF!</definedName>
    <definedName name="Uec58CoalCo" localSheetId="6">#REF!</definedName>
    <definedName name="Uec58CoalCo" localSheetId="2">#REF!</definedName>
    <definedName name="Uec58CoalCo" localSheetId="8">#REF!</definedName>
    <definedName name="Uec58CoalCo">#REF!</definedName>
    <definedName name="Uec58CurrPrior" localSheetId="6">#REF!</definedName>
    <definedName name="Uec58CurrPrior" localSheetId="2">#REF!</definedName>
    <definedName name="Uec58CurrPrior" localSheetId="8">#REF!</definedName>
    <definedName name="Uec58CurrPrior">#REF!</definedName>
    <definedName name="Uec58Fuel" localSheetId="6">#REF!</definedName>
    <definedName name="Uec58Fuel" localSheetId="2">#REF!</definedName>
    <definedName name="Uec58Fuel" localSheetId="8">#REF!</definedName>
    <definedName name="Uec58Fuel">#REF!</definedName>
    <definedName name="Uec58FuelwTax" localSheetId="6">#REF!</definedName>
    <definedName name="Uec58FuelwTax" localSheetId="2">#REF!</definedName>
    <definedName name="Uec58FuelwTax" localSheetId="8">#REF!</definedName>
    <definedName name="Uec58FuelwTax">#REF!</definedName>
    <definedName name="Uec58InvoiceType" localSheetId="6">#REF!</definedName>
    <definedName name="Uec58InvoiceType" localSheetId="2">#REF!</definedName>
    <definedName name="Uec58InvoiceType" localSheetId="8">#REF!</definedName>
    <definedName name="Uec58InvoiceType">#REF!</definedName>
    <definedName name="Uec58SourceData" localSheetId="6">#REF!</definedName>
    <definedName name="Uec58SourceData" localSheetId="2">#REF!</definedName>
    <definedName name="Uec58SourceData" localSheetId="8">#REF!</definedName>
    <definedName name="Uec58SourceData">#REF!</definedName>
    <definedName name="Uec58Stats" localSheetId="6">#REF!</definedName>
    <definedName name="Uec58Stats" localSheetId="2">#REF!</definedName>
    <definedName name="Uec58Stats" localSheetId="8">#REF!</definedName>
    <definedName name="Uec58Stats">#REF!</definedName>
    <definedName name="Uec58Transp" localSheetId="6">#REF!</definedName>
    <definedName name="Uec58Transp" localSheetId="2">#REF!</definedName>
    <definedName name="Uec58Transp" localSheetId="8">#REF!</definedName>
    <definedName name="Uec58Transp">#REF!</definedName>
    <definedName name="Uec58Units" localSheetId="6">#REF!</definedName>
    <definedName name="Uec58Units" localSheetId="2">#REF!</definedName>
    <definedName name="Uec58Units" localSheetId="8">#REF!</definedName>
    <definedName name="Uec58Units">#REF!</definedName>
    <definedName name="Uec58UnitType" localSheetId="6">#REF!</definedName>
    <definedName name="Uec58UnitType" localSheetId="2">#REF!</definedName>
    <definedName name="Uec58UnitType" localSheetId="8">#REF!</definedName>
    <definedName name="Uec58UnitType">#REF!</definedName>
    <definedName name="Uec63CoalCo" localSheetId="6">#REF!</definedName>
    <definedName name="Uec63CoalCo" localSheetId="2">#REF!</definedName>
    <definedName name="Uec63CoalCo" localSheetId="8">#REF!</definedName>
    <definedName name="Uec63CoalCo">#REF!</definedName>
    <definedName name="Uec63CurrPrior" localSheetId="6">#REF!</definedName>
    <definedName name="Uec63CurrPrior" localSheetId="2">#REF!</definedName>
    <definedName name="Uec63CurrPrior" localSheetId="8">#REF!</definedName>
    <definedName name="Uec63CurrPrior">#REF!</definedName>
    <definedName name="Uec63Fuel" localSheetId="6">#REF!</definedName>
    <definedName name="Uec63Fuel" localSheetId="2">#REF!</definedName>
    <definedName name="Uec63Fuel" localSheetId="8">#REF!</definedName>
    <definedName name="Uec63Fuel">#REF!</definedName>
    <definedName name="Uec63FuelwTax" localSheetId="6">#REF!</definedName>
    <definedName name="Uec63FuelwTax" localSheetId="2">#REF!</definedName>
    <definedName name="Uec63FuelwTax" localSheetId="8">#REF!</definedName>
    <definedName name="Uec63FuelwTax">#REF!</definedName>
    <definedName name="Uec63InvoiceType" localSheetId="6">#REF!</definedName>
    <definedName name="Uec63InvoiceType" localSheetId="2">#REF!</definedName>
    <definedName name="Uec63InvoiceType" localSheetId="8">#REF!</definedName>
    <definedName name="Uec63InvoiceType">#REF!</definedName>
    <definedName name="Uec63SourceData" localSheetId="6">#REF!</definedName>
    <definedName name="Uec63SourceData" localSheetId="2">#REF!</definedName>
    <definedName name="Uec63SourceData" localSheetId="8">#REF!</definedName>
    <definedName name="Uec63SourceData">#REF!</definedName>
    <definedName name="Uec63Stats" localSheetId="6">#REF!</definedName>
    <definedName name="Uec63Stats" localSheetId="2">#REF!</definedName>
    <definedName name="Uec63Stats" localSheetId="8">#REF!</definedName>
    <definedName name="Uec63Stats">#REF!</definedName>
    <definedName name="Uec63Transp" localSheetId="6">#REF!</definedName>
    <definedName name="Uec63Transp" localSheetId="2">#REF!</definedName>
    <definedName name="Uec63Transp" localSheetId="8">#REF!</definedName>
    <definedName name="Uec63Transp">#REF!</definedName>
    <definedName name="Uec63Units" localSheetId="6">#REF!</definedName>
    <definedName name="Uec63Units" localSheetId="2">#REF!</definedName>
    <definedName name="Uec63Units" localSheetId="8">#REF!</definedName>
    <definedName name="Uec63Units">#REF!</definedName>
    <definedName name="Uec63UnitType" localSheetId="6">#REF!</definedName>
    <definedName name="Uec63UnitType" localSheetId="2">#REF!</definedName>
    <definedName name="Uec63UnitType" localSheetId="8">#REF!</definedName>
    <definedName name="Uec63UnitType">#REF!</definedName>
    <definedName name="UL" localSheetId="6">#REF!</definedName>
    <definedName name="UL" localSheetId="0">#REF!</definedName>
    <definedName name="UL" localSheetId="1">#REF!</definedName>
    <definedName name="UL" localSheetId="2">#REF!</definedName>
    <definedName name="UL" localSheetId="3">#REF!</definedName>
    <definedName name="UL" localSheetId="8">#REF!</definedName>
    <definedName name="UL">#REF!</definedName>
    <definedName name="ULOAD">#N/A</definedName>
    <definedName name="Units_amt" localSheetId="9">OFFSET(#REF!,0,0,COUNTA(#REF!),1)</definedName>
    <definedName name="Units_amt" localSheetId="8">OFFSET(#REF!,0,0,COUNTA(#REF!),1)</definedName>
    <definedName name="Units_amt">OFFSET(#REF!,0,0,COUNTA(#REF!),1)</definedName>
    <definedName name="Units_amt01" localSheetId="9">OFFSET(#REF!,0,0,COUNTA(#REF!),1)</definedName>
    <definedName name="Units_amt01" localSheetId="8">OFFSET(#REF!,0,0,COUNTA(#REF!),1)</definedName>
    <definedName name="Units_amt01">OFFSET(#REF!,0,0,COUNTA(#REF!),1)</definedName>
    <definedName name="Units_amt01p" localSheetId="9">OFFSET(#REF!,0,0,COUNTA(#REF!),1)</definedName>
    <definedName name="Units_amt01p" localSheetId="8">OFFSET(#REF!,0,0,COUNTA(#REF!),1)</definedName>
    <definedName name="Units_amt01p">OFFSET(#REF!,0,0,COUNTA(#REF!),1)</definedName>
    <definedName name="Units_amt02" localSheetId="9">OFFSET(#REF!,0,0,COUNTA(#REF!),1)</definedName>
    <definedName name="Units_amt02" localSheetId="8">OFFSET(#REF!,0,0,COUNTA(#REF!),1)</definedName>
    <definedName name="Units_amt02">OFFSET(#REF!,0,0,COUNTA(#REF!),1)</definedName>
    <definedName name="Units_amt02p" localSheetId="9">OFFSET(#REF!,0,0,COUNTA(#REF!),1)</definedName>
    <definedName name="Units_amt02p" localSheetId="8">OFFSET(#REF!,0,0,COUNTA(#REF!),1)</definedName>
    <definedName name="Units_amt02p">OFFSET(#REF!,0,0,COUNTA(#REF!),1)</definedName>
    <definedName name="Units_amt03" localSheetId="9">OFFSET(#REF!,0,0,COUNTA(#REF!),1)</definedName>
    <definedName name="Units_amt03" localSheetId="8">OFFSET(#REF!,0,0,COUNTA(#REF!),1)</definedName>
    <definedName name="Units_amt03">OFFSET(#REF!,0,0,COUNTA(#REF!),1)</definedName>
    <definedName name="Units_amt03p" localSheetId="9">OFFSET(#REF!,0,0,COUNTA(#REF!),1)</definedName>
    <definedName name="Units_amt03p" localSheetId="8">OFFSET(#REF!,0,0,COUNTA(#REF!),1)</definedName>
    <definedName name="Units_amt03p">OFFSET(#REF!,0,0,COUNTA(#REF!),1)</definedName>
    <definedName name="Units_amt04" localSheetId="9">OFFSET(#REF!,0,0,COUNTA(#REF!),1)</definedName>
    <definedName name="Units_amt04" localSheetId="8">OFFSET(#REF!,0,0,COUNTA(#REF!),1)</definedName>
    <definedName name="Units_amt04">OFFSET(#REF!,0,0,COUNTA(#REF!),1)</definedName>
    <definedName name="Units_amt04p" localSheetId="9">OFFSET(#REF!,0,0,COUNTA(#REF!),1)</definedName>
    <definedName name="Units_amt04p" localSheetId="8">OFFSET(#REF!,0,0,COUNTA(#REF!),1)</definedName>
    <definedName name="Units_amt04p">OFFSET(#REF!,0,0,COUNTA(#REF!),1)</definedName>
    <definedName name="Units_amt05" localSheetId="9">OFFSET(#REF!,0,0,COUNTA(#REF!),1)</definedName>
    <definedName name="Units_amt05" localSheetId="8">OFFSET(#REF!,0,0,COUNTA(#REF!),1)</definedName>
    <definedName name="Units_amt05">OFFSET(#REF!,0,0,COUNTA(#REF!),1)</definedName>
    <definedName name="Units_amt05p" localSheetId="9">OFFSET(#REF!,0,0,COUNTA(#REF!),1)</definedName>
    <definedName name="Units_amt05p" localSheetId="8">OFFSET(#REF!,0,0,COUNTA(#REF!),1)</definedName>
    <definedName name="Units_amt05p">OFFSET(#REF!,0,0,COUNTA(#REF!),1)</definedName>
    <definedName name="Units_amt06" localSheetId="9">OFFSET(#REF!,0,0,COUNTA(#REF!),1)</definedName>
    <definedName name="Units_amt06" localSheetId="8">OFFSET(#REF!,0,0,COUNTA(#REF!),1)</definedName>
    <definedName name="Units_amt06">OFFSET(#REF!,0,0,COUNTA(#REF!),1)</definedName>
    <definedName name="Units_amt06p" localSheetId="9">OFFSET(#REF!,0,0,COUNTA(#REF!),1)</definedName>
    <definedName name="Units_amt06p" localSheetId="8">OFFSET(#REF!,0,0,COUNTA(#REF!),1)</definedName>
    <definedName name="Units_amt06p">OFFSET(#REF!,0,0,COUNTA(#REF!),1)</definedName>
    <definedName name="Units_amt07" localSheetId="9">OFFSET(#REF!,0,0,COUNTA(#REF!),1)</definedName>
    <definedName name="Units_amt07" localSheetId="8">OFFSET(#REF!,0,0,COUNTA(#REF!),1)</definedName>
    <definedName name="Units_amt07">OFFSET(#REF!,0,0,COUNTA(#REF!),1)</definedName>
    <definedName name="Units_amt07p" localSheetId="9">OFFSET(#REF!,0,0,COUNTA(#REF!),1)</definedName>
    <definedName name="Units_amt07p" localSheetId="8">OFFSET(#REF!,0,0,COUNTA(#REF!),1)</definedName>
    <definedName name="Units_amt07p">OFFSET(#REF!,0,0,COUNTA(#REF!),1)</definedName>
    <definedName name="Units_amt08" localSheetId="9">OFFSET(#REF!,0,0,COUNTA(#REF!),1)</definedName>
    <definedName name="Units_amt08" localSheetId="8">OFFSET(#REF!,0,0,COUNTA(#REF!),1)</definedName>
    <definedName name="Units_amt08">OFFSET(#REF!,0,0,COUNTA(#REF!),1)</definedName>
    <definedName name="Units_amt08p" localSheetId="9">OFFSET(#REF!,0,0,COUNTA(#REF!),1)</definedName>
    <definedName name="Units_amt08p" localSheetId="8">OFFSET(#REF!,0,0,COUNTA(#REF!),1)</definedName>
    <definedName name="Units_amt08p">OFFSET(#REF!,0,0,COUNTA(#REF!),1)</definedName>
    <definedName name="Units_amt09" localSheetId="9">OFFSET(#REF!,0,0,COUNTA(#REF!),1)</definedName>
    <definedName name="Units_amt09" localSheetId="8">OFFSET(#REF!,0,0,COUNTA(#REF!),1)</definedName>
    <definedName name="Units_amt09">OFFSET(#REF!,0,0,COUNTA(#REF!),1)</definedName>
    <definedName name="Units_amt09p" localSheetId="9">OFFSET(#REF!,0,0,COUNTA(#REF!),1)</definedName>
    <definedName name="Units_amt09p" localSheetId="8">OFFSET(#REF!,0,0,COUNTA(#REF!),1)</definedName>
    <definedName name="Units_amt09p">OFFSET(#REF!,0,0,COUNTA(#REF!),1)</definedName>
    <definedName name="Units_amt10" localSheetId="9">OFFSET(#REF!,0,0,COUNTA(#REF!),1)</definedName>
    <definedName name="Units_amt10" localSheetId="8">OFFSET(#REF!,0,0,COUNTA(#REF!),1)</definedName>
    <definedName name="Units_amt10">OFFSET(#REF!,0,0,COUNTA(#REF!),1)</definedName>
    <definedName name="Units_amt10p" localSheetId="9">OFFSET(#REF!,0,0,COUNTA(#REF!),1)</definedName>
    <definedName name="Units_amt10p" localSheetId="8">OFFSET(#REF!,0,0,COUNTA(#REF!),1)</definedName>
    <definedName name="Units_amt10p">OFFSET(#REF!,0,0,COUNTA(#REF!),1)</definedName>
    <definedName name="Units_amt11" localSheetId="9">OFFSET(#REF!,0,0,COUNTA(#REF!),1)</definedName>
    <definedName name="Units_amt11" localSheetId="8">OFFSET(#REF!,0,0,COUNTA(#REF!),1)</definedName>
    <definedName name="Units_amt11">OFFSET(#REF!,0,0,COUNTA(#REF!),1)</definedName>
    <definedName name="Units_amt11p" localSheetId="9">OFFSET(#REF!,0,0,COUNTA(#REF!),1)</definedName>
    <definedName name="Units_amt11p" localSheetId="8">OFFSET(#REF!,0,0,COUNTA(#REF!),1)</definedName>
    <definedName name="Units_amt11p">OFFSET(#REF!,0,0,COUNTA(#REF!),1)</definedName>
    <definedName name="Units_amt12" localSheetId="9">OFFSET(#REF!,0,0,COUNTA(#REF!),1)</definedName>
    <definedName name="Units_amt12" localSheetId="8">OFFSET(#REF!,0,0,COUNTA(#REF!),1)</definedName>
    <definedName name="Units_amt12">OFFSET(#REF!,0,0,COUNTA(#REF!),1)</definedName>
    <definedName name="Units_amt12p" localSheetId="9">OFFSET(#REF!,0,0,COUNTA(#REF!),1)</definedName>
    <definedName name="Units_amt12p" localSheetId="8">OFFSET(#REF!,0,0,COUNTA(#REF!),1)</definedName>
    <definedName name="Units_amt12p">OFFSET(#REF!,0,0,COUNTA(#REF!),1)</definedName>
    <definedName name="Units_amt2" localSheetId="9">OFFSET(#REF!,0,0,COUNTA(#REF!),1)</definedName>
    <definedName name="Units_amt2" localSheetId="8">OFFSET(#REF!,0,0,COUNTA(#REF!),1)</definedName>
    <definedName name="Units_amt2">OFFSET(#REF!,0,0,COUNTA(#REF!),1)</definedName>
    <definedName name="Units_amt3" localSheetId="9">OFFSET(#REF!,0,0,COUNTA(#REF!),1)</definedName>
    <definedName name="Units_amt3" localSheetId="8">OFFSET(#REF!,0,0,COUNTA(#REF!),1)</definedName>
    <definedName name="Units_amt3">OFFSET(#REF!,0,0,COUNTA(#REF!),1)</definedName>
    <definedName name="Units_amt4" localSheetId="9">OFFSET(#REF!,0,0,COUNTA(#REF!),1)</definedName>
    <definedName name="Units_amt4" localSheetId="8">OFFSET(#REF!,0,0,COUNTA(#REF!),1)</definedName>
    <definedName name="Units_amt4">OFFSET(#REF!,0,0,COUNTA(#REF!),1)</definedName>
    <definedName name="Units_BD" localSheetId="9">OFFSET(#REF!,0,0,COUNTA(#REF!),1)</definedName>
    <definedName name="Units_BD" localSheetId="8">OFFSET(#REF!,0,0,COUNTA(#REF!),1)</definedName>
    <definedName name="Units_BD">OFFSET(#REF!,0,0,COUNTA(#REF!),1)</definedName>
    <definedName name="Units_Corp" localSheetId="9">OFFSET(#REF!,0,0,COUNTA(#REF!),1)</definedName>
    <definedName name="Units_Corp" localSheetId="8">OFFSET(#REF!,0,0,COUNTA(#REF!),1)</definedName>
    <definedName name="Units_Corp">OFFSET(#REF!,0,0,COUNTA(#REF!),1)</definedName>
    <definedName name="Units_Fueltype" localSheetId="9">OFFSET(#REF!,0,0,COUNTA(#REF!),1)</definedName>
    <definedName name="Units_Fueltype" localSheetId="8">OFFSET(#REF!,0,0,COUNTA(#REF!),1)</definedName>
    <definedName name="Units_Fueltype">OFFSET(#REF!,0,0,COUNTA(#REF!),1)</definedName>
    <definedName name="Units_Majmin" localSheetId="9">OFFSET(#REF!,0,0,COUNTA(#REF!),1)</definedName>
    <definedName name="Units_Majmin" localSheetId="8">OFFSET(#REF!,0,0,COUNTA(#REF!),1)</definedName>
    <definedName name="Units_Majmin">OFFSET(#REF!,0,0,COUNTA(#REF!),1)</definedName>
    <definedName name="Units_RMC" localSheetId="9">OFFSET(#REF!,0,0,COUNTA(#REF!),1)</definedName>
    <definedName name="Units_RMC" localSheetId="8">OFFSET(#REF!,0,0,COUNTA(#REF!),1)</definedName>
    <definedName name="Units_RMC">OFFSET(#REF!,0,0,COUNTA(#REF!),1)</definedName>
    <definedName name="Units_RT" localSheetId="9">OFFSET(#REF!,0,0,COUNTA(#REF!),1)</definedName>
    <definedName name="Units_RT" localSheetId="8">OFFSET(#REF!,0,0,COUNTA(#REF!),1)</definedName>
    <definedName name="Units_RT">OFFSET(#REF!,0,0,COUNTA(#REF!),1)</definedName>
    <definedName name="UnitsAmt" localSheetId="9">OFFSET(#REF!,0,0,COUNTA(#REF!),1)</definedName>
    <definedName name="UnitsAmt" localSheetId="8">OFFSET(#REF!,0,0,COUNTA(#REF!),1)</definedName>
    <definedName name="UnitsAmt">OFFSET(#REF!,0,0,COUNTA(#REF!),1)</definedName>
    <definedName name="UnitsYTD" localSheetId="9">OFFSET(#REF!,0,0,COUNTA(#REF!),1)</definedName>
    <definedName name="UnitsYTD" localSheetId="8">OFFSET(#REF!,0,0,COUNTA(#REF!),1)</definedName>
    <definedName name="UnitsYTD">OFFSET(#REF!,0,0,COUNTA(#REF!),1)</definedName>
    <definedName name="upload" localSheetId="6">#REF!</definedName>
    <definedName name="upload" localSheetId="0">#REF!</definedName>
    <definedName name="upload" localSheetId="1">#REF!</definedName>
    <definedName name="upload" localSheetId="2">#REF!</definedName>
    <definedName name="upload" localSheetId="3">#REF!</definedName>
    <definedName name="upload" localSheetId="8">#REF!</definedName>
    <definedName name="upload">#REF!</definedName>
    <definedName name="WKW" localSheetId="6">#REF!</definedName>
    <definedName name="WKW" localSheetId="2">#REF!</definedName>
    <definedName name="WKW" localSheetId="8">#REF!</definedName>
    <definedName name="WKW">#REF!</definedName>
    <definedName name="WKWH" localSheetId="6">#REF!</definedName>
    <definedName name="WKWH" localSheetId="2">#REF!</definedName>
    <definedName name="WKWH" localSheetId="8">#REF!</definedName>
    <definedName name="WKWH">#REF!</definedName>
    <definedName name="WOffpkkwh" localSheetId="6">#REF!</definedName>
    <definedName name="WOffpkkwh" localSheetId="2">#REF!</definedName>
    <definedName name="WOffpkkwh" localSheetId="8">#REF!</definedName>
    <definedName name="WOffpkkwh">#REF!</definedName>
    <definedName name="WOnpkkwh" localSheetId="6">#REF!</definedName>
    <definedName name="WOnpkkwh" localSheetId="2">#REF!</definedName>
    <definedName name="WOnpkkwh" localSheetId="8">#REF!</definedName>
    <definedName name="WOnpkkwh">#REF!</definedName>
    <definedName name="wrn.page1." localSheetId="6" hidden="1">{"page1",#N/A,FALSE,"260"}</definedName>
    <definedName name="wrn.page1." localSheetId="9" hidden="1">{"page1",#N/A,FALSE,"260"}</definedName>
    <definedName name="wrn.page1." localSheetId="8" hidden="1">{"page1",#N/A,FALSE,"260"}</definedName>
    <definedName name="wrn.page1." hidden="1">{"page1",#N/A,FALSE,"260"}</definedName>
    <definedName name="wrn.page1._1" localSheetId="6" hidden="1">{"page1",#N/A,FALSE,"260"}</definedName>
    <definedName name="wrn.page1._1" localSheetId="9" hidden="1">{"page1",#N/A,FALSE,"260"}</definedName>
    <definedName name="wrn.page1._1" localSheetId="8" hidden="1">{"page1",#N/A,FALSE,"260"}</definedName>
    <definedName name="wrn.page1._1" hidden="1">{"page1",#N/A,FALSE,"260"}</definedName>
    <definedName name="wrn.page1._1_1" localSheetId="6" hidden="1">{"page1",#N/A,FALSE,"260"}</definedName>
    <definedName name="wrn.page1._1_1" localSheetId="9" hidden="1">{"page1",#N/A,FALSE,"260"}</definedName>
    <definedName name="wrn.page1._1_1" localSheetId="8" hidden="1">{"page1",#N/A,FALSE,"260"}</definedName>
    <definedName name="wrn.page1._1_1" hidden="1">{"page1",#N/A,FALSE,"260"}</definedName>
    <definedName name="wrn.page1._1_2" localSheetId="6" hidden="1">{"page1",#N/A,FALSE,"260"}</definedName>
    <definedName name="wrn.page1._1_2" localSheetId="9" hidden="1">{"page1",#N/A,FALSE,"260"}</definedName>
    <definedName name="wrn.page1._1_2" localSheetId="8" hidden="1">{"page1",#N/A,FALSE,"260"}</definedName>
    <definedName name="wrn.page1._1_2" hidden="1">{"page1",#N/A,FALSE,"260"}</definedName>
    <definedName name="wrn.page1._1_3" localSheetId="6" hidden="1">{"page1",#N/A,FALSE,"260"}</definedName>
    <definedName name="wrn.page1._1_3" localSheetId="9" hidden="1">{"page1",#N/A,FALSE,"260"}</definedName>
    <definedName name="wrn.page1._1_3" localSheetId="8" hidden="1">{"page1",#N/A,FALSE,"260"}</definedName>
    <definedName name="wrn.page1._1_3" hidden="1">{"page1",#N/A,FALSE,"260"}</definedName>
    <definedName name="wrn.page1._1_4" localSheetId="6" hidden="1">{"page1",#N/A,FALSE,"260"}</definedName>
    <definedName name="wrn.page1._1_4" localSheetId="9" hidden="1">{"page1",#N/A,FALSE,"260"}</definedName>
    <definedName name="wrn.page1._1_4" localSheetId="8" hidden="1">{"page1",#N/A,FALSE,"260"}</definedName>
    <definedName name="wrn.page1._1_4" hidden="1">{"page1",#N/A,FALSE,"260"}</definedName>
    <definedName name="wrn.page1._1_5" localSheetId="6" hidden="1">{"page1",#N/A,FALSE,"260"}</definedName>
    <definedName name="wrn.page1._1_5" localSheetId="9" hidden="1">{"page1",#N/A,FALSE,"260"}</definedName>
    <definedName name="wrn.page1._1_5" localSheetId="8" hidden="1">{"page1",#N/A,FALSE,"260"}</definedName>
    <definedName name="wrn.page1._1_5" hidden="1">{"page1",#N/A,FALSE,"260"}</definedName>
    <definedName name="wrn.page1._2" localSheetId="6" hidden="1">{"page1",#N/A,FALSE,"260"}</definedName>
    <definedName name="wrn.page1._2" localSheetId="9" hidden="1">{"page1",#N/A,FALSE,"260"}</definedName>
    <definedName name="wrn.page1._2" localSheetId="8" hidden="1">{"page1",#N/A,FALSE,"260"}</definedName>
    <definedName name="wrn.page1._2" hidden="1">{"page1",#N/A,FALSE,"260"}</definedName>
    <definedName name="wrn.page1._2_1" localSheetId="6" hidden="1">{"page1",#N/A,FALSE,"260"}</definedName>
    <definedName name="wrn.page1._2_1" localSheetId="9" hidden="1">{"page1",#N/A,FALSE,"260"}</definedName>
    <definedName name="wrn.page1._2_1" localSheetId="8" hidden="1">{"page1",#N/A,FALSE,"260"}</definedName>
    <definedName name="wrn.page1._2_1" hidden="1">{"page1",#N/A,FALSE,"260"}</definedName>
    <definedName name="wrn.page1._2_2" localSheetId="6" hidden="1">{"page1",#N/A,FALSE,"260"}</definedName>
    <definedName name="wrn.page1._2_2" localSheetId="9" hidden="1">{"page1",#N/A,FALSE,"260"}</definedName>
    <definedName name="wrn.page1._2_2" localSheetId="8" hidden="1">{"page1",#N/A,FALSE,"260"}</definedName>
    <definedName name="wrn.page1._2_2" hidden="1">{"page1",#N/A,FALSE,"260"}</definedName>
    <definedName name="wrn.page1._2_3" localSheetId="6" hidden="1">{"page1",#N/A,FALSE,"260"}</definedName>
    <definedName name="wrn.page1._2_3" localSheetId="9" hidden="1">{"page1",#N/A,FALSE,"260"}</definedName>
    <definedName name="wrn.page1._2_3" localSheetId="8" hidden="1">{"page1",#N/A,FALSE,"260"}</definedName>
    <definedName name="wrn.page1._2_3" hidden="1">{"page1",#N/A,FALSE,"260"}</definedName>
    <definedName name="wrn.page1._2_4" localSheetId="6" hidden="1">{"page1",#N/A,FALSE,"260"}</definedName>
    <definedName name="wrn.page1._2_4" localSheetId="9" hidden="1">{"page1",#N/A,FALSE,"260"}</definedName>
    <definedName name="wrn.page1._2_4" localSheetId="8" hidden="1">{"page1",#N/A,FALSE,"260"}</definedName>
    <definedName name="wrn.page1._2_4" hidden="1">{"page1",#N/A,FALSE,"260"}</definedName>
    <definedName name="wrn.page1._2_5" localSheetId="6" hidden="1">{"page1",#N/A,FALSE,"260"}</definedName>
    <definedName name="wrn.page1._2_5" localSheetId="9" hidden="1">{"page1",#N/A,FALSE,"260"}</definedName>
    <definedName name="wrn.page1._2_5" localSheetId="8" hidden="1">{"page1",#N/A,FALSE,"260"}</definedName>
    <definedName name="wrn.page1._2_5" hidden="1">{"page1",#N/A,FALSE,"260"}</definedName>
    <definedName name="wrn.page1._3" localSheetId="6" hidden="1">{"page1",#N/A,FALSE,"260"}</definedName>
    <definedName name="wrn.page1._3" localSheetId="9" hidden="1">{"page1",#N/A,FALSE,"260"}</definedName>
    <definedName name="wrn.page1._3" localSheetId="8" hidden="1">{"page1",#N/A,FALSE,"260"}</definedName>
    <definedName name="wrn.page1._3" hidden="1">{"page1",#N/A,FALSE,"260"}</definedName>
    <definedName name="wrn.page1._4" localSheetId="6" hidden="1">{"page1",#N/A,FALSE,"260"}</definedName>
    <definedName name="wrn.page1._4" localSheetId="9" hidden="1">{"page1",#N/A,FALSE,"260"}</definedName>
    <definedName name="wrn.page1._4" localSheetId="8" hidden="1">{"page1",#N/A,FALSE,"260"}</definedName>
    <definedName name="wrn.page1._4" hidden="1">{"page1",#N/A,FALSE,"260"}</definedName>
    <definedName name="wrn.page1._5" localSheetId="6" hidden="1">{"page1",#N/A,FALSE,"260"}</definedName>
    <definedName name="wrn.page1._5" localSheetId="9" hidden="1">{"page1",#N/A,FALSE,"260"}</definedName>
    <definedName name="wrn.page1._5" localSheetId="8" hidden="1">{"page1",#N/A,FALSE,"260"}</definedName>
    <definedName name="wrn.page1._5" hidden="1">{"page1",#N/A,FALSE,"260"}</definedName>
    <definedName name="wrn2.page1" localSheetId="6" hidden="1">{"page1",#N/A,FALSE,"260"}</definedName>
    <definedName name="wrn2.page1" localSheetId="9" hidden="1">{"page1",#N/A,FALSE,"260"}</definedName>
    <definedName name="wrn2.page1" localSheetId="8" hidden="1">{"page1",#N/A,FALSE,"260"}</definedName>
    <definedName name="wrn2.page1" hidden="1">{"page1",#N/A,FALSE,"260"}</definedName>
    <definedName name="wrn2.page1_1" localSheetId="6" hidden="1">{"page1",#N/A,FALSE,"260"}</definedName>
    <definedName name="wrn2.page1_1" localSheetId="9" hidden="1">{"page1",#N/A,FALSE,"260"}</definedName>
    <definedName name="wrn2.page1_1" localSheetId="8" hidden="1">{"page1",#N/A,FALSE,"260"}</definedName>
    <definedName name="wrn2.page1_1" hidden="1">{"page1",#N/A,FALSE,"260"}</definedName>
    <definedName name="wrn2.page1_1_1" localSheetId="6" hidden="1">{"page1",#N/A,FALSE,"260"}</definedName>
    <definedName name="wrn2.page1_1_1" localSheetId="9" hidden="1">{"page1",#N/A,FALSE,"260"}</definedName>
    <definedName name="wrn2.page1_1_1" localSheetId="8" hidden="1">{"page1",#N/A,FALSE,"260"}</definedName>
    <definedName name="wrn2.page1_1_1" hidden="1">{"page1",#N/A,FALSE,"260"}</definedName>
    <definedName name="wrn2.page1_1_2" localSheetId="6" hidden="1">{"page1",#N/A,FALSE,"260"}</definedName>
    <definedName name="wrn2.page1_1_2" localSheetId="9" hidden="1">{"page1",#N/A,FALSE,"260"}</definedName>
    <definedName name="wrn2.page1_1_2" localSheetId="8" hidden="1">{"page1",#N/A,FALSE,"260"}</definedName>
    <definedName name="wrn2.page1_1_2" hidden="1">{"page1",#N/A,FALSE,"260"}</definedName>
    <definedName name="wrn2.page1_1_3" localSheetId="6" hidden="1">{"page1",#N/A,FALSE,"260"}</definedName>
    <definedName name="wrn2.page1_1_3" localSheetId="9" hidden="1">{"page1",#N/A,FALSE,"260"}</definedName>
    <definedName name="wrn2.page1_1_3" localSheetId="8" hidden="1">{"page1",#N/A,FALSE,"260"}</definedName>
    <definedName name="wrn2.page1_1_3" hidden="1">{"page1",#N/A,FALSE,"260"}</definedName>
    <definedName name="wrn2.page1_1_4" localSheetId="6" hidden="1">{"page1",#N/A,FALSE,"260"}</definedName>
    <definedName name="wrn2.page1_1_4" localSheetId="9" hidden="1">{"page1",#N/A,FALSE,"260"}</definedName>
    <definedName name="wrn2.page1_1_4" localSheetId="8" hidden="1">{"page1",#N/A,FALSE,"260"}</definedName>
    <definedName name="wrn2.page1_1_4" hidden="1">{"page1",#N/A,FALSE,"260"}</definedName>
    <definedName name="wrn2.page1_1_5" localSheetId="6" hidden="1">{"page1",#N/A,FALSE,"260"}</definedName>
    <definedName name="wrn2.page1_1_5" localSheetId="9" hidden="1">{"page1",#N/A,FALSE,"260"}</definedName>
    <definedName name="wrn2.page1_1_5" localSheetId="8" hidden="1">{"page1",#N/A,FALSE,"260"}</definedName>
    <definedName name="wrn2.page1_1_5" hidden="1">{"page1",#N/A,FALSE,"260"}</definedName>
    <definedName name="wrn2.page1_2" localSheetId="6" hidden="1">{"page1",#N/A,FALSE,"260"}</definedName>
    <definedName name="wrn2.page1_2" localSheetId="9" hidden="1">{"page1",#N/A,FALSE,"260"}</definedName>
    <definedName name="wrn2.page1_2" localSheetId="8" hidden="1">{"page1",#N/A,FALSE,"260"}</definedName>
    <definedName name="wrn2.page1_2" hidden="1">{"page1",#N/A,FALSE,"260"}</definedName>
    <definedName name="wrn2.page1_2_1" localSheetId="6" hidden="1">{"page1",#N/A,FALSE,"260"}</definedName>
    <definedName name="wrn2.page1_2_1" localSheetId="9" hidden="1">{"page1",#N/A,FALSE,"260"}</definedName>
    <definedName name="wrn2.page1_2_1" localSheetId="8" hidden="1">{"page1",#N/A,FALSE,"260"}</definedName>
    <definedName name="wrn2.page1_2_1" hidden="1">{"page1",#N/A,FALSE,"260"}</definedName>
    <definedName name="wrn2.page1_2_2" localSheetId="6" hidden="1">{"page1",#N/A,FALSE,"260"}</definedName>
    <definedName name="wrn2.page1_2_2" localSheetId="9" hidden="1">{"page1",#N/A,FALSE,"260"}</definedName>
    <definedName name="wrn2.page1_2_2" localSheetId="8" hidden="1">{"page1",#N/A,FALSE,"260"}</definedName>
    <definedName name="wrn2.page1_2_2" hidden="1">{"page1",#N/A,FALSE,"260"}</definedName>
    <definedName name="wrn2.page1_2_3" localSheetId="6" hidden="1">{"page1",#N/A,FALSE,"260"}</definedName>
    <definedName name="wrn2.page1_2_3" localSheetId="9" hidden="1">{"page1",#N/A,FALSE,"260"}</definedName>
    <definedName name="wrn2.page1_2_3" localSheetId="8" hidden="1">{"page1",#N/A,FALSE,"260"}</definedName>
    <definedName name="wrn2.page1_2_3" hidden="1">{"page1",#N/A,FALSE,"260"}</definedName>
    <definedName name="wrn2.page1_2_4" localSheetId="6" hidden="1">{"page1",#N/A,FALSE,"260"}</definedName>
    <definedName name="wrn2.page1_2_4" localSheetId="9" hidden="1">{"page1",#N/A,FALSE,"260"}</definedName>
    <definedName name="wrn2.page1_2_4" localSheetId="8" hidden="1">{"page1",#N/A,FALSE,"260"}</definedName>
    <definedName name="wrn2.page1_2_4" hidden="1">{"page1",#N/A,FALSE,"260"}</definedName>
    <definedName name="wrn2.page1_2_5" localSheetId="6" hidden="1">{"page1",#N/A,FALSE,"260"}</definedName>
    <definedName name="wrn2.page1_2_5" localSheetId="9" hidden="1">{"page1",#N/A,FALSE,"260"}</definedName>
    <definedName name="wrn2.page1_2_5" localSheetId="8" hidden="1">{"page1",#N/A,FALSE,"260"}</definedName>
    <definedName name="wrn2.page1_2_5" hidden="1">{"page1",#N/A,FALSE,"260"}</definedName>
    <definedName name="wrn2.page1_3" localSheetId="6" hidden="1">{"page1",#N/A,FALSE,"260"}</definedName>
    <definedName name="wrn2.page1_3" localSheetId="9" hidden="1">{"page1",#N/A,FALSE,"260"}</definedName>
    <definedName name="wrn2.page1_3" localSheetId="8" hidden="1">{"page1",#N/A,FALSE,"260"}</definedName>
    <definedName name="wrn2.page1_3" hidden="1">{"page1",#N/A,FALSE,"260"}</definedName>
    <definedName name="wrn2.page1_4" localSheetId="6" hidden="1">{"page1",#N/A,FALSE,"260"}</definedName>
    <definedName name="wrn2.page1_4" localSheetId="9" hidden="1">{"page1",#N/A,FALSE,"260"}</definedName>
    <definedName name="wrn2.page1_4" localSheetId="8" hidden="1">{"page1",#N/A,FALSE,"260"}</definedName>
    <definedName name="wrn2.page1_4" hidden="1">{"page1",#N/A,FALSE,"260"}</definedName>
    <definedName name="wrn2.page1_5" localSheetId="6" hidden="1">{"page1",#N/A,FALSE,"260"}</definedName>
    <definedName name="wrn2.page1_5" localSheetId="9" hidden="1">{"page1",#N/A,FALSE,"260"}</definedName>
    <definedName name="wrn2.page1_5" localSheetId="8" hidden="1">{"page1",#N/A,FALSE,"260"}</definedName>
    <definedName name="wrn2.page1_5" hidden="1">{"page1",#N/A,FALSE,"260"}</definedName>
    <definedName name="X" localSheetId="6">PAGE5</definedName>
    <definedName name="X" localSheetId="2">PAGE5</definedName>
    <definedName name="X" localSheetId="9">PAGE5</definedName>
    <definedName name="X" localSheetId="8">PAGE5</definedName>
    <definedName name="X">PAGE5</definedName>
    <definedName name="Year" localSheetId="6">#REF!</definedName>
    <definedName name="Year" localSheetId="2">#REF!</definedName>
    <definedName name="Year" localSheetId="8">#REF!</definedName>
    <definedName name="Year">#REF!</definedName>
    <definedName name="z" localSheetId="6" hidden="1">#REF!</definedName>
    <definedName name="z" localSheetId="0" hidden="1">#REF!</definedName>
    <definedName name="z" localSheetId="1" hidden="1">#REF!</definedName>
    <definedName name="z" localSheetId="2" hidden="1">#REF!</definedName>
    <definedName name="z" localSheetId="3" hidden="1">#REF!</definedName>
    <definedName name="z" localSheetId="9" hidden="1">#REF!</definedName>
    <definedName name="z" localSheetId="8" hidden="1">#REF!</definedName>
    <definedName name="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86" l="1"/>
  <c r="I25" i="86" s="1"/>
  <c r="C20" i="86"/>
  <c r="E14" i="86" s="1"/>
  <c r="I14" i="86" s="1"/>
  <c r="E18" i="86"/>
  <c r="I18" i="86" s="1"/>
  <c r="E16" i="86"/>
  <c r="I16" i="86" s="1"/>
  <c r="I26" i="86" s="1"/>
  <c r="I39" i="85"/>
  <c r="I25" i="85" s="1"/>
  <c r="C20" i="85"/>
  <c r="E14" i="85" s="1"/>
  <c r="I14" i="85" s="1"/>
  <c r="E16" i="85"/>
  <c r="I16" i="85" s="1"/>
  <c r="H7" i="48" l="1"/>
  <c r="H10" i="48" s="1"/>
  <c r="E17" i="48"/>
  <c r="F17" i="48"/>
  <c r="G17" i="48"/>
  <c r="K7" i="48"/>
  <c r="K10" i="48" s="1"/>
  <c r="J7" i="48"/>
  <c r="J10" i="48" s="1"/>
  <c r="D17" i="48"/>
  <c r="K17" i="48"/>
  <c r="J17" i="48"/>
  <c r="I17" i="48"/>
  <c r="I7" i="48"/>
  <c r="I10" i="48" s="1"/>
  <c r="F7" i="48"/>
  <c r="F10" i="48" s="1"/>
  <c r="H17" i="48"/>
  <c r="G7" i="48"/>
  <c r="G10" i="48" s="1"/>
  <c r="E7" i="48"/>
  <c r="E10" i="48" s="1"/>
  <c r="D7" i="48"/>
  <c r="D10" i="48" s="1"/>
  <c r="I27" i="86"/>
  <c r="E12" i="86"/>
  <c r="E12" i="85"/>
  <c r="E18" i="85"/>
  <c r="I18" i="85" s="1"/>
  <c r="I26" i="85" s="1"/>
  <c r="I27" i="85" s="1"/>
  <c r="C7" i="48" l="1"/>
  <c r="C10" i="48" s="1"/>
  <c r="C17" i="48"/>
  <c r="I12" i="86"/>
  <c r="E20" i="86"/>
  <c r="I12" i="85"/>
  <c r="E20" i="85"/>
  <c r="I28" i="86" l="1"/>
  <c r="I30" i="86" s="1"/>
  <c r="I20" i="86"/>
  <c r="I28" i="85"/>
  <c r="I30" i="85" s="1"/>
  <c r="I20" i="85"/>
  <c r="M17" i="48" l="1"/>
  <c r="M7" i="48"/>
  <c r="M10" i="48" l="1"/>
  <c r="L7" i="48"/>
  <c r="L10" i="48" s="1"/>
  <c r="L17" i="48"/>
  <c r="D24" i="67" l="1"/>
  <c r="E24" i="67"/>
  <c r="F24" i="67"/>
  <c r="G24" i="67"/>
  <c r="H24" i="67"/>
  <c r="I24" i="67"/>
  <c r="J24" i="67"/>
  <c r="K24" i="67"/>
  <c r="C24" i="67"/>
  <c r="B24" i="67"/>
  <c r="B47" i="84" l="1"/>
  <c r="C21" i="84"/>
  <c r="B21" i="84"/>
  <c r="B49" i="84"/>
  <c r="B56" i="84" l="1"/>
  <c r="C56" i="84" s="1"/>
  <c r="D26" i="84"/>
  <c r="D36" i="84"/>
  <c r="C37" i="84"/>
  <c r="D12" i="84"/>
  <c r="C47" i="84"/>
  <c r="C9" i="9"/>
  <c r="C49" i="84"/>
  <c r="D33" i="84"/>
  <c r="C28" i="84"/>
  <c r="D15" i="84"/>
  <c r="C17" i="84"/>
  <c r="D14" i="84"/>
  <c r="D25" i="84"/>
  <c r="D35" i="84"/>
  <c r="D11" i="84"/>
  <c r="D20" i="84"/>
  <c r="D21" i="84" s="1"/>
  <c r="D24" i="84"/>
  <c r="D34" i="84"/>
  <c r="D10" i="84"/>
  <c r="B17" i="84"/>
  <c r="B50" i="84"/>
  <c r="C50" i="84" s="1"/>
  <c r="D13" i="84"/>
  <c r="B37" i="84"/>
  <c r="D27" i="84"/>
  <c r="B46" i="84"/>
  <c r="C8" i="9" s="1"/>
  <c r="B51" i="84"/>
  <c r="C51" i="84" s="1"/>
  <c r="B28" i="84"/>
  <c r="D16" i="84"/>
  <c r="B55" i="84"/>
  <c r="B48" i="84"/>
  <c r="D32" i="84"/>
  <c r="C40" i="84" l="1"/>
  <c r="D37" i="84"/>
  <c r="C11" i="9"/>
  <c r="C48" i="84"/>
  <c r="C10" i="9"/>
  <c r="B40" i="84"/>
  <c r="D28" i="84"/>
  <c r="D17" i="84"/>
  <c r="B57" i="84"/>
  <c r="C55" i="84"/>
  <c r="C57" i="84" s="1"/>
  <c r="C46" i="84"/>
  <c r="B52" i="84"/>
  <c r="D40" i="84" l="1"/>
  <c r="C52" i="84"/>
  <c r="M24" i="67" s="1"/>
  <c r="L24" i="67"/>
  <c r="EL40" i="71" l="1"/>
  <c r="EG40" i="71"/>
  <c r="EI40" i="71" s="1"/>
  <c r="EB40" i="71"/>
  <c r="DW40" i="71"/>
  <c r="DT40" i="71"/>
  <c r="EM40" i="71" s="1"/>
  <c r="DQ40" i="71"/>
  <c r="DN40" i="71"/>
  <c r="DK40" i="71"/>
  <c r="DH40" i="71"/>
  <c r="DE40" i="71"/>
  <c r="DB40" i="71"/>
  <c r="CY40" i="71"/>
  <c r="CV40" i="71"/>
  <c r="CS40" i="71"/>
  <c r="CP40" i="71"/>
  <c r="CM40" i="71"/>
  <c r="CJ40" i="71"/>
  <c r="CG40" i="71"/>
  <c r="CD40" i="71"/>
  <c r="CA40" i="71"/>
  <c r="BX40" i="71"/>
  <c r="BU40" i="71"/>
  <c r="BR40" i="71"/>
  <c r="BO40" i="71"/>
  <c r="BL40" i="71"/>
  <c r="BI40" i="71"/>
  <c r="BF40" i="71"/>
  <c r="BC40" i="71"/>
  <c r="AZ40" i="71"/>
  <c r="AW40" i="71"/>
  <c r="AT40" i="71"/>
  <c r="AR40" i="71"/>
  <c r="AO40" i="71"/>
  <c r="AQ40" i="71" s="1"/>
  <c r="AN40" i="71"/>
  <c r="AL40" i="71"/>
  <c r="AI40" i="71"/>
  <c r="AK40" i="71" s="1"/>
  <c r="AB40" i="71"/>
  <c r="Y40" i="71"/>
  <c r="V40" i="71"/>
  <c r="EH40" i="71" s="1"/>
  <c r="S40" i="71"/>
  <c r="P40" i="71"/>
  <c r="M40" i="71"/>
  <c r="J40" i="71"/>
  <c r="G40" i="71"/>
  <c r="D40" i="71"/>
  <c r="EL39" i="71"/>
  <c r="EG39" i="71"/>
  <c r="EI39" i="71" s="1"/>
  <c r="DW39" i="71"/>
  <c r="DT39" i="71"/>
  <c r="DQ39" i="71"/>
  <c r="DN39" i="71"/>
  <c r="DK39" i="71"/>
  <c r="DH39" i="71"/>
  <c r="DE39" i="71"/>
  <c r="DB39" i="71"/>
  <c r="CY39" i="71"/>
  <c r="CV39" i="71"/>
  <c r="CS39" i="71"/>
  <c r="CP39" i="71"/>
  <c r="CM39" i="71"/>
  <c r="CJ39" i="71"/>
  <c r="CG39" i="71"/>
  <c r="CD39" i="71"/>
  <c r="CA39" i="71"/>
  <c r="BX39" i="71"/>
  <c r="BU39" i="71"/>
  <c r="BR39" i="71"/>
  <c r="BO39" i="71"/>
  <c r="BL39" i="71"/>
  <c r="BI39" i="71"/>
  <c r="BF39" i="71"/>
  <c r="BC39" i="71"/>
  <c r="AZ39" i="71"/>
  <c r="AW39" i="71"/>
  <c r="AT39" i="71"/>
  <c r="AR39" i="71"/>
  <c r="AO39" i="71"/>
  <c r="AQ39" i="71" s="1"/>
  <c r="AN39" i="71"/>
  <c r="AL39" i="71"/>
  <c r="AI39" i="71"/>
  <c r="AK39" i="71" s="1"/>
  <c r="EM39" i="71" s="1"/>
  <c r="AB39" i="71"/>
  <c r="Y39" i="71"/>
  <c r="V39" i="71"/>
  <c r="S39" i="71"/>
  <c r="P39" i="71"/>
  <c r="M39" i="71"/>
  <c r="J39" i="71"/>
  <c r="G39" i="71"/>
  <c r="D39" i="71"/>
  <c r="EL38" i="71"/>
  <c r="EG38" i="71"/>
  <c r="EI38" i="71" s="1"/>
  <c r="EB38" i="71"/>
  <c r="DW38" i="71"/>
  <c r="DT38" i="71"/>
  <c r="DQ38" i="71"/>
  <c r="DN38" i="71"/>
  <c r="DK38" i="71"/>
  <c r="DH38" i="71"/>
  <c r="DE38" i="71"/>
  <c r="DB38" i="71"/>
  <c r="CY38" i="71"/>
  <c r="CV38" i="71"/>
  <c r="CS38" i="71"/>
  <c r="CP38" i="71"/>
  <c r="CM38" i="71"/>
  <c r="CJ38" i="71"/>
  <c r="CG38" i="71"/>
  <c r="CD38" i="71"/>
  <c r="CA38" i="71"/>
  <c r="BX38" i="71"/>
  <c r="BU38" i="71"/>
  <c r="BR38" i="71"/>
  <c r="BO38" i="71"/>
  <c r="BL38" i="71"/>
  <c r="BI38" i="71"/>
  <c r="BF38" i="71"/>
  <c r="BC38" i="71"/>
  <c r="AZ38" i="71"/>
  <c r="AW38" i="71"/>
  <c r="AT38" i="71"/>
  <c r="AO38" i="71"/>
  <c r="EK38" i="71" s="1"/>
  <c r="AL38" i="71"/>
  <c r="AN38" i="71" s="1"/>
  <c r="AI38" i="71"/>
  <c r="AK38" i="71" s="1"/>
  <c r="AB38" i="71"/>
  <c r="Y38" i="71"/>
  <c r="V38" i="71"/>
  <c r="S38" i="71"/>
  <c r="EH38" i="71" s="1"/>
  <c r="P38" i="71"/>
  <c r="M38" i="71"/>
  <c r="J38" i="71"/>
  <c r="G38" i="71"/>
  <c r="D38" i="71"/>
  <c r="EL37" i="71"/>
  <c r="EK37" i="71"/>
  <c r="EN37" i="71" s="1"/>
  <c r="EG37" i="71"/>
  <c r="EI37" i="71" s="1"/>
  <c r="EB37" i="71"/>
  <c r="DW37" i="71"/>
  <c r="DT37" i="71"/>
  <c r="EM37" i="71" s="1"/>
  <c r="DQ37" i="71"/>
  <c r="DN37" i="71"/>
  <c r="DK37" i="71"/>
  <c r="DH37" i="71"/>
  <c r="DE37" i="71"/>
  <c r="DB37" i="71"/>
  <c r="CY37" i="71"/>
  <c r="CV37" i="71"/>
  <c r="CS37" i="71"/>
  <c r="CP37" i="71"/>
  <c r="CM37" i="71"/>
  <c r="CJ37" i="71"/>
  <c r="CG37" i="71"/>
  <c r="CD37" i="71"/>
  <c r="CA37" i="71"/>
  <c r="BX37" i="71"/>
  <c r="BU37" i="71"/>
  <c r="BR37" i="71"/>
  <c r="BO37" i="71"/>
  <c r="BL37" i="71"/>
  <c r="BI37" i="71"/>
  <c r="BF37" i="71"/>
  <c r="BC37" i="71"/>
  <c r="AZ37" i="71"/>
  <c r="AW37" i="71"/>
  <c r="AT37" i="71"/>
  <c r="AQ37" i="71"/>
  <c r="AO37" i="71"/>
  <c r="AL37" i="71"/>
  <c r="AN37" i="71" s="1"/>
  <c r="AK37" i="71"/>
  <c r="AI37" i="71"/>
  <c r="AB37" i="71"/>
  <c r="Y37" i="71"/>
  <c r="V37" i="71"/>
  <c r="S37" i="71"/>
  <c r="EH37" i="71" s="1"/>
  <c r="P37" i="71"/>
  <c r="M37" i="71"/>
  <c r="J37" i="71"/>
  <c r="G37" i="71"/>
  <c r="D37" i="71"/>
  <c r="EL36" i="71"/>
  <c r="EK36" i="71"/>
  <c r="EI36" i="71"/>
  <c r="EG36" i="71"/>
  <c r="DW36" i="71"/>
  <c r="DT36" i="71"/>
  <c r="DQ36" i="71"/>
  <c r="DN36" i="71"/>
  <c r="DK36" i="71"/>
  <c r="DH36" i="71"/>
  <c r="DE36" i="71"/>
  <c r="DB36" i="71"/>
  <c r="CY36" i="71"/>
  <c r="CV36" i="71"/>
  <c r="CS36" i="71"/>
  <c r="CP36" i="71"/>
  <c r="CM36" i="71"/>
  <c r="CJ36" i="71"/>
  <c r="CG36" i="71"/>
  <c r="CD36" i="71"/>
  <c r="CA36" i="71"/>
  <c r="BX36" i="71"/>
  <c r="BU36" i="71"/>
  <c r="BR36" i="71"/>
  <c r="BO36" i="71"/>
  <c r="BL36" i="71"/>
  <c r="BI36" i="71"/>
  <c r="BF36" i="71"/>
  <c r="BC36" i="71"/>
  <c r="AZ36" i="71"/>
  <c r="AW36" i="71"/>
  <c r="AT36" i="71"/>
  <c r="AQ36" i="71"/>
  <c r="AN36" i="71"/>
  <c r="AL36" i="71"/>
  <c r="AI36" i="71"/>
  <c r="AK36" i="71" s="1"/>
  <c r="EM36" i="71" s="1"/>
  <c r="AB36" i="71"/>
  <c r="Y36" i="71"/>
  <c r="V36" i="71"/>
  <c r="S36" i="71"/>
  <c r="EH36" i="71" s="1"/>
  <c r="P36" i="71"/>
  <c r="M36" i="71"/>
  <c r="J36" i="71"/>
  <c r="G36" i="71"/>
  <c r="D36" i="71"/>
  <c r="ED36" i="71" s="1"/>
  <c r="EL35" i="71"/>
  <c r="EK35" i="71"/>
  <c r="EG35" i="71"/>
  <c r="EI35" i="71" s="1"/>
  <c r="DW35" i="71"/>
  <c r="DT35" i="71"/>
  <c r="DQ35" i="71"/>
  <c r="DN35" i="71"/>
  <c r="DK35" i="71"/>
  <c r="DH35" i="71"/>
  <c r="DE35" i="71"/>
  <c r="DB35" i="71"/>
  <c r="CY35" i="71"/>
  <c r="CV35" i="71"/>
  <c r="CS35" i="71"/>
  <c r="CP35" i="71"/>
  <c r="CM35" i="71"/>
  <c r="CJ35" i="71"/>
  <c r="CG35" i="71"/>
  <c r="CD35" i="71"/>
  <c r="CA35" i="71"/>
  <c r="BX35" i="71"/>
  <c r="BU35" i="71"/>
  <c r="BR35" i="71"/>
  <c r="BO35" i="71"/>
  <c r="BL35" i="71"/>
  <c r="BI35" i="71"/>
  <c r="BF35" i="71"/>
  <c r="BC35" i="71"/>
  <c r="AZ35" i="71"/>
  <c r="AW35" i="71"/>
  <c r="AT35" i="71"/>
  <c r="AQ35" i="71"/>
  <c r="AL35" i="71"/>
  <c r="EB35" i="71" s="1"/>
  <c r="AK35" i="71"/>
  <c r="AI35" i="71"/>
  <c r="AB35" i="71"/>
  <c r="Y35" i="71"/>
  <c r="V35" i="71"/>
  <c r="S35" i="71"/>
  <c r="EH35" i="71" s="1"/>
  <c r="P35" i="71"/>
  <c r="M35" i="71"/>
  <c r="J35" i="71"/>
  <c r="G35" i="71"/>
  <c r="D35" i="71"/>
  <c r="EL34" i="71"/>
  <c r="EI34" i="71"/>
  <c r="EG34" i="71"/>
  <c r="DW34" i="71"/>
  <c r="DT34" i="71"/>
  <c r="DQ34" i="71"/>
  <c r="DN34" i="71"/>
  <c r="DK34" i="71"/>
  <c r="DH34" i="71"/>
  <c r="DE34" i="71"/>
  <c r="DB34" i="71"/>
  <c r="CY34" i="71"/>
  <c r="CV34" i="71"/>
  <c r="CS34" i="71"/>
  <c r="CP34" i="71"/>
  <c r="CM34" i="71"/>
  <c r="CJ34" i="71"/>
  <c r="CG34" i="71"/>
  <c r="CD34" i="71"/>
  <c r="CA34" i="71"/>
  <c r="BX34" i="71"/>
  <c r="BU34" i="71"/>
  <c r="BR34" i="71"/>
  <c r="BO34" i="71"/>
  <c r="BL34" i="71"/>
  <c r="BI34" i="71"/>
  <c r="BF34" i="71"/>
  <c r="BC34" i="71"/>
  <c r="AZ34" i="71"/>
  <c r="AW34" i="71"/>
  <c r="AT34" i="71"/>
  <c r="AQ34" i="71"/>
  <c r="AL34" i="71"/>
  <c r="AN34" i="71" s="1"/>
  <c r="AK34" i="71"/>
  <c r="EH34" i="71"/>
  <c r="AB34" i="71"/>
  <c r="Y34" i="71"/>
  <c r="V34" i="71"/>
  <c r="S34" i="71"/>
  <c r="P34" i="71"/>
  <c r="M34" i="71"/>
  <c r="J34" i="71"/>
  <c r="G34" i="71"/>
  <c r="D34" i="71"/>
  <c r="ED34" i="71" s="1"/>
  <c r="EL33" i="71"/>
  <c r="EK33" i="71"/>
  <c r="EG33" i="71"/>
  <c r="EI33" i="71" s="1"/>
  <c r="DW33" i="71"/>
  <c r="DT33" i="71"/>
  <c r="DQ33" i="71"/>
  <c r="DN33" i="71"/>
  <c r="DK33" i="71"/>
  <c r="DH33" i="71"/>
  <c r="DE33" i="71"/>
  <c r="DB33" i="71"/>
  <c r="CY33" i="71"/>
  <c r="CV33" i="71"/>
  <c r="CS33" i="71"/>
  <c r="CP33" i="71"/>
  <c r="CM33" i="71"/>
  <c r="CJ33" i="71"/>
  <c r="CG33" i="71"/>
  <c r="CD33" i="71"/>
  <c r="CA33" i="71"/>
  <c r="BX33" i="71"/>
  <c r="BU33" i="71"/>
  <c r="BR33" i="71"/>
  <c r="BO33" i="71"/>
  <c r="BL33" i="71"/>
  <c r="BI33" i="71"/>
  <c r="BF33" i="71"/>
  <c r="BC33" i="71"/>
  <c r="AZ33" i="71"/>
  <c r="AW33" i="71"/>
  <c r="AT33" i="71"/>
  <c r="AQ33" i="71"/>
  <c r="AL33" i="71"/>
  <c r="AN33" i="71" s="1"/>
  <c r="AK33" i="71"/>
  <c r="AB33" i="71"/>
  <c r="Y33" i="71"/>
  <c r="ED33" i="71" s="1"/>
  <c r="V33" i="71"/>
  <c r="S33" i="71"/>
  <c r="P33" i="71"/>
  <c r="M33" i="71"/>
  <c r="J33" i="71"/>
  <c r="G33" i="71"/>
  <c r="D33" i="71"/>
  <c r="EL32" i="71"/>
  <c r="EG32" i="71"/>
  <c r="EI32" i="71" s="1"/>
  <c r="EB32" i="71"/>
  <c r="EC32" i="71" s="1"/>
  <c r="DW32" i="71"/>
  <c r="DT32" i="71"/>
  <c r="DQ32" i="71"/>
  <c r="DN32" i="71"/>
  <c r="DK32" i="71"/>
  <c r="DH32" i="71"/>
  <c r="DE32" i="71"/>
  <c r="DB32" i="71"/>
  <c r="CY32" i="71"/>
  <c r="CV32" i="71"/>
  <c r="CS32" i="71"/>
  <c r="CP32" i="71"/>
  <c r="CM32" i="71"/>
  <c r="CJ32" i="71"/>
  <c r="CG32" i="71"/>
  <c r="CD32" i="71"/>
  <c r="CA32" i="71"/>
  <c r="BX32" i="71"/>
  <c r="BU32" i="71"/>
  <c r="BR32" i="71"/>
  <c r="BO32" i="71"/>
  <c r="BL32" i="71"/>
  <c r="BI32" i="71"/>
  <c r="BF32" i="71"/>
  <c r="BC32" i="71"/>
  <c r="AZ32" i="71"/>
  <c r="AW32" i="71"/>
  <c r="AT32" i="71"/>
  <c r="AQ32" i="71"/>
  <c r="AL32" i="71"/>
  <c r="EK32" i="71" s="1"/>
  <c r="AK32" i="71"/>
  <c r="AB32" i="71"/>
  <c r="Y32" i="71"/>
  <c r="V32" i="71"/>
  <c r="S32" i="71"/>
  <c r="EH32" i="71" s="1"/>
  <c r="P32" i="71"/>
  <c r="M32" i="71"/>
  <c r="J32" i="71"/>
  <c r="G32" i="71"/>
  <c r="D32" i="71"/>
  <c r="EL31" i="71"/>
  <c r="EI31" i="71"/>
  <c r="EG31" i="71"/>
  <c r="DW31" i="71"/>
  <c r="DT31" i="71"/>
  <c r="DQ31" i="71"/>
  <c r="DN31" i="71"/>
  <c r="DK31" i="71"/>
  <c r="DH31" i="71"/>
  <c r="DE31" i="71"/>
  <c r="EM31" i="71" s="1"/>
  <c r="DB31" i="71"/>
  <c r="CY31" i="71"/>
  <c r="CV31" i="71"/>
  <c r="CS31" i="71"/>
  <c r="CP31" i="71"/>
  <c r="CM31" i="71"/>
  <c r="CJ31" i="71"/>
  <c r="CG31" i="71"/>
  <c r="CD31" i="71"/>
  <c r="CA31" i="71"/>
  <c r="BX31" i="71"/>
  <c r="BU31" i="71"/>
  <c r="BR31" i="71"/>
  <c r="BO31" i="71"/>
  <c r="BL31" i="71"/>
  <c r="BI31" i="71"/>
  <c r="BF31" i="71"/>
  <c r="BC31" i="71"/>
  <c r="AZ31" i="71"/>
  <c r="AW31" i="71"/>
  <c r="AT31" i="71"/>
  <c r="AQ31" i="71"/>
  <c r="AL31" i="71"/>
  <c r="AN31" i="71" s="1"/>
  <c r="AK31" i="71"/>
  <c r="AB31" i="71"/>
  <c r="Y31" i="71"/>
  <c r="V31" i="71"/>
  <c r="S31" i="71"/>
  <c r="EH31" i="71" s="1"/>
  <c r="P31" i="71"/>
  <c r="M31" i="71"/>
  <c r="J31" i="71"/>
  <c r="G31" i="71"/>
  <c r="D31" i="71"/>
  <c r="EL30" i="71"/>
  <c r="EG30" i="71"/>
  <c r="EI30" i="71" s="1"/>
  <c r="DW30" i="71"/>
  <c r="DT30" i="71"/>
  <c r="DQ30" i="71"/>
  <c r="DN30" i="71"/>
  <c r="DK30" i="71"/>
  <c r="DH30" i="71"/>
  <c r="DE30" i="71"/>
  <c r="DB30" i="71"/>
  <c r="CY30" i="71"/>
  <c r="CV30" i="71"/>
  <c r="CS30" i="71"/>
  <c r="CP30" i="71"/>
  <c r="CM30" i="71"/>
  <c r="CJ30" i="71"/>
  <c r="CG30" i="71"/>
  <c r="CD30" i="71"/>
  <c r="CA30" i="71"/>
  <c r="BX30" i="71"/>
  <c r="BU30" i="71"/>
  <c r="BR30" i="71"/>
  <c r="BO30" i="71"/>
  <c r="BL30" i="71"/>
  <c r="BI30" i="71"/>
  <c r="BF30" i="71"/>
  <c r="BC30" i="71"/>
  <c r="AZ30" i="71"/>
  <c r="AW30" i="71"/>
  <c r="AT30" i="71"/>
  <c r="AQ30" i="71"/>
  <c r="AL30" i="71"/>
  <c r="EK30" i="71" s="1"/>
  <c r="AK30" i="71"/>
  <c r="EH30" i="71"/>
  <c r="AB30" i="71"/>
  <c r="Y30" i="71"/>
  <c r="V30" i="71"/>
  <c r="S30" i="71"/>
  <c r="P30" i="71"/>
  <c r="M30" i="71"/>
  <c r="J30" i="71"/>
  <c r="G30" i="71"/>
  <c r="D30" i="71"/>
  <c r="EL29" i="71"/>
  <c r="EK29" i="71"/>
  <c r="EG29" i="71"/>
  <c r="EI29" i="71" s="1"/>
  <c r="DW29" i="71"/>
  <c r="DT29" i="71"/>
  <c r="DQ29" i="71"/>
  <c r="DN29" i="71"/>
  <c r="DK29" i="71"/>
  <c r="DH29" i="71"/>
  <c r="DE29" i="71"/>
  <c r="DB29" i="71"/>
  <c r="CY29" i="71"/>
  <c r="CV29" i="71"/>
  <c r="CS29" i="71"/>
  <c r="CP29" i="71"/>
  <c r="CM29" i="71"/>
  <c r="CJ29" i="71"/>
  <c r="CG29" i="71"/>
  <c r="CD29" i="71"/>
  <c r="CA29" i="71"/>
  <c r="BX29" i="71"/>
  <c r="BU29" i="71"/>
  <c r="BR29" i="71"/>
  <c r="BO29" i="71"/>
  <c r="BL29" i="71"/>
  <c r="BI29" i="71"/>
  <c r="BF29" i="71"/>
  <c r="BC29" i="71"/>
  <c r="AZ29" i="71"/>
  <c r="AW29" i="71"/>
  <c r="AT29" i="71"/>
  <c r="AQ29" i="71"/>
  <c r="AL29" i="71"/>
  <c r="AN29" i="71" s="1"/>
  <c r="AK29" i="71"/>
  <c r="AB29" i="71"/>
  <c r="ED29" i="71" s="1"/>
  <c r="Y29" i="71"/>
  <c r="V29" i="71"/>
  <c r="S29" i="71"/>
  <c r="P29" i="71"/>
  <c r="M29" i="71"/>
  <c r="J29" i="71"/>
  <c r="G29" i="71"/>
  <c r="D29" i="71"/>
  <c r="EL28" i="71"/>
  <c r="EG28" i="71"/>
  <c r="EI28" i="71" s="1"/>
  <c r="EB28" i="71"/>
  <c r="EC28" i="71" s="1"/>
  <c r="DW28" i="71"/>
  <c r="DT28" i="71"/>
  <c r="DQ28" i="71"/>
  <c r="DN28" i="71"/>
  <c r="DK28" i="71"/>
  <c r="DH28" i="71"/>
  <c r="DE28" i="71"/>
  <c r="DB28" i="71"/>
  <c r="CY28" i="71"/>
  <c r="CV28" i="71"/>
  <c r="CS28" i="71"/>
  <c r="CP28" i="71"/>
  <c r="CM28" i="71"/>
  <c r="CJ28" i="71"/>
  <c r="CG28" i="71"/>
  <c r="CD28" i="71"/>
  <c r="CA28" i="71"/>
  <c r="BX28" i="71"/>
  <c r="BU28" i="71"/>
  <c r="BR28" i="71"/>
  <c r="BO28" i="71"/>
  <c r="BL28" i="71"/>
  <c r="BI28" i="71"/>
  <c r="BF28" i="71"/>
  <c r="BC28" i="71"/>
  <c r="AZ28" i="71"/>
  <c r="AW28" i="71"/>
  <c r="AT28" i="71"/>
  <c r="AQ28" i="71"/>
  <c r="AL28" i="71"/>
  <c r="EK28" i="71" s="1"/>
  <c r="AK28" i="71"/>
  <c r="AI28" i="71"/>
  <c r="AB28" i="71"/>
  <c r="Y28" i="71"/>
  <c r="V28" i="71"/>
  <c r="S28" i="71"/>
  <c r="P28" i="71"/>
  <c r="M28" i="71"/>
  <c r="J28" i="71"/>
  <c r="G28" i="71"/>
  <c r="D28" i="71"/>
  <c r="EL27" i="71"/>
  <c r="EK27" i="71"/>
  <c r="EI27" i="71"/>
  <c r="EG27" i="71"/>
  <c r="DW27" i="71"/>
  <c r="DT27" i="71"/>
  <c r="EM27" i="71" s="1"/>
  <c r="DQ27" i="71"/>
  <c r="DN27" i="71"/>
  <c r="DK27" i="71"/>
  <c r="DH27" i="71"/>
  <c r="DE27" i="71"/>
  <c r="DB27" i="71"/>
  <c r="CY27" i="71"/>
  <c r="CV27" i="71"/>
  <c r="CS27" i="71"/>
  <c r="CP27" i="71"/>
  <c r="CM27" i="71"/>
  <c r="CJ27" i="71"/>
  <c r="CG27" i="71"/>
  <c r="CD27" i="71"/>
  <c r="CA27" i="71"/>
  <c r="BX27" i="71"/>
  <c r="BU27" i="71"/>
  <c r="BR27" i="71"/>
  <c r="BO27" i="71"/>
  <c r="BL27" i="71"/>
  <c r="BI27" i="71"/>
  <c r="BF27" i="71"/>
  <c r="BC27" i="71"/>
  <c r="AZ27" i="71"/>
  <c r="AW27" i="71"/>
  <c r="AT27" i="71"/>
  <c r="AQ27" i="71"/>
  <c r="AN27" i="71"/>
  <c r="AL27" i="71"/>
  <c r="AI27" i="71"/>
  <c r="AK27" i="71" s="1"/>
  <c r="AB27" i="71"/>
  <c r="Y27" i="71"/>
  <c r="V27" i="71"/>
  <c r="S27" i="71"/>
  <c r="EH27" i="71" s="1"/>
  <c r="P27" i="71"/>
  <c r="M27" i="71"/>
  <c r="J27" i="71"/>
  <c r="G27" i="71"/>
  <c r="D27" i="71"/>
  <c r="EL26" i="71"/>
  <c r="EK26" i="71"/>
  <c r="EH26" i="71"/>
  <c r="EG26" i="71"/>
  <c r="EI26" i="71" s="1"/>
  <c r="DW26" i="71"/>
  <c r="DT26" i="71"/>
  <c r="DQ26" i="71"/>
  <c r="DN26" i="71"/>
  <c r="DK26" i="71"/>
  <c r="EM26" i="71" s="1"/>
  <c r="DH26" i="71"/>
  <c r="DE26" i="71"/>
  <c r="DB26" i="71"/>
  <c r="CY26" i="71"/>
  <c r="CV26" i="71"/>
  <c r="CS26" i="71"/>
  <c r="CP26" i="71"/>
  <c r="CM26" i="71"/>
  <c r="CJ26" i="71"/>
  <c r="CG26" i="71"/>
  <c r="CD26" i="71"/>
  <c r="CA26" i="71"/>
  <c r="BX26" i="71"/>
  <c r="BU26" i="71"/>
  <c r="BR26" i="71"/>
  <c r="BO26" i="71"/>
  <c r="BL26" i="71"/>
  <c r="BI26" i="71"/>
  <c r="BF26" i="71"/>
  <c r="BC26" i="71"/>
  <c r="AZ26" i="71"/>
  <c r="AW26" i="71"/>
  <c r="AT26" i="71"/>
  <c r="AQ26" i="71"/>
  <c r="AN26" i="71"/>
  <c r="AL26" i="71"/>
  <c r="EB26" i="71" s="1"/>
  <c r="AK26" i="71"/>
  <c r="AI26" i="71"/>
  <c r="AB26" i="71"/>
  <c r="Y26" i="71"/>
  <c r="V26" i="71"/>
  <c r="S26" i="71"/>
  <c r="P26" i="71"/>
  <c r="M26" i="71"/>
  <c r="J26" i="71"/>
  <c r="G26" i="71"/>
  <c r="D26" i="71"/>
  <c r="EL25" i="71"/>
  <c r="EI25" i="71"/>
  <c r="EH25" i="71"/>
  <c r="EG25" i="71"/>
  <c r="DW25" i="71"/>
  <c r="DT25" i="71"/>
  <c r="DQ25" i="71"/>
  <c r="DN25" i="71"/>
  <c r="DK25" i="71"/>
  <c r="DH25" i="71"/>
  <c r="DE25" i="71"/>
  <c r="DB25" i="71"/>
  <c r="CY25" i="71"/>
  <c r="CV25" i="71"/>
  <c r="CS25" i="71"/>
  <c r="CP25" i="71"/>
  <c r="CM25" i="71"/>
  <c r="CJ25" i="71"/>
  <c r="CG25" i="71"/>
  <c r="CD25" i="71"/>
  <c r="CA25" i="71"/>
  <c r="BX25" i="71"/>
  <c r="BU25" i="71"/>
  <c r="BR25" i="71"/>
  <c r="BO25" i="71"/>
  <c r="BL25" i="71"/>
  <c r="BI25" i="71"/>
  <c r="BF25" i="71"/>
  <c r="BC25" i="71"/>
  <c r="AZ25" i="71"/>
  <c r="AW25" i="71"/>
  <c r="AT25" i="71"/>
  <c r="AQ25" i="71"/>
  <c r="AL25" i="71"/>
  <c r="EK25" i="71" s="1"/>
  <c r="AI25" i="71"/>
  <c r="AK25" i="71" s="1"/>
  <c r="AB25" i="71"/>
  <c r="Y25" i="71"/>
  <c r="V25" i="71"/>
  <c r="S25" i="71"/>
  <c r="P25" i="71"/>
  <c r="M25" i="71"/>
  <c r="J25" i="71"/>
  <c r="G25" i="71"/>
  <c r="D25" i="71"/>
  <c r="EL24" i="71"/>
  <c r="EG24" i="71"/>
  <c r="EI24" i="71" s="1"/>
  <c r="EB24" i="71"/>
  <c r="DW24" i="71"/>
  <c r="DT24" i="71"/>
  <c r="DQ24" i="71"/>
  <c r="DN24" i="71"/>
  <c r="DK24" i="71"/>
  <c r="DH24" i="71"/>
  <c r="DE24" i="71"/>
  <c r="DB24" i="71"/>
  <c r="CY24" i="71"/>
  <c r="CV24" i="71"/>
  <c r="CS24" i="71"/>
  <c r="CP24" i="71"/>
  <c r="CM24" i="71"/>
  <c r="CJ24" i="71"/>
  <c r="CG24" i="71"/>
  <c r="CD24" i="71"/>
  <c r="CA24" i="71"/>
  <c r="BX24" i="71"/>
  <c r="BU24" i="71"/>
  <c r="BR24" i="71"/>
  <c r="BO24" i="71"/>
  <c r="BL24" i="71"/>
  <c r="BI24" i="71"/>
  <c r="BF24" i="71"/>
  <c r="BC24" i="71"/>
  <c r="AZ24" i="71"/>
  <c r="AW24" i="71"/>
  <c r="AT24" i="71"/>
  <c r="AQ24" i="71"/>
  <c r="AL24" i="71"/>
  <c r="AI24" i="71"/>
  <c r="AK24" i="71" s="1"/>
  <c r="AB24" i="71"/>
  <c r="EH24" i="71" s="1"/>
  <c r="Y24" i="71"/>
  <c r="V24" i="71"/>
  <c r="S24" i="71"/>
  <c r="P24" i="71"/>
  <c r="M24" i="71"/>
  <c r="J24" i="71"/>
  <c r="G24" i="71"/>
  <c r="D24" i="71"/>
  <c r="EL23" i="71"/>
  <c r="EI23" i="71"/>
  <c r="EG23" i="71"/>
  <c r="DW23" i="71"/>
  <c r="DT23" i="71"/>
  <c r="DQ23" i="71"/>
  <c r="DN23" i="71"/>
  <c r="DK23" i="71"/>
  <c r="DH23" i="71"/>
  <c r="DE23" i="71"/>
  <c r="DB23" i="71"/>
  <c r="CY23" i="71"/>
  <c r="CV23" i="71"/>
  <c r="CS23" i="71"/>
  <c r="CP23" i="71"/>
  <c r="CM23" i="71"/>
  <c r="CJ23" i="71"/>
  <c r="CG23" i="71"/>
  <c r="CD23" i="71"/>
  <c r="CA23" i="71"/>
  <c r="BX23" i="71"/>
  <c r="BU23" i="71"/>
  <c r="BR23" i="71"/>
  <c r="BO23" i="71"/>
  <c r="BL23" i="71"/>
  <c r="BI23" i="71"/>
  <c r="BF23" i="71"/>
  <c r="BC23" i="71"/>
  <c r="AZ23" i="71"/>
  <c r="AW23" i="71"/>
  <c r="AT23" i="71"/>
  <c r="AO23" i="71"/>
  <c r="AL23" i="71"/>
  <c r="AN23" i="71" s="1"/>
  <c r="AI23" i="71"/>
  <c r="AK23" i="71" s="1"/>
  <c r="AB23" i="71"/>
  <c r="Y23" i="71"/>
  <c r="V23" i="71"/>
  <c r="S23" i="71"/>
  <c r="P23" i="71"/>
  <c r="M23" i="71"/>
  <c r="J23" i="71"/>
  <c r="G23" i="71"/>
  <c r="EB23" i="71"/>
  <c r="EL22" i="71"/>
  <c r="EI22" i="71"/>
  <c r="EG22" i="71"/>
  <c r="EB22" i="71"/>
  <c r="DW22" i="71"/>
  <c r="DT22" i="71"/>
  <c r="DQ22" i="71"/>
  <c r="DN22" i="71"/>
  <c r="DK22" i="71"/>
  <c r="DH22" i="71"/>
  <c r="DE22" i="71"/>
  <c r="DB22" i="71"/>
  <c r="CY22" i="71"/>
  <c r="CV22" i="71"/>
  <c r="CS22" i="71"/>
  <c r="CP22" i="71"/>
  <c r="CM22" i="71"/>
  <c r="CJ22" i="71"/>
  <c r="CG22" i="71"/>
  <c r="CD22" i="71"/>
  <c r="CA22" i="71"/>
  <c r="BX22" i="71"/>
  <c r="BU22" i="71"/>
  <c r="BR22" i="71"/>
  <c r="BO22" i="71"/>
  <c r="BL22" i="71"/>
  <c r="BI22" i="71"/>
  <c r="BF22" i="71"/>
  <c r="BC22" i="71"/>
  <c r="AZ22" i="71"/>
  <c r="AW22" i="71"/>
  <c r="AT22" i="71"/>
  <c r="AO22" i="71"/>
  <c r="EK22" i="71" s="1"/>
  <c r="AN22" i="71"/>
  <c r="AL22" i="71"/>
  <c r="AK22" i="71"/>
  <c r="AB22" i="71"/>
  <c r="Y22" i="71"/>
  <c r="V22" i="71"/>
  <c r="S22" i="71"/>
  <c r="EH22" i="71" s="1"/>
  <c r="P22" i="71"/>
  <c r="M22" i="71"/>
  <c r="J22" i="71"/>
  <c r="G22" i="71"/>
  <c r="D22" i="71"/>
  <c r="EL21" i="71"/>
  <c r="EK21" i="71"/>
  <c r="EN21" i="71" s="1"/>
  <c r="EG21" i="71"/>
  <c r="EI21" i="71" s="1"/>
  <c r="EB21" i="71"/>
  <c r="DW21" i="71"/>
  <c r="DT21" i="71"/>
  <c r="DQ21" i="71"/>
  <c r="DN21" i="71"/>
  <c r="DK21" i="71"/>
  <c r="DH21" i="71"/>
  <c r="DE21" i="71"/>
  <c r="DB21" i="71"/>
  <c r="CY21" i="71"/>
  <c r="CV21" i="71"/>
  <c r="CS21" i="71"/>
  <c r="CP21" i="71"/>
  <c r="EM21" i="71" s="1"/>
  <c r="CM21" i="71"/>
  <c r="CJ21" i="71"/>
  <c r="CG21" i="71"/>
  <c r="CD21" i="71"/>
  <c r="CA21" i="71"/>
  <c r="BX21" i="71"/>
  <c r="BU21" i="71"/>
  <c r="BR21" i="71"/>
  <c r="BO21" i="71"/>
  <c r="BL21" i="71"/>
  <c r="BI21" i="71"/>
  <c r="BF21" i="71"/>
  <c r="BC21" i="71"/>
  <c r="AZ21" i="71"/>
  <c r="AW21" i="71"/>
  <c r="AT21" i="71"/>
  <c r="AQ21" i="71"/>
  <c r="AO21" i="71"/>
  <c r="AL21" i="71"/>
  <c r="AN21" i="71" s="1"/>
  <c r="AK21" i="71"/>
  <c r="AI21" i="71"/>
  <c r="AB21" i="71"/>
  <c r="Y21" i="71"/>
  <c r="V21" i="71"/>
  <c r="S21" i="71"/>
  <c r="P21" i="71"/>
  <c r="M21" i="71"/>
  <c r="J21" i="71"/>
  <c r="G21" i="71"/>
  <c r="D21" i="71"/>
  <c r="EL20" i="71"/>
  <c r="EI20" i="71"/>
  <c r="EG20" i="71"/>
  <c r="DW20" i="71"/>
  <c r="DT20" i="71"/>
  <c r="DQ20" i="71"/>
  <c r="DN20" i="71"/>
  <c r="DK20" i="71"/>
  <c r="DH20" i="71"/>
  <c r="DE20" i="71"/>
  <c r="DB20" i="71"/>
  <c r="CY20" i="71"/>
  <c r="CV20" i="71"/>
  <c r="CS20" i="71"/>
  <c r="CP20" i="71"/>
  <c r="CM20" i="71"/>
  <c r="CJ20" i="71"/>
  <c r="CG20" i="71"/>
  <c r="CD20" i="71"/>
  <c r="CA20" i="71"/>
  <c r="BX20" i="71"/>
  <c r="BU20" i="71"/>
  <c r="BR20" i="71"/>
  <c r="BO20" i="71"/>
  <c r="BL20" i="71"/>
  <c r="BI20" i="71"/>
  <c r="BF20" i="71"/>
  <c r="BC20" i="71"/>
  <c r="AZ20" i="71"/>
  <c r="AW20" i="71"/>
  <c r="AT20" i="71"/>
  <c r="AO20" i="71"/>
  <c r="EB20" i="71" s="1"/>
  <c r="AL20" i="71"/>
  <c r="AN20" i="71" s="1"/>
  <c r="AI20" i="71"/>
  <c r="AK20" i="71" s="1"/>
  <c r="AB20" i="71"/>
  <c r="Y20" i="71"/>
  <c r="V20" i="71"/>
  <c r="S20" i="71"/>
  <c r="P20" i="71"/>
  <c r="M20" i="71"/>
  <c r="J20" i="71"/>
  <c r="G20" i="71"/>
  <c r="D20" i="71"/>
  <c r="EL19" i="71"/>
  <c r="EK19" i="71"/>
  <c r="EN19" i="71" s="1"/>
  <c r="EI19" i="71"/>
  <c r="EG19" i="71"/>
  <c r="DW19" i="71"/>
  <c r="DT19" i="71"/>
  <c r="EM19" i="71" s="1"/>
  <c r="DQ19" i="71"/>
  <c r="DN19" i="71"/>
  <c r="DK19" i="71"/>
  <c r="DH19" i="71"/>
  <c r="DE19" i="71"/>
  <c r="DB19" i="71"/>
  <c r="CY19" i="71"/>
  <c r="CV19" i="71"/>
  <c r="CS19" i="71"/>
  <c r="CP19" i="71"/>
  <c r="CM19" i="71"/>
  <c r="CJ19" i="71"/>
  <c r="CG19" i="71"/>
  <c r="CD19" i="71"/>
  <c r="CA19" i="71"/>
  <c r="BX19" i="71"/>
  <c r="BU19" i="71"/>
  <c r="BR19" i="71"/>
  <c r="BO19" i="71"/>
  <c r="BL19" i="71"/>
  <c r="BI19" i="71"/>
  <c r="BF19" i="71"/>
  <c r="BC19" i="71"/>
  <c r="AZ19" i="71"/>
  <c r="AW19" i="71"/>
  <c r="AT19" i="71"/>
  <c r="AQ19" i="71"/>
  <c r="AO19" i="71"/>
  <c r="AN19" i="71"/>
  <c r="AL19" i="71"/>
  <c r="AI19" i="71"/>
  <c r="AK19" i="71" s="1"/>
  <c r="AB19" i="71"/>
  <c r="Y19" i="71"/>
  <c r="V19" i="71"/>
  <c r="S19" i="71"/>
  <c r="EH19" i="71" s="1"/>
  <c r="P19" i="71"/>
  <c r="M19" i="71"/>
  <c r="J19" i="71"/>
  <c r="G19" i="71"/>
  <c r="D19" i="71"/>
  <c r="EL18" i="71"/>
  <c r="EK18" i="71"/>
  <c r="EG18" i="71"/>
  <c r="EI18" i="71" s="1"/>
  <c r="DW18" i="71"/>
  <c r="DT18" i="71"/>
  <c r="DQ18" i="71"/>
  <c r="DN18" i="71"/>
  <c r="DK18" i="71"/>
  <c r="DH18" i="71"/>
  <c r="DE18" i="71"/>
  <c r="DB18" i="71"/>
  <c r="CY18" i="71"/>
  <c r="CV18" i="71"/>
  <c r="CS18" i="71"/>
  <c r="CP18" i="71"/>
  <c r="CM18" i="71"/>
  <c r="CJ18" i="71"/>
  <c r="CG18" i="71"/>
  <c r="CD18" i="71"/>
  <c r="CA18" i="71"/>
  <c r="BX18" i="71"/>
  <c r="BU18" i="71"/>
  <c r="BR18" i="71"/>
  <c r="BO18" i="71"/>
  <c r="BL18" i="71"/>
  <c r="BI18" i="71"/>
  <c r="BF18" i="71"/>
  <c r="BC18" i="71"/>
  <c r="AZ18" i="71"/>
  <c r="AW18" i="71"/>
  <c r="AT18" i="71"/>
  <c r="AO18" i="71"/>
  <c r="AQ18" i="71" s="1"/>
  <c r="AL18" i="71"/>
  <c r="AI18" i="71"/>
  <c r="AK18" i="71" s="1"/>
  <c r="AB18" i="71"/>
  <c r="Y18" i="71"/>
  <c r="V18" i="71"/>
  <c r="EH18" i="71" s="1"/>
  <c r="S18" i="71"/>
  <c r="P18" i="71"/>
  <c r="M18" i="71"/>
  <c r="J18" i="71"/>
  <c r="G18" i="71"/>
  <c r="D18" i="71"/>
  <c r="EL17" i="71"/>
  <c r="EH17" i="71"/>
  <c r="EG17" i="71"/>
  <c r="EI17" i="71" s="1"/>
  <c r="DW17" i="71"/>
  <c r="DT17" i="71"/>
  <c r="DQ17" i="71"/>
  <c r="DN17" i="71"/>
  <c r="DK17" i="71"/>
  <c r="DH17" i="71"/>
  <c r="DE17" i="71"/>
  <c r="DB17" i="71"/>
  <c r="CY17" i="71"/>
  <c r="CV17" i="71"/>
  <c r="CS17" i="71"/>
  <c r="CP17" i="71"/>
  <c r="CM17" i="71"/>
  <c r="CJ17" i="71"/>
  <c r="CG17" i="71"/>
  <c r="CD17" i="71"/>
  <c r="CA17" i="71"/>
  <c r="BX17" i="71"/>
  <c r="BU17" i="71"/>
  <c r="BR17" i="71"/>
  <c r="BO17" i="71"/>
  <c r="BL17" i="71"/>
  <c r="BI17" i="71"/>
  <c r="BF17" i="71"/>
  <c r="BC17" i="71"/>
  <c r="AZ17" i="71"/>
  <c r="AW17" i="71"/>
  <c r="AT17" i="71"/>
  <c r="AO17" i="71"/>
  <c r="AQ17" i="71" s="1"/>
  <c r="AL17" i="71"/>
  <c r="EB17" i="71" s="1"/>
  <c r="AK17" i="71"/>
  <c r="AI17" i="71"/>
  <c r="AB17" i="71"/>
  <c r="Y17" i="71"/>
  <c r="V17" i="71"/>
  <c r="S17" i="71"/>
  <c r="P17" i="71"/>
  <c r="M17" i="71"/>
  <c r="J17" i="71"/>
  <c r="G17" i="71"/>
  <c r="D17" i="71"/>
  <c r="EL16" i="71"/>
  <c r="EI16" i="71"/>
  <c r="EH16" i="71"/>
  <c r="EG16" i="71"/>
  <c r="DW16" i="71"/>
  <c r="DT16" i="71"/>
  <c r="DQ16" i="71"/>
  <c r="DN16" i="71"/>
  <c r="DK16" i="71"/>
  <c r="DK41" i="71" s="1"/>
  <c r="DH16" i="71"/>
  <c r="DE16" i="71"/>
  <c r="DB16" i="71"/>
  <c r="CY16" i="71"/>
  <c r="CV16" i="71"/>
  <c r="CS16" i="71"/>
  <c r="CP16" i="71"/>
  <c r="CM16" i="71"/>
  <c r="CJ16" i="71"/>
  <c r="CG16" i="71"/>
  <c r="CD16" i="71"/>
  <c r="CA16" i="71"/>
  <c r="CA41" i="71" s="1"/>
  <c r="BX16" i="71"/>
  <c r="BU16" i="71"/>
  <c r="BR16" i="71"/>
  <c r="BO16" i="71"/>
  <c r="BL16" i="71"/>
  <c r="BI16" i="71"/>
  <c r="BF16" i="71"/>
  <c r="BC16" i="71"/>
  <c r="AZ16" i="71"/>
  <c r="AW16" i="71"/>
  <c r="AT16" i="71"/>
  <c r="AQ16" i="71"/>
  <c r="AO16" i="71"/>
  <c r="EK16" i="71" s="1"/>
  <c r="AL16" i="71"/>
  <c r="EB16" i="71" s="1"/>
  <c r="AK16" i="71"/>
  <c r="AI16" i="71"/>
  <c r="AB16" i="71"/>
  <c r="Y16" i="71"/>
  <c r="V16" i="71"/>
  <c r="S16" i="71"/>
  <c r="P16" i="71"/>
  <c r="M16" i="71"/>
  <c r="J16" i="71"/>
  <c r="G16" i="71"/>
  <c r="D16" i="71"/>
  <c r="EL15" i="71"/>
  <c r="EG15" i="71"/>
  <c r="EI15" i="71" s="1"/>
  <c r="DW15" i="71"/>
  <c r="DT15" i="71"/>
  <c r="DQ15" i="71"/>
  <c r="DN15" i="71"/>
  <c r="DK15" i="71"/>
  <c r="DH15" i="71"/>
  <c r="DH41" i="71" s="1"/>
  <c r="DE15" i="71"/>
  <c r="DE41" i="71" s="1"/>
  <c r="DB15" i="71"/>
  <c r="CY15" i="71"/>
  <c r="CV15" i="71"/>
  <c r="CS15" i="71"/>
  <c r="CP15" i="71"/>
  <c r="CM15" i="71"/>
  <c r="CJ15" i="71"/>
  <c r="CG15" i="71"/>
  <c r="CD15" i="71"/>
  <c r="CA15" i="71"/>
  <c r="BX15" i="71"/>
  <c r="BX41" i="71" s="1"/>
  <c r="BU15" i="71"/>
  <c r="BU41" i="71" s="1"/>
  <c r="BR15" i="71"/>
  <c r="BR41" i="71" s="1"/>
  <c r="BO15" i="71"/>
  <c r="BO41" i="71" s="1"/>
  <c r="BL15" i="71"/>
  <c r="BI15" i="71"/>
  <c r="BF15" i="71"/>
  <c r="BC15" i="71"/>
  <c r="AZ15" i="71"/>
  <c r="AW15" i="71"/>
  <c r="AT15" i="71"/>
  <c r="AO15" i="71"/>
  <c r="AL15" i="71"/>
  <c r="AN15" i="71" s="1"/>
  <c r="AI15" i="71"/>
  <c r="AK15" i="71" s="1"/>
  <c r="EH15" i="71"/>
  <c r="AB15" i="71"/>
  <c r="Y15" i="71"/>
  <c r="V15" i="71"/>
  <c r="S15" i="71"/>
  <c r="P15" i="71"/>
  <c r="M15" i="71"/>
  <c r="J15" i="71"/>
  <c r="G15" i="71"/>
  <c r="G41" i="71" s="1"/>
  <c r="EB15" i="71"/>
  <c r="EL14" i="71"/>
  <c r="EG14" i="71"/>
  <c r="EI14" i="71" s="1"/>
  <c r="DW14" i="71"/>
  <c r="DT14" i="71"/>
  <c r="DQ14" i="71"/>
  <c r="DN14" i="71"/>
  <c r="DK14" i="71"/>
  <c r="DH14" i="71"/>
  <c r="DE14" i="71"/>
  <c r="DB14" i="71"/>
  <c r="CY14" i="71"/>
  <c r="CV14" i="71"/>
  <c r="CS14" i="71"/>
  <c r="CP14" i="71"/>
  <c r="CM14" i="71"/>
  <c r="CJ14" i="71"/>
  <c r="CG14" i="71"/>
  <c r="CD14" i="71"/>
  <c r="CA14" i="71"/>
  <c r="BX14" i="71"/>
  <c r="BU14" i="71"/>
  <c r="BR14" i="71"/>
  <c r="BO14" i="71"/>
  <c r="BL14" i="71"/>
  <c r="BI14" i="71"/>
  <c r="BF14" i="71"/>
  <c r="BC14" i="71"/>
  <c r="AZ14" i="71"/>
  <c r="AW14" i="71"/>
  <c r="AT14" i="71"/>
  <c r="AO14" i="71"/>
  <c r="EK14" i="71" s="1"/>
  <c r="AN14" i="71"/>
  <c r="AL14" i="71"/>
  <c r="AI14" i="71"/>
  <c r="AK14" i="71" s="1"/>
  <c r="EH14" i="71"/>
  <c r="AB14" i="71"/>
  <c r="Y14" i="71"/>
  <c r="V14" i="71"/>
  <c r="S14" i="71"/>
  <c r="P14" i="71"/>
  <c r="M14" i="71"/>
  <c r="J14" i="71"/>
  <c r="J41" i="71" s="1"/>
  <c r="G14" i="71"/>
  <c r="D14" i="71"/>
  <c r="EL13" i="71"/>
  <c r="EG13" i="71"/>
  <c r="EI13" i="71" s="1"/>
  <c r="EB13" i="71"/>
  <c r="DW13" i="71"/>
  <c r="DT13" i="71"/>
  <c r="DQ13" i="71"/>
  <c r="DN13" i="71"/>
  <c r="DK13" i="71"/>
  <c r="DH13" i="71"/>
  <c r="DE13" i="71"/>
  <c r="DB13" i="71"/>
  <c r="DB41" i="71" s="1"/>
  <c r="CY13" i="71"/>
  <c r="CV13" i="71"/>
  <c r="CS13" i="71"/>
  <c r="CP13" i="71"/>
  <c r="CM13" i="71"/>
  <c r="CJ13" i="71"/>
  <c r="CG13" i="71"/>
  <c r="CD13" i="71"/>
  <c r="CA13" i="71"/>
  <c r="BX13" i="71"/>
  <c r="BU13" i="71"/>
  <c r="BR13" i="71"/>
  <c r="BO13" i="71"/>
  <c r="BL13" i="71"/>
  <c r="BI13" i="71"/>
  <c r="BF13" i="71"/>
  <c r="BC13" i="71"/>
  <c r="AZ13" i="71"/>
  <c r="AW13" i="71"/>
  <c r="AT13" i="71"/>
  <c r="AQ13" i="71"/>
  <c r="AO13" i="71"/>
  <c r="AL13" i="71"/>
  <c r="AI13" i="71"/>
  <c r="AK13" i="71" s="1"/>
  <c r="AB13" i="71"/>
  <c r="EH13" i="71" s="1"/>
  <c r="Y13" i="71"/>
  <c r="V13" i="71"/>
  <c r="S13" i="71"/>
  <c r="P13" i="71"/>
  <c r="M13" i="71"/>
  <c r="J13" i="71"/>
  <c r="G13" i="71"/>
  <c r="D13" i="71"/>
  <c r="EL12" i="71"/>
  <c r="EI12" i="71"/>
  <c r="EG12" i="71"/>
  <c r="EB12" i="71"/>
  <c r="DW12" i="71"/>
  <c r="DT12" i="71"/>
  <c r="DQ12" i="71"/>
  <c r="DN12" i="71"/>
  <c r="DK12" i="71"/>
  <c r="DH12" i="71"/>
  <c r="DE12" i="71"/>
  <c r="DB12" i="71"/>
  <c r="CY12" i="71"/>
  <c r="CY41" i="71" s="1"/>
  <c r="CV12" i="71"/>
  <c r="CS12" i="71"/>
  <c r="CP12" i="71"/>
  <c r="CM12" i="71"/>
  <c r="CJ12" i="71"/>
  <c r="CG12" i="71"/>
  <c r="CD12" i="71"/>
  <c r="CA12" i="71"/>
  <c r="BX12" i="71"/>
  <c r="BU12" i="71"/>
  <c r="BR12" i="71"/>
  <c r="BO12" i="71"/>
  <c r="BL12" i="71"/>
  <c r="BI12" i="71"/>
  <c r="BF12" i="71"/>
  <c r="BC12" i="71"/>
  <c r="AZ12" i="71"/>
  <c r="AW12" i="71"/>
  <c r="AT12" i="71"/>
  <c r="AO12" i="71"/>
  <c r="EK12" i="71" s="1"/>
  <c r="AL12" i="71"/>
  <c r="AN12" i="71" s="1"/>
  <c r="AI12" i="71"/>
  <c r="AK12" i="71" s="1"/>
  <c r="AB12" i="71"/>
  <c r="Y12" i="71"/>
  <c r="V12" i="71"/>
  <c r="S12" i="71"/>
  <c r="EH12" i="71" s="1"/>
  <c r="P12" i="71"/>
  <c r="M12" i="71"/>
  <c r="J12" i="71"/>
  <c r="G12" i="71"/>
  <c r="D12" i="71"/>
  <c r="EL11" i="71"/>
  <c r="EI11" i="71"/>
  <c r="EG11" i="71"/>
  <c r="EB11" i="71"/>
  <c r="DW11" i="71"/>
  <c r="DT11" i="71"/>
  <c r="DQ11" i="71"/>
  <c r="DN11" i="71"/>
  <c r="DK11" i="71"/>
  <c r="DH11" i="71"/>
  <c r="DE11" i="71"/>
  <c r="DB11" i="71"/>
  <c r="CY11" i="71"/>
  <c r="CV11" i="71"/>
  <c r="CS11" i="71"/>
  <c r="CP11" i="71"/>
  <c r="CP41" i="71" s="1"/>
  <c r="CM11" i="71"/>
  <c r="CJ11" i="71"/>
  <c r="CG11" i="71"/>
  <c r="CD11" i="71"/>
  <c r="CA11" i="71"/>
  <c r="BX11" i="71"/>
  <c r="BU11" i="71"/>
  <c r="BR11" i="71"/>
  <c r="BO11" i="71"/>
  <c r="BL11" i="71"/>
  <c r="BI11" i="71"/>
  <c r="BF11" i="71"/>
  <c r="BF41" i="71" s="1"/>
  <c r="BC11" i="71"/>
  <c r="AZ11" i="71"/>
  <c r="AW11" i="71"/>
  <c r="AT11" i="71"/>
  <c r="AO11" i="71"/>
  <c r="AN11" i="71"/>
  <c r="AL11" i="71"/>
  <c r="AI11" i="71"/>
  <c r="AK11" i="71" s="1"/>
  <c r="AH41" i="71"/>
  <c r="AE41" i="71"/>
  <c r="AB11" i="71"/>
  <c r="Y11" i="71"/>
  <c r="Y41" i="71" s="1"/>
  <c r="V11" i="71"/>
  <c r="S11" i="71"/>
  <c r="P11" i="71"/>
  <c r="M11" i="71"/>
  <c r="J11" i="71"/>
  <c r="G11" i="71"/>
  <c r="D11" i="71"/>
  <c r="A12" i="71"/>
  <c r="A13" i="71" s="1"/>
  <c r="A14" i="71" s="1"/>
  <c r="A15" i="71" s="1"/>
  <c r="A16" i="71" s="1"/>
  <c r="A17" i="71" s="1"/>
  <c r="A18" i="71" s="1"/>
  <c r="A19" i="71" s="1"/>
  <c r="A20" i="71" s="1"/>
  <c r="A21" i="71" s="1"/>
  <c r="A22" i="71" s="1"/>
  <c r="A23" i="71" s="1"/>
  <c r="A24" i="71" s="1"/>
  <c r="A25" i="71" s="1"/>
  <c r="A26" i="71" s="1"/>
  <c r="A27" i="71" s="1"/>
  <c r="A28" i="71" s="1"/>
  <c r="A29" i="71" s="1"/>
  <c r="A30" i="71" s="1"/>
  <c r="A31" i="71" s="1"/>
  <c r="A32" i="71" s="1"/>
  <c r="A33" i="71" s="1"/>
  <c r="A34" i="71" s="1"/>
  <c r="A35" i="71" s="1"/>
  <c r="A36" i="71" s="1"/>
  <c r="A37" i="71" s="1"/>
  <c r="A38" i="71" s="1"/>
  <c r="A39" i="71" s="1"/>
  <c r="A40" i="71" s="1"/>
  <c r="EC23" i="71" l="1"/>
  <c r="EE23" i="71"/>
  <c r="EM11" i="71"/>
  <c r="ED14" i="71"/>
  <c r="EM38" i="71"/>
  <c r="EN38" i="71" s="1"/>
  <c r="ED16" i="71"/>
  <c r="EE16" i="71" s="1"/>
  <c r="D41" i="71"/>
  <c r="AK41" i="71"/>
  <c r="EN27" i="71"/>
  <c r="EN36" i="71"/>
  <c r="AB41" i="71"/>
  <c r="CS41" i="71"/>
  <c r="ED39" i="71"/>
  <c r="BL41" i="71"/>
  <c r="ED11" i="71"/>
  <c r="EC20" i="71"/>
  <c r="EC35" i="71"/>
  <c r="EK17" i="71"/>
  <c r="AQ20" i="71"/>
  <c r="EM20" i="71" s="1"/>
  <c r="D23" i="71"/>
  <c r="ED23" i="71" s="1"/>
  <c r="AN25" i="71"/>
  <c r="ED25" i="71" s="1"/>
  <c r="EM12" i="71"/>
  <c r="EN12" i="71" s="1"/>
  <c r="EC37" i="71"/>
  <c r="ED21" i="71"/>
  <c r="EK23" i="71"/>
  <c r="EN26" i="71"/>
  <c r="EK39" i="71"/>
  <c r="EN39" i="71" s="1"/>
  <c r="ED40" i="71"/>
  <c r="EE40" i="71" s="1"/>
  <c r="EK13" i="71"/>
  <c r="EC13" i="71" s="1"/>
  <c r="AN13" i="71"/>
  <c r="AN41" i="71" s="1"/>
  <c r="EB14" i="71"/>
  <c r="EK15" i="71"/>
  <c r="EC15" i="71" s="1"/>
  <c r="AQ15" i="71"/>
  <c r="EM15" i="71" s="1"/>
  <c r="EB18" i="71"/>
  <c r="EE5" i="71" s="1"/>
  <c r="G7" i="71" s="1"/>
  <c r="EH20" i="71"/>
  <c r="ED26" i="71"/>
  <c r="EE26" i="71" s="1"/>
  <c r="EH28" i="71"/>
  <c r="EB30" i="71"/>
  <c r="EK11" i="71"/>
  <c r="EC12" i="71"/>
  <c r="AT41" i="71"/>
  <c r="CD41" i="71"/>
  <c r="DN41" i="71"/>
  <c r="AN18" i="71"/>
  <c r="ED18" i="71" s="1"/>
  <c r="EC26" i="71"/>
  <c r="EM29" i="71"/>
  <c r="EB34" i="71"/>
  <c r="EC38" i="71"/>
  <c r="ED31" i="71"/>
  <c r="EE21" i="71"/>
  <c r="EC21" i="71"/>
  <c r="CV41" i="71"/>
  <c r="M41" i="71"/>
  <c r="EM34" i="71"/>
  <c r="EE2" i="71"/>
  <c r="EQ2" i="71" s="1"/>
  <c r="G4" i="71" s="1"/>
  <c r="EC17" i="71"/>
  <c r="AN35" i="71"/>
  <c r="EM35" i="71" s="1"/>
  <c r="EN35" i="71" s="1"/>
  <c r="AN17" i="71"/>
  <c r="ED17" i="71" s="1"/>
  <c r="EE17" i="71" s="1"/>
  <c r="EC22" i="71"/>
  <c r="ED27" i="71"/>
  <c r="ED37" i="71"/>
  <c r="EE37" i="71" s="1"/>
  <c r="P41" i="71"/>
  <c r="CG41" i="71"/>
  <c r="AN30" i="71"/>
  <c r="ED30" i="71" s="1"/>
  <c r="EK34" i="71"/>
  <c r="EN34" i="71" s="1"/>
  <c r="AZ41" i="71"/>
  <c r="CJ41" i="71"/>
  <c r="DT41" i="71"/>
  <c r="EI5" i="71"/>
  <c r="AN16" i="71"/>
  <c r="EK20" i="71"/>
  <c r="EH21" i="71"/>
  <c r="EK24" i="71"/>
  <c r="AN24" i="71"/>
  <c r="ED24" i="71" s="1"/>
  <c r="EE24" i="71" s="1"/>
  <c r="EH29" i="71"/>
  <c r="EB29" i="71"/>
  <c r="EB31" i="71"/>
  <c r="EK31" i="71"/>
  <c r="EN31" i="71" s="1"/>
  <c r="EB39" i="71"/>
  <c r="BI41" i="71"/>
  <c r="ED20" i="71"/>
  <c r="EE20" i="71" s="1"/>
  <c r="ED35" i="71"/>
  <c r="EE35" i="71" s="1"/>
  <c r="S41" i="71"/>
  <c r="D15" i="71"/>
  <c r="EM16" i="71"/>
  <c r="EN16" i="71" s="1"/>
  <c r="EN29" i="71"/>
  <c r="ED19" i="71"/>
  <c r="EH23" i="71"/>
  <c r="EM33" i="71"/>
  <c r="EN33" i="71" s="1"/>
  <c r="EH39" i="71"/>
  <c r="EI3" i="71"/>
  <c r="EI4" i="71" s="1"/>
  <c r="AW41" i="71"/>
  <c r="DQ41" i="71"/>
  <c r="EC16" i="71"/>
  <c r="EK40" i="71"/>
  <c r="EC40" i="71" s="1"/>
  <c r="EH11" i="71"/>
  <c r="V41" i="71"/>
  <c r="BC41" i="71"/>
  <c r="CM41" i="71"/>
  <c r="DW41" i="71"/>
  <c r="EB25" i="71"/>
  <c r="EH33" i="71"/>
  <c r="EB33" i="71"/>
  <c r="EB27" i="71"/>
  <c r="EB36" i="71"/>
  <c r="AQ14" i="71"/>
  <c r="EM14" i="71" s="1"/>
  <c r="EN14" i="71" s="1"/>
  <c r="EB19" i="71"/>
  <c r="EI2" i="71"/>
  <c r="AQ12" i="71"/>
  <c r="ED12" i="71" s="1"/>
  <c r="EE12" i="71" s="1"/>
  <c r="AQ23" i="71"/>
  <c r="EM23" i="71" s="1"/>
  <c r="AQ11" i="71"/>
  <c r="AQ22" i="71"/>
  <c r="EM22" i="71" s="1"/>
  <c r="EN22" i="71" s="1"/>
  <c r="AN28" i="71"/>
  <c r="EM28" i="71" s="1"/>
  <c r="EN28" i="71" s="1"/>
  <c r="AN32" i="71"/>
  <c r="EM32" i="71" s="1"/>
  <c r="EN32" i="71" s="1"/>
  <c r="AQ38" i="71"/>
  <c r="ED38" i="71" s="1"/>
  <c r="EE38" i="71" s="1"/>
  <c r="EE33" i="71" l="1"/>
  <c r="EC33" i="71"/>
  <c r="EC25" i="71"/>
  <c r="EE25" i="71"/>
  <c r="EM30" i="71"/>
  <c r="EN30" i="71" s="1"/>
  <c r="EN3" i="71"/>
  <c r="EN5" i="71"/>
  <c r="EN11" i="71"/>
  <c r="AQ41" i="71"/>
  <c r="EM24" i="71"/>
  <c r="EN24" i="71"/>
  <c r="ED13" i="71"/>
  <c r="EE13" i="71" s="1"/>
  <c r="EM18" i="71"/>
  <c r="EN18" i="71" s="1"/>
  <c r="EC34" i="71"/>
  <c r="EE34" i="71"/>
  <c r="EC30" i="71"/>
  <c r="EE30" i="71"/>
  <c r="ED22" i="71"/>
  <c r="EE22" i="71" s="1"/>
  <c r="EN20" i="71"/>
  <c r="EC24" i="71"/>
  <c r="EE11" i="71"/>
  <c r="EN23" i="71"/>
  <c r="EE19" i="71"/>
  <c r="EC19" i="71"/>
  <c r="EC11" i="71"/>
  <c r="EM13" i="71"/>
  <c r="ED32" i="71"/>
  <c r="EE32" i="71" s="1"/>
  <c r="EC29" i="71"/>
  <c r="EE29" i="71"/>
  <c r="EN13" i="71"/>
  <c r="EH41" i="71"/>
  <c r="EM17" i="71"/>
  <c r="EM41" i="71" s="1"/>
  <c r="EE3" i="71"/>
  <c r="EM25" i="71"/>
  <c r="EN25" i="71" s="1"/>
  <c r="EE18" i="71"/>
  <c r="EC18" i="71"/>
  <c r="EE36" i="71"/>
  <c r="EC36" i="71"/>
  <c r="EN2" i="71"/>
  <c r="EP2" i="71" s="1"/>
  <c r="EN40" i="71"/>
  <c r="EE39" i="71"/>
  <c r="EC39" i="71"/>
  <c r="EE27" i="71"/>
  <c r="EC27" i="71"/>
  <c r="ED28" i="71"/>
  <c r="EE28" i="71" s="1"/>
  <c r="EN15" i="71"/>
  <c r="ED15" i="71"/>
  <c r="EE15" i="71" s="1"/>
  <c r="EE31" i="71"/>
  <c r="EC31" i="71"/>
  <c r="EE14" i="71"/>
  <c r="EC14" i="71"/>
  <c r="EN17" i="71" l="1"/>
  <c r="EN4" i="71"/>
  <c r="G5" i="71"/>
  <c r="EE4" i="71"/>
  <c r="G6" i="71" s="1"/>
  <c r="ED41" i="71"/>
  <c r="AE42" i="70"/>
  <c r="EL41" i="70"/>
  <c r="EG41" i="70"/>
  <c r="EI41" i="70" s="1"/>
  <c r="EB41" i="70"/>
  <c r="DW41" i="70"/>
  <c r="DT41" i="70"/>
  <c r="DQ41" i="70"/>
  <c r="DN41" i="70"/>
  <c r="DK41" i="70"/>
  <c r="DH41" i="70"/>
  <c r="DE41" i="70"/>
  <c r="DB41" i="70"/>
  <c r="CY41" i="70"/>
  <c r="CV41" i="70"/>
  <c r="CS41" i="70"/>
  <c r="CP41" i="70"/>
  <c r="CM41" i="70"/>
  <c r="CJ41" i="70"/>
  <c r="CG41" i="70"/>
  <c r="CD41" i="70"/>
  <c r="CA41" i="70"/>
  <c r="BX41" i="70"/>
  <c r="BU41" i="70"/>
  <c r="BR41" i="70"/>
  <c r="BO41" i="70"/>
  <c r="BL41" i="70"/>
  <c r="BI41" i="70"/>
  <c r="BF41" i="70"/>
  <c r="BC41" i="70"/>
  <c r="AZ41" i="70"/>
  <c r="AW41" i="70"/>
  <c r="AT41" i="70"/>
  <c r="AQ41" i="70"/>
  <c r="AL41" i="70"/>
  <c r="EK41" i="70" s="1"/>
  <c r="AK41" i="70"/>
  <c r="AI41" i="70"/>
  <c r="AB41" i="70"/>
  <c r="Y41" i="70"/>
  <c r="V41" i="70"/>
  <c r="S41" i="70"/>
  <c r="EH41" i="70" s="1"/>
  <c r="P41" i="70"/>
  <c r="M41" i="70"/>
  <c r="J41" i="70"/>
  <c r="G41" i="70"/>
  <c r="D41" i="70"/>
  <c r="EL40" i="70"/>
  <c r="EK40" i="70"/>
  <c r="EI40" i="70"/>
  <c r="EG40" i="70"/>
  <c r="EB40" i="70"/>
  <c r="DW40" i="70"/>
  <c r="DT40" i="70"/>
  <c r="DQ40" i="70"/>
  <c r="EM40" i="70" s="1"/>
  <c r="DN40" i="70"/>
  <c r="DK40" i="70"/>
  <c r="DH40" i="70"/>
  <c r="DE40" i="70"/>
  <c r="DB40" i="70"/>
  <c r="CY40" i="70"/>
  <c r="CV40" i="70"/>
  <c r="CS40" i="70"/>
  <c r="CP40" i="70"/>
  <c r="CM40" i="70"/>
  <c r="CJ40" i="70"/>
  <c r="CG40" i="70"/>
  <c r="CD40" i="70"/>
  <c r="CA40" i="70"/>
  <c r="BX40" i="70"/>
  <c r="BU40" i="70"/>
  <c r="BR40" i="70"/>
  <c r="BO40" i="70"/>
  <c r="BL40" i="70"/>
  <c r="BI40" i="70"/>
  <c r="BF40" i="70"/>
  <c r="BC40" i="70"/>
  <c r="AZ40" i="70"/>
  <c r="AW40" i="70"/>
  <c r="AT40" i="70"/>
  <c r="AQ40" i="70"/>
  <c r="AN40" i="70"/>
  <c r="AK40" i="70"/>
  <c r="AI40" i="70"/>
  <c r="AB40" i="70"/>
  <c r="Y40" i="70"/>
  <c r="V40" i="70"/>
  <c r="S40" i="70"/>
  <c r="EH40" i="70" s="1"/>
  <c r="P40" i="70"/>
  <c r="M40" i="70"/>
  <c r="J40" i="70"/>
  <c r="G40" i="70"/>
  <c r="D40" i="70"/>
  <c r="EL39" i="70"/>
  <c r="EH39" i="70"/>
  <c r="EG39" i="70"/>
  <c r="EI39" i="70" s="1"/>
  <c r="DW39" i="70"/>
  <c r="DT39" i="70"/>
  <c r="DQ39" i="70"/>
  <c r="DN39" i="70"/>
  <c r="DK39" i="70"/>
  <c r="DH39" i="70"/>
  <c r="DE39" i="70"/>
  <c r="DB39" i="70"/>
  <c r="CY39" i="70"/>
  <c r="CV39" i="70"/>
  <c r="CS39" i="70"/>
  <c r="CP39" i="70"/>
  <c r="CM39" i="70"/>
  <c r="CJ39" i="70"/>
  <c r="CG39" i="70"/>
  <c r="CD39" i="70"/>
  <c r="CA39" i="70"/>
  <c r="BX39" i="70"/>
  <c r="BU39" i="70"/>
  <c r="BR39" i="70"/>
  <c r="BO39" i="70"/>
  <c r="BL39" i="70"/>
  <c r="BI39" i="70"/>
  <c r="BF39" i="70"/>
  <c r="BC39" i="70"/>
  <c r="AZ39" i="70"/>
  <c r="AW39" i="70"/>
  <c r="AT39" i="70"/>
  <c r="AQ39" i="70"/>
  <c r="AN39" i="70"/>
  <c r="AK39" i="70"/>
  <c r="AI39" i="70"/>
  <c r="EK39" i="70" s="1"/>
  <c r="AB39" i="70"/>
  <c r="Y39" i="70"/>
  <c r="V39" i="70"/>
  <c r="S39" i="70"/>
  <c r="P39" i="70"/>
  <c r="M39" i="70"/>
  <c r="J39" i="70"/>
  <c r="G39" i="70"/>
  <c r="EB39" i="70"/>
  <c r="EC39" i="70" s="1"/>
  <c r="EL38" i="70"/>
  <c r="EK38" i="70"/>
  <c r="EG38" i="70"/>
  <c r="EI38" i="70" s="1"/>
  <c r="EB38" i="70"/>
  <c r="EC38" i="70" s="1"/>
  <c r="DW38" i="70"/>
  <c r="DT38" i="70"/>
  <c r="DQ38" i="70"/>
  <c r="DN38" i="70"/>
  <c r="DK38" i="70"/>
  <c r="DH38" i="70"/>
  <c r="DE38" i="70"/>
  <c r="DB38" i="70"/>
  <c r="CY38" i="70"/>
  <c r="CV38" i="70"/>
  <c r="CS38" i="70"/>
  <c r="CP38" i="70"/>
  <c r="CM38" i="70"/>
  <c r="CJ38" i="70"/>
  <c r="CG38" i="70"/>
  <c r="CD38" i="70"/>
  <c r="CA38" i="70"/>
  <c r="BX38" i="70"/>
  <c r="BU38" i="70"/>
  <c r="BR38" i="70"/>
  <c r="BO38" i="70"/>
  <c r="BL38" i="70"/>
  <c r="BI38" i="70"/>
  <c r="BF38" i="70"/>
  <c r="BC38" i="70"/>
  <c r="AZ38" i="70"/>
  <c r="AW38" i="70"/>
  <c r="AT38" i="70"/>
  <c r="AQ38" i="70"/>
  <c r="AN38" i="70"/>
  <c r="AK38" i="70"/>
  <c r="AB38" i="70"/>
  <c r="ED38" i="70" s="1"/>
  <c r="EE38" i="70" s="1"/>
  <c r="Y38" i="70"/>
  <c r="V38" i="70"/>
  <c r="S38" i="70"/>
  <c r="P38" i="70"/>
  <c r="M38" i="70"/>
  <c r="J38" i="70"/>
  <c r="G38" i="70"/>
  <c r="D38" i="70"/>
  <c r="EM37" i="70"/>
  <c r="EL37" i="70"/>
  <c r="EG37" i="70"/>
  <c r="EI37" i="70" s="1"/>
  <c r="EB37" i="70"/>
  <c r="DW37" i="70"/>
  <c r="DT37" i="70"/>
  <c r="DQ37" i="70"/>
  <c r="DN37" i="70"/>
  <c r="DK37" i="70"/>
  <c r="DH37" i="70"/>
  <c r="DE37" i="70"/>
  <c r="DB37" i="70"/>
  <c r="CY37" i="70"/>
  <c r="CV37" i="70"/>
  <c r="CS37" i="70"/>
  <c r="CP37" i="70"/>
  <c r="CM37" i="70"/>
  <c r="CJ37" i="70"/>
  <c r="CG37" i="70"/>
  <c r="CD37" i="70"/>
  <c r="CA37" i="70"/>
  <c r="BX37" i="70"/>
  <c r="BU37" i="70"/>
  <c r="BR37" i="70"/>
  <c r="BO37" i="70"/>
  <c r="BL37" i="70"/>
  <c r="BI37" i="70"/>
  <c r="BF37" i="70"/>
  <c r="BC37" i="70"/>
  <c r="AZ37" i="70"/>
  <c r="AW37" i="70"/>
  <c r="AT37" i="70"/>
  <c r="AQ37" i="70"/>
  <c r="AN37" i="70"/>
  <c r="AK37" i="70"/>
  <c r="AI37" i="70"/>
  <c r="EK37" i="70" s="1"/>
  <c r="EN37" i="70" s="1"/>
  <c r="AB37" i="70"/>
  <c r="Y37" i="70"/>
  <c r="V37" i="70"/>
  <c r="S37" i="70"/>
  <c r="P37" i="70"/>
  <c r="M37" i="70"/>
  <c r="J37" i="70"/>
  <c r="G37" i="70"/>
  <c r="D37" i="70"/>
  <c r="EL36" i="70"/>
  <c r="EK36" i="70"/>
  <c r="EI36" i="70"/>
  <c r="EH36" i="70"/>
  <c r="EG36" i="70"/>
  <c r="DW36" i="70"/>
  <c r="DT36" i="70"/>
  <c r="DQ36" i="70"/>
  <c r="EM36" i="70" s="1"/>
  <c r="DN36" i="70"/>
  <c r="DK36" i="70"/>
  <c r="DH36" i="70"/>
  <c r="DE36" i="70"/>
  <c r="DB36" i="70"/>
  <c r="CY36" i="70"/>
  <c r="CV36" i="70"/>
  <c r="CS36" i="70"/>
  <c r="CP36" i="70"/>
  <c r="CM36" i="70"/>
  <c r="CJ36" i="70"/>
  <c r="CG36" i="70"/>
  <c r="CD36" i="70"/>
  <c r="CA36" i="70"/>
  <c r="BX36" i="70"/>
  <c r="BU36" i="70"/>
  <c r="BR36" i="70"/>
  <c r="BO36" i="70"/>
  <c r="BL36" i="70"/>
  <c r="BI36" i="70"/>
  <c r="BF36" i="70"/>
  <c r="BC36" i="70"/>
  <c r="AZ36" i="70"/>
  <c r="AW36" i="70"/>
  <c r="AT36" i="70"/>
  <c r="AQ36" i="70"/>
  <c r="AN36" i="70"/>
  <c r="AK36" i="70"/>
  <c r="AI36" i="70"/>
  <c r="AB36" i="70"/>
  <c r="Y36" i="70"/>
  <c r="V36" i="70"/>
  <c r="S36" i="70"/>
  <c r="P36" i="70"/>
  <c r="M36" i="70"/>
  <c r="J36" i="70"/>
  <c r="G36" i="70"/>
  <c r="D36" i="70"/>
  <c r="EB36" i="70"/>
  <c r="EL35" i="70"/>
  <c r="EG35" i="70"/>
  <c r="EI35" i="70" s="1"/>
  <c r="DW35" i="70"/>
  <c r="DT35" i="70"/>
  <c r="DQ35" i="70"/>
  <c r="DN35" i="70"/>
  <c r="DK35" i="70"/>
  <c r="DH35" i="70"/>
  <c r="DE35" i="70"/>
  <c r="DB35" i="70"/>
  <c r="CY35" i="70"/>
  <c r="CV35" i="70"/>
  <c r="CS35" i="70"/>
  <c r="CP35" i="70"/>
  <c r="CM35" i="70"/>
  <c r="CJ35" i="70"/>
  <c r="CG35" i="70"/>
  <c r="CD35" i="70"/>
  <c r="CA35" i="70"/>
  <c r="BX35" i="70"/>
  <c r="BU35" i="70"/>
  <c r="BR35" i="70"/>
  <c r="BO35" i="70"/>
  <c r="BL35" i="70"/>
  <c r="BI35" i="70"/>
  <c r="BF35" i="70"/>
  <c r="BC35" i="70"/>
  <c r="AZ35" i="70"/>
  <c r="AW35" i="70"/>
  <c r="AT35" i="70"/>
  <c r="AQ35" i="70"/>
  <c r="AN35" i="70"/>
  <c r="AI35" i="70"/>
  <c r="EK35" i="70" s="1"/>
  <c r="EH35" i="70"/>
  <c r="AB35" i="70"/>
  <c r="Y35" i="70"/>
  <c r="V35" i="70"/>
  <c r="S35" i="70"/>
  <c r="P35" i="70"/>
  <c r="M35" i="70"/>
  <c r="J35" i="70"/>
  <c r="G35" i="70"/>
  <c r="EB35" i="70"/>
  <c r="EC35" i="70" s="1"/>
  <c r="EL34" i="70"/>
  <c r="EG34" i="70"/>
  <c r="EI34" i="70" s="1"/>
  <c r="DW34" i="70"/>
  <c r="DT34" i="70"/>
  <c r="DQ34" i="70"/>
  <c r="DN34" i="70"/>
  <c r="DK34" i="70"/>
  <c r="DH34" i="70"/>
  <c r="DE34" i="70"/>
  <c r="DB34" i="70"/>
  <c r="CY34" i="70"/>
  <c r="CV34" i="70"/>
  <c r="CS34" i="70"/>
  <c r="CP34" i="70"/>
  <c r="CM34" i="70"/>
  <c r="CJ34" i="70"/>
  <c r="CG34" i="70"/>
  <c r="CD34" i="70"/>
  <c r="CA34" i="70"/>
  <c r="BX34" i="70"/>
  <c r="BU34" i="70"/>
  <c r="BR34" i="70"/>
  <c r="BO34" i="70"/>
  <c r="BL34" i="70"/>
  <c r="BI34" i="70"/>
  <c r="BF34" i="70"/>
  <c r="BC34" i="70"/>
  <c r="AZ34" i="70"/>
  <c r="AW34" i="70"/>
  <c r="AT34" i="70"/>
  <c r="AQ34" i="70"/>
  <c r="AN34" i="70"/>
  <c r="AI34" i="70"/>
  <c r="EK34" i="70" s="1"/>
  <c r="AB34" i="70"/>
  <c r="Y34" i="70"/>
  <c r="V34" i="70"/>
  <c r="S34" i="70"/>
  <c r="P34" i="70"/>
  <c r="M34" i="70"/>
  <c r="J34" i="70"/>
  <c r="G34" i="70"/>
  <c r="D34" i="70"/>
  <c r="EM33" i="70"/>
  <c r="EL33" i="70"/>
  <c r="EG33" i="70"/>
  <c r="EI33" i="70" s="1"/>
  <c r="EB33" i="70"/>
  <c r="DW33" i="70"/>
  <c r="DT33" i="70"/>
  <c r="DQ33" i="70"/>
  <c r="DN33" i="70"/>
  <c r="DK33" i="70"/>
  <c r="DH33" i="70"/>
  <c r="DE33" i="70"/>
  <c r="DB33" i="70"/>
  <c r="CY33" i="70"/>
  <c r="CV33" i="70"/>
  <c r="CS33" i="70"/>
  <c r="CP33" i="70"/>
  <c r="CM33" i="70"/>
  <c r="CJ33" i="70"/>
  <c r="CG33" i="70"/>
  <c r="CD33" i="70"/>
  <c r="CA33" i="70"/>
  <c r="BX33" i="70"/>
  <c r="BU33" i="70"/>
  <c r="BR33" i="70"/>
  <c r="BO33" i="70"/>
  <c r="BL33" i="70"/>
  <c r="BI33" i="70"/>
  <c r="BF33" i="70"/>
  <c r="BC33" i="70"/>
  <c r="AZ33" i="70"/>
  <c r="AW33" i="70"/>
  <c r="AT33" i="70"/>
  <c r="AQ33" i="70"/>
  <c r="AN33" i="70"/>
  <c r="AK33" i="70"/>
  <c r="AI33" i="70"/>
  <c r="EK33" i="70" s="1"/>
  <c r="EN33" i="70" s="1"/>
  <c r="AB33" i="70"/>
  <c r="Y33" i="70"/>
  <c r="V33" i="70"/>
  <c r="S33" i="70"/>
  <c r="P33" i="70"/>
  <c r="M33" i="70"/>
  <c r="J33" i="70"/>
  <c r="G33" i="70"/>
  <c r="D33" i="70"/>
  <c r="EL32" i="70"/>
  <c r="EK32" i="70"/>
  <c r="EI32" i="70"/>
  <c r="EH32" i="70"/>
  <c r="EG32" i="70"/>
  <c r="DW32" i="70"/>
  <c r="DT32" i="70"/>
  <c r="DQ32" i="70"/>
  <c r="DN32" i="70"/>
  <c r="DK32" i="70"/>
  <c r="DH32" i="70"/>
  <c r="DE32" i="70"/>
  <c r="EM32" i="70" s="1"/>
  <c r="DB32" i="70"/>
  <c r="CY32" i="70"/>
  <c r="CV32" i="70"/>
  <c r="CS32" i="70"/>
  <c r="CP32" i="70"/>
  <c r="CM32" i="70"/>
  <c r="CJ32" i="70"/>
  <c r="CG32" i="70"/>
  <c r="CD32" i="70"/>
  <c r="CA32" i="70"/>
  <c r="BX32" i="70"/>
  <c r="BU32" i="70"/>
  <c r="BR32" i="70"/>
  <c r="BO32" i="70"/>
  <c r="BL32" i="70"/>
  <c r="BI32" i="70"/>
  <c r="BF32" i="70"/>
  <c r="BC32" i="70"/>
  <c r="AZ32" i="70"/>
  <c r="AW32" i="70"/>
  <c r="AT32" i="70"/>
  <c r="AQ32" i="70"/>
  <c r="AN32" i="70"/>
  <c r="AK32" i="70"/>
  <c r="AI32" i="70"/>
  <c r="AB32" i="70"/>
  <c r="Y32" i="70"/>
  <c r="V32" i="70"/>
  <c r="S32" i="70"/>
  <c r="P32" i="70"/>
  <c r="M32" i="70"/>
  <c r="J32" i="70"/>
  <c r="G32" i="70"/>
  <c r="D32" i="70"/>
  <c r="ED32" i="70" s="1"/>
  <c r="EB32" i="70"/>
  <c r="EL31" i="70"/>
  <c r="EG31" i="70"/>
  <c r="EI31" i="70" s="1"/>
  <c r="DW31" i="70"/>
  <c r="DT31" i="70"/>
  <c r="EM31" i="70" s="1"/>
  <c r="DQ31" i="70"/>
  <c r="DN31" i="70"/>
  <c r="DK31" i="70"/>
  <c r="DH31" i="70"/>
  <c r="DE31" i="70"/>
  <c r="DB31" i="70"/>
  <c r="CY31" i="70"/>
  <c r="CV31" i="70"/>
  <c r="CS31" i="70"/>
  <c r="CP31" i="70"/>
  <c r="CM31" i="70"/>
  <c r="CJ31" i="70"/>
  <c r="CG31" i="70"/>
  <c r="CD31" i="70"/>
  <c r="CA31" i="70"/>
  <c r="BX31" i="70"/>
  <c r="BU31" i="70"/>
  <c r="BR31" i="70"/>
  <c r="BO31" i="70"/>
  <c r="BL31" i="70"/>
  <c r="BI31" i="70"/>
  <c r="BF31" i="70"/>
  <c r="BC31" i="70"/>
  <c r="AZ31" i="70"/>
  <c r="AW31" i="70"/>
  <c r="AT31" i="70"/>
  <c r="AQ31" i="70"/>
  <c r="AN31" i="70"/>
  <c r="AK31" i="70"/>
  <c r="AI31" i="70"/>
  <c r="EK31" i="70" s="1"/>
  <c r="EH31" i="70"/>
  <c r="AB31" i="70"/>
  <c r="Y31" i="70"/>
  <c r="V31" i="70"/>
  <c r="S31" i="70"/>
  <c r="P31" i="70"/>
  <c r="M31" i="70"/>
  <c r="J31" i="70"/>
  <c r="G31" i="70"/>
  <c r="D31" i="70"/>
  <c r="ED31" i="70" s="1"/>
  <c r="EE31" i="70" s="1"/>
  <c r="EB31" i="70"/>
  <c r="EC31" i="70" s="1"/>
  <c r="EL30" i="70"/>
  <c r="EK30" i="70"/>
  <c r="EG30" i="70"/>
  <c r="EI30" i="70" s="1"/>
  <c r="EC30" i="70"/>
  <c r="EB30" i="70"/>
  <c r="DW30" i="70"/>
  <c r="DT30" i="70"/>
  <c r="DQ30" i="70"/>
  <c r="DN30" i="70"/>
  <c r="DK30" i="70"/>
  <c r="DH30" i="70"/>
  <c r="DE30" i="70"/>
  <c r="DB30" i="70"/>
  <c r="CY30" i="70"/>
  <c r="CV30" i="70"/>
  <c r="CS30" i="70"/>
  <c r="CP30" i="70"/>
  <c r="CM30" i="70"/>
  <c r="CJ30" i="70"/>
  <c r="CG30" i="70"/>
  <c r="CD30" i="70"/>
  <c r="CA30" i="70"/>
  <c r="BX30" i="70"/>
  <c r="BU30" i="70"/>
  <c r="BR30" i="70"/>
  <c r="BO30" i="70"/>
  <c r="BL30" i="70"/>
  <c r="BI30" i="70"/>
  <c r="BF30" i="70"/>
  <c r="BC30" i="70"/>
  <c r="AZ30" i="70"/>
  <c r="AW30" i="70"/>
  <c r="AT30" i="70"/>
  <c r="AQ30" i="70"/>
  <c r="AN30" i="70"/>
  <c r="AK30" i="70"/>
  <c r="AB30" i="70"/>
  <c r="Y30" i="70"/>
  <c r="ED30" i="70" s="1"/>
  <c r="EE30" i="70" s="1"/>
  <c r="V30" i="70"/>
  <c r="S30" i="70"/>
  <c r="P30" i="70"/>
  <c r="M30" i="70"/>
  <c r="J30" i="70"/>
  <c r="G30" i="70"/>
  <c r="D30" i="70"/>
  <c r="EM29" i="70"/>
  <c r="EN29" i="70" s="1"/>
  <c r="EL29" i="70"/>
  <c r="EK29" i="70"/>
  <c r="EG29" i="70"/>
  <c r="EI29" i="70" s="1"/>
  <c r="EB29" i="70"/>
  <c r="DW29" i="70"/>
  <c r="DT29" i="70"/>
  <c r="DQ29" i="70"/>
  <c r="DN29" i="70"/>
  <c r="DK29" i="70"/>
  <c r="DH29" i="70"/>
  <c r="DE29" i="70"/>
  <c r="DB29" i="70"/>
  <c r="CY29" i="70"/>
  <c r="CV29" i="70"/>
  <c r="CS29" i="70"/>
  <c r="CP29" i="70"/>
  <c r="CM29" i="70"/>
  <c r="CJ29" i="70"/>
  <c r="CG29" i="70"/>
  <c r="CD29" i="70"/>
  <c r="CA29" i="70"/>
  <c r="BX29" i="70"/>
  <c r="BU29" i="70"/>
  <c r="BR29" i="70"/>
  <c r="BO29" i="70"/>
  <c r="BL29" i="70"/>
  <c r="BI29" i="70"/>
  <c r="BF29" i="70"/>
  <c r="BC29" i="70"/>
  <c r="AZ29" i="70"/>
  <c r="AW29" i="70"/>
  <c r="AT29" i="70"/>
  <c r="AQ29" i="70"/>
  <c r="AN29" i="70"/>
  <c r="AK29" i="70"/>
  <c r="AB29" i="70"/>
  <c r="Y29" i="70"/>
  <c r="V29" i="70"/>
  <c r="S29" i="70"/>
  <c r="EH29" i="70" s="1"/>
  <c r="P29" i="70"/>
  <c r="M29" i="70"/>
  <c r="J29" i="70"/>
  <c r="G29" i="70"/>
  <c r="D29" i="70"/>
  <c r="ED29" i="70" s="1"/>
  <c r="EL28" i="70"/>
  <c r="EK28" i="70"/>
  <c r="EG28" i="70"/>
  <c r="EI28" i="70" s="1"/>
  <c r="DW28" i="70"/>
  <c r="DT28" i="70"/>
  <c r="DQ28" i="70"/>
  <c r="DN28" i="70"/>
  <c r="DK28" i="70"/>
  <c r="DH28" i="70"/>
  <c r="DE28" i="70"/>
  <c r="DB28" i="70"/>
  <c r="CY28" i="70"/>
  <c r="CV28" i="70"/>
  <c r="CS28" i="70"/>
  <c r="CP28" i="70"/>
  <c r="CM28" i="70"/>
  <c r="CJ28" i="70"/>
  <c r="CG28" i="70"/>
  <c r="CD28" i="70"/>
  <c r="CA28" i="70"/>
  <c r="BX28" i="70"/>
  <c r="BU28" i="70"/>
  <c r="BR28" i="70"/>
  <c r="BO28" i="70"/>
  <c r="BL28" i="70"/>
  <c r="BI28" i="70"/>
  <c r="BF28" i="70"/>
  <c r="BC28" i="70"/>
  <c r="AZ28" i="70"/>
  <c r="AW28" i="70"/>
  <c r="AT28" i="70"/>
  <c r="AQ28" i="70"/>
  <c r="AN28" i="70"/>
  <c r="AK28" i="70"/>
  <c r="EH28" i="70"/>
  <c r="AB28" i="70"/>
  <c r="Y28" i="70"/>
  <c r="V28" i="70"/>
  <c r="S28" i="70"/>
  <c r="P28" i="70"/>
  <c r="M28" i="70"/>
  <c r="J28" i="70"/>
  <c r="G28" i="70"/>
  <c r="EB28" i="70"/>
  <c r="EC28" i="70" s="1"/>
  <c r="EL27" i="70"/>
  <c r="EK27" i="70"/>
  <c r="EN27" i="70" s="1"/>
  <c r="EG27" i="70"/>
  <c r="EI27" i="70" s="1"/>
  <c r="EB27" i="70"/>
  <c r="EE27" i="70" s="1"/>
  <c r="DW27" i="70"/>
  <c r="DT27" i="70"/>
  <c r="EM27" i="70" s="1"/>
  <c r="DQ27" i="70"/>
  <c r="DN27" i="70"/>
  <c r="DK27" i="70"/>
  <c r="DH27" i="70"/>
  <c r="DE27" i="70"/>
  <c r="DB27" i="70"/>
  <c r="CY27" i="70"/>
  <c r="CV27" i="70"/>
  <c r="CS27" i="70"/>
  <c r="CP27" i="70"/>
  <c r="CM27" i="70"/>
  <c r="CJ27" i="70"/>
  <c r="CG27" i="70"/>
  <c r="CD27" i="70"/>
  <c r="CA27" i="70"/>
  <c r="BX27" i="70"/>
  <c r="BU27" i="70"/>
  <c r="BR27" i="70"/>
  <c r="BO27" i="70"/>
  <c r="BL27" i="70"/>
  <c r="BI27" i="70"/>
  <c r="BF27" i="70"/>
  <c r="BC27" i="70"/>
  <c r="AZ27" i="70"/>
  <c r="AW27" i="70"/>
  <c r="AT27" i="70"/>
  <c r="AQ27" i="70"/>
  <c r="AN27" i="70"/>
  <c r="AK27" i="70"/>
  <c r="AB27" i="70"/>
  <c r="Y27" i="70"/>
  <c r="V27" i="70"/>
  <c r="S27" i="70"/>
  <c r="EH27" i="70" s="1"/>
  <c r="P27" i="70"/>
  <c r="M27" i="70"/>
  <c r="J27" i="70"/>
  <c r="G27" i="70"/>
  <c r="D27" i="70"/>
  <c r="ED27" i="70" s="1"/>
  <c r="EL26" i="70"/>
  <c r="EK26" i="70"/>
  <c r="EN26" i="70" s="1"/>
  <c r="EG26" i="70"/>
  <c r="EI26" i="70" s="1"/>
  <c r="EB26" i="70"/>
  <c r="DW26" i="70"/>
  <c r="DT26" i="70"/>
  <c r="EM26" i="70" s="1"/>
  <c r="DQ26" i="70"/>
  <c r="DN26" i="70"/>
  <c r="DK26" i="70"/>
  <c r="DH26" i="70"/>
  <c r="DE26" i="70"/>
  <c r="DB26" i="70"/>
  <c r="CY26" i="70"/>
  <c r="CV26" i="70"/>
  <c r="CS26" i="70"/>
  <c r="CP26" i="70"/>
  <c r="CM26" i="70"/>
  <c r="CJ26" i="70"/>
  <c r="CG26" i="70"/>
  <c r="CD26" i="70"/>
  <c r="CA26" i="70"/>
  <c r="BX26" i="70"/>
  <c r="BU26" i="70"/>
  <c r="BR26" i="70"/>
  <c r="BO26" i="70"/>
  <c r="BL26" i="70"/>
  <c r="BI26" i="70"/>
  <c r="BF26" i="70"/>
  <c r="BC26" i="70"/>
  <c r="AZ26" i="70"/>
  <c r="AW26" i="70"/>
  <c r="AT26" i="70"/>
  <c r="AQ26" i="70"/>
  <c r="AN26" i="70"/>
  <c r="AI26" i="70"/>
  <c r="AK26" i="70" s="1"/>
  <c r="AB26" i="70"/>
  <c r="Y26" i="70"/>
  <c r="V26" i="70"/>
  <c r="S26" i="70"/>
  <c r="EH26" i="70" s="1"/>
  <c r="P26" i="70"/>
  <c r="M26" i="70"/>
  <c r="J26" i="70"/>
  <c r="G26" i="70"/>
  <c r="D26" i="70"/>
  <c r="EL25" i="70"/>
  <c r="EK25" i="70"/>
  <c r="EH25" i="70"/>
  <c r="EG25" i="70"/>
  <c r="EI25" i="70" s="1"/>
  <c r="DW25" i="70"/>
  <c r="DT25" i="70"/>
  <c r="DQ25" i="70"/>
  <c r="DN25" i="70"/>
  <c r="DK25" i="70"/>
  <c r="DH25" i="70"/>
  <c r="DE25" i="70"/>
  <c r="DB25" i="70"/>
  <c r="CY25" i="70"/>
  <c r="CV25" i="70"/>
  <c r="CS25" i="70"/>
  <c r="CP25" i="70"/>
  <c r="CM25" i="70"/>
  <c r="CJ25" i="70"/>
  <c r="CG25" i="70"/>
  <c r="CD25" i="70"/>
  <c r="CA25" i="70"/>
  <c r="BX25" i="70"/>
  <c r="BU25" i="70"/>
  <c r="BR25" i="70"/>
  <c r="BO25" i="70"/>
  <c r="BL25" i="70"/>
  <c r="BI25" i="70"/>
  <c r="BF25" i="70"/>
  <c r="BC25" i="70"/>
  <c r="AZ25" i="70"/>
  <c r="AW25" i="70"/>
  <c r="AT25" i="70"/>
  <c r="AQ25" i="70"/>
  <c r="AN25" i="70"/>
  <c r="AI25" i="70"/>
  <c r="EB25" i="70" s="1"/>
  <c r="AB25" i="70"/>
  <c r="Y25" i="70"/>
  <c r="V25" i="70"/>
  <c r="S25" i="70"/>
  <c r="P25" i="70"/>
  <c r="M25" i="70"/>
  <c r="J25" i="70"/>
  <c r="G25" i="70"/>
  <c r="D25" i="70"/>
  <c r="EL24" i="70"/>
  <c r="EG24" i="70"/>
  <c r="EI24" i="70" s="1"/>
  <c r="DW24" i="70"/>
  <c r="DT24" i="70"/>
  <c r="DQ24" i="70"/>
  <c r="DN24" i="70"/>
  <c r="DK24" i="70"/>
  <c r="DH24" i="70"/>
  <c r="DE24" i="70"/>
  <c r="DB24" i="70"/>
  <c r="CY24" i="70"/>
  <c r="CV24" i="70"/>
  <c r="CS24" i="70"/>
  <c r="CP24" i="70"/>
  <c r="CM24" i="70"/>
  <c r="CJ24" i="70"/>
  <c r="CG24" i="70"/>
  <c r="CD24" i="70"/>
  <c r="CA24" i="70"/>
  <c r="BX24" i="70"/>
  <c r="BU24" i="70"/>
  <c r="BR24" i="70"/>
  <c r="BO24" i="70"/>
  <c r="BL24" i="70"/>
  <c r="BI24" i="70"/>
  <c r="BF24" i="70"/>
  <c r="BC24" i="70"/>
  <c r="AZ24" i="70"/>
  <c r="AW24" i="70"/>
  <c r="AT24" i="70"/>
  <c r="AQ24" i="70"/>
  <c r="AN24" i="70"/>
  <c r="AI24" i="70"/>
  <c r="EK24" i="70" s="1"/>
  <c r="AB24" i="70"/>
  <c r="EH24" i="70" s="1"/>
  <c r="Y24" i="70"/>
  <c r="V24" i="70"/>
  <c r="S24" i="70"/>
  <c r="P24" i="70"/>
  <c r="M24" i="70"/>
  <c r="J24" i="70"/>
  <c r="G24" i="70"/>
  <c r="EB24" i="70"/>
  <c r="EC24" i="70" s="1"/>
  <c r="EL23" i="70"/>
  <c r="EG23" i="70"/>
  <c r="EI23" i="70" s="1"/>
  <c r="EB23" i="70"/>
  <c r="DW23" i="70"/>
  <c r="DT23" i="70"/>
  <c r="DQ23" i="70"/>
  <c r="DN23" i="70"/>
  <c r="DK23" i="70"/>
  <c r="DH23" i="70"/>
  <c r="DE23" i="70"/>
  <c r="DB23" i="70"/>
  <c r="CY23" i="70"/>
  <c r="CV23" i="70"/>
  <c r="CS23" i="70"/>
  <c r="CP23" i="70"/>
  <c r="CM23" i="70"/>
  <c r="CJ23" i="70"/>
  <c r="CG23" i="70"/>
  <c r="CD23" i="70"/>
  <c r="CA23" i="70"/>
  <c r="BX23" i="70"/>
  <c r="BU23" i="70"/>
  <c r="BR23" i="70"/>
  <c r="BO23" i="70"/>
  <c r="BL23" i="70"/>
  <c r="BI23" i="70"/>
  <c r="BF23" i="70"/>
  <c r="BC23" i="70"/>
  <c r="AZ23" i="70"/>
  <c r="AW23" i="70"/>
  <c r="AT23" i="70"/>
  <c r="AQ23" i="70"/>
  <c r="AN23" i="70"/>
  <c r="AI23" i="70"/>
  <c r="EK23" i="70" s="1"/>
  <c r="AB23" i="70"/>
  <c r="Y23" i="70"/>
  <c r="V23" i="70"/>
  <c r="S23" i="70"/>
  <c r="P23" i="70"/>
  <c r="M23" i="70"/>
  <c r="J23" i="70"/>
  <c r="G23" i="70"/>
  <c r="D23" i="70"/>
  <c r="EL22" i="70"/>
  <c r="EK22" i="70"/>
  <c r="EG22" i="70"/>
  <c r="EI22" i="70" s="1"/>
  <c r="EB22" i="70"/>
  <c r="DW22" i="70"/>
  <c r="DT22" i="70"/>
  <c r="EM22" i="70" s="1"/>
  <c r="EN22" i="70" s="1"/>
  <c r="DQ22" i="70"/>
  <c r="DN22" i="70"/>
  <c r="DK22" i="70"/>
  <c r="DH22" i="70"/>
  <c r="DE22" i="70"/>
  <c r="DB22" i="70"/>
  <c r="CY22" i="70"/>
  <c r="CV22" i="70"/>
  <c r="CS22" i="70"/>
  <c r="CP22" i="70"/>
  <c r="CM22" i="70"/>
  <c r="CJ22" i="70"/>
  <c r="CG22" i="70"/>
  <c r="CD22" i="70"/>
  <c r="CA22" i="70"/>
  <c r="BX22" i="70"/>
  <c r="BU22" i="70"/>
  <c r="BR22" i="70"/>
  <c r="BO22" i="70"/>
  <c r="BL22" i="70"/>
  <c r="BI22" i="70"/>
  <c r="BF22" i="70"/>
  <c r="BC22" i="70"/>
  <c r="AZ22" i="70"/>
  <c r="AW22" i="70"/>
  <c r="AT22" i="70"/>
  <c r="AQ22" i="70"/>
  <c r="AN22" i="70"/>
  <c r="AI22" i="70"/>
  <c r="AK22" i="70" s="1"/>
  <c r="AB22" i="70"/>
  <c r="Y22" i="70"/>
  <c r="V22" i="70"/>
  <c r="S22" i="70"/>
  <c r="EH22" i="70" s="1"/>
  <c r="P22" i="70"/>
  <c r="M22" i="70"/>
  <c r="J22" i="70"/>
  <c r="G22" i="70"/>
  <c r="D22" i="70"/>
  <c r="EL21" i="70"/>
  <c r="EH21" i="70"/>
  <c r="EG21" i="70"/>
  <c r="EI21" i="70" s="1"/>
  <c r="DW21" i="70"/>
  <c r="DT21" i="70"/>
  <c r="DQ21" i="70"/>
  <c r="DN21" i="70"/>
  <c r="DK21" i="70"/>
  <c r="DH21" i="70"/>
  <c r="DE21" i="70"/>
  <c r="DB21" i="70"/>
  <c r="CY21" i="70"/>
  <c r="CV21" i="70"/>
  <c r="CS21" i="70"/>
  <c r="CP21" i="70"/>
  <c r="CM21" i="70"/>
  <c r="CJ21" i="70"/>
  <c r="CG21" i="70"/>
  <c r="CD21" i="70"/>
  <c r="CA21" i="70"/>
  <c r="BX21" i="70"/>
  <c r="BU21" i="70"/>
  <c r="BR21" i="70"/>
  <c r="BO21" i="70"/>
  <c r="BL21" i="70"/>
  <c r="BI21" i="70"/>
  <c r="BF21" i="70"/>
  <c r="BC21" i="70"/>
  <c r="AZ21" i="70"/>
  <c r="AW21" i="70"/>
  <c r="AT21" i="70"/>
  <c r="AQ21" i="70"/>
  <c r="AN21" i="70"/>
  <c r="AI21" i="70"/>
  <c r="EB21" i="70" s="1"/>
  <c r="AB21" i="70"/>
  <c r="Y21" i="70"/>
  <c r="V21" i="70"/>
  <c r="S21" i="70"/>
  <c r="P21" i="70"/>
  <c r="M21" i="70"/>
  <c r="J21" i="70"/>
  <c r="G21" i="70"/>
  <c r="D21" i="70"/>
  <c r="EL20" i="70"/>
  <c r="EG20" i="70"/>
  <c r="EI20" i="70" s="1"/>
  <c r="EC20" i="70"/>
  <c r="DW20" i="70"/>
  <c r="DT20" i="70"/>
  <c r="DQ20" i="70"/>
  <c r="DN20" i="70"/>
  <c r="DK20" i="70"/>
  <c r="DH20" i="70"/>
  <c r="DE20" i="70"/>
  <c r="DB20" i="70"/>
  <c r="CY20" i="70"/>
  <c r="CV20" i="70"/>
  <c r="CS20" i="70"/>
  <c r="CP20" i="70"/>
  <c r="CM20" i="70"/>
  <c r="CJ20" i="70"/>
  <c r="CG20" i="70"/>
  <c r="CD20" i="70"/>
  <c r="CA20" i="70"/>
  <c r="BX20" i="70"/>
  <c r="BU20" i="70"/>
  <c r="BR20" i="70"/>
  <c r="BO20" i="70"/>
  <c r="BL20" i="70"/>
  <c r="BI20" i="70"/>
  <c r="BF20" i="70"/>
  <c r="BC20" i="70"/>
  <c r="AZ20" i="70"/>
  <c r="AW20" i="70"/>
  <c r="AT20" i="70"/>
  <c r="AQ20" i="70"/>
  <c r="AN20" i="70"/>
  <c r="AI20" i="70"/>
  <c r="EK20" i="70" s="1"/>
  <c r="AB20" i="70"/>
  <c r="EH20" i="70" s="1"/>
  <c r="Y20" i="70"/>
  <c r="V20" i="70"/>
  <c r="S20" i="70"/>
  <c r="P20" i="70"/>
  <c r="M20" i="70"/>
  <c r="J20" i="70"/>
  <c r="G20" i="70"/>
  <c r="EB20" i="70"/>
  <c r="EL19" i="70"/>
  <c r="EG19" i="70"/>
  <c r="EI19" i="70" s="1"/>
  <c r="EB19" i="70"/>
  <c r="DW19" i="70"/>
  <c r="DT19" i="70"/>
  <c r="DQ19" i="70"/>
  <c r="DN19" i="70"/>
  <c r="DK19" i="70"/>
  <c r="DH19" i="70"/>
  <c r="DE19" i="70"/>
  <c r="DB19" i="70"/>
  <c r="CY19" i="70"/>
  <c r="CV19" i="70"/>
  <c r="CS19" i="70"/>
  <c r="CP19" i="70"/>
  <c r="CM19" i="70"/>
  <c r="CJ19" i="70"/>
  <c r="CG19" i="70"/>
  <c r="CD19" i="70"/>
  <c r="CA19" i="70"/>
  <c r="BX19" i="70"/>
  <c r="BU19" i="70"/>
  <c r="BR19" i="70"/>
  <c r="BO19" i="70"/>
  <c r="BL19" i="70"/>
  <c r="BI19" i="70"/>
  <c r="BF19" i="70"/>
  <c r="BC19" i="70"/>
  <c r="AZ19" i="70"/>
  <c r="AW19" i="70"/>
  <c r="AT19" i="70"/>
  <c r="AQ19" i="70"/>
  <c r="AN19" i="70"/>
  <c r="AI19" i="70"/>
  <c r="EK19" i="70" s="1"/>
  <c r="AB19" i="70"/>
  <c r="Y19" i="70"/>
  <c r="V19" i="70"/>
  <c r="S19" i="70"/>
  <c r="P19" i="70"/>
  <c r="M19" i="70"/>
  <c r="J19" i="70"/>
  <c r="G19" i="70"/>
  <c r="D19" i="70"/>
  <c r="A19" i="70"/>
  <c r="A20" i="70" s="1"/>
  <c r="A21" i="70" s="1"/>
  <c r="A22" i="70" s="1"/>
  <c r="A23" i="70" s="1"/>
  <c r="A24" i="70" s="1"/>
  <c r="A25" i="70" s="1"/>
  <c r="A26" i="70" s="1"/>
  <c r="A27" i="70" s="1"/>
  <c r="A28" i="70" s="1"/>
  <c r="A29" i="70" s="1"/>
  <c r="A30" i="70" s="1"/>
  <c r="A31" i="70" s="1"/>
  <c r="A32" i="70" s="1"/>
  <c r="A33" i="70" s="1"/>
  <c r="A34" i="70" s="1"/>
  <c r="A35" i="70" s="1"/>
  <c r="A36" i="70" s="1"/>
  <c r="A37" i="70" s="1"/>
  <c r="A38" i="70" s="1"/>
  <c r="A39" i="70" s="1"/>
  <c r="A40" i="70" s="1"/>
  <c r="A41" i="70" s="1"/>
  <c r="EM18" i="70"/>
  <c r="EN18" i="70" s="1"/>
  <c r="EL18" i="70"/>
  <c r="EK18" i="70"/>
  <c r="EG18" i="70"/>
  <c r="EI18" i="70" s="1"/>
  <c r="EB18" i="70"/>
  <c r="DW18" i="70"/>
  <c r="DT18" i="70"/>
  <c r="DQ18" i="70"/>
  <c r="DN18" i="70"/>
  <c r="DK18" i="70"/>
  <c r="DH18" i="70"/>
  <c r="DE18" i="70"/>
  <c r="DB18" i="70"/>
  <c r="CY18" i="70"/>
  <c r="CV18" i="70"/>
  <c r="CS18" i="70"/>
  <c r="CP18" i="70"/>
  <c r="CM18" i="70"/>
  <c r="CJ18" i="70"/>
  <c r="CG18" i="70"/>
  <c r="CD18" i="70"/>
  <c r="CA18" i="70"/>
  <c r="BX18" i="70"/>
  <c r="BU18" i="70"/>
  <c r="BR18" i="70"/>
  <c r="BO18" i="70"/>
  <c r="BL18" i="70"/>
  <c r="BI18" i="70"/>
  <c r="BF18" i="70"/>
  <c r="BC18" i="70"/>
  <c r="AZ18" i="70"/>
  <c r="AW18" i="70"/>
  <c r="AT18" i="70"/>
  <c r="AQ18" i="70"/>
  <c r="AN18" i="70"/>
  <c r="AI18" i="70"/>
  <c r="AK18" i="70" s="1"/>
  <c r="AB18" i="70"/>
  <c r="Y18" i="70"/>
  <c r="V18" i="70"/>
  <c r="S18" i="70"/>
  <c r="EH18" i="70" s="1"/>
  <c r="P18" i="70"/>
  <c r="M18" i="70"/>
  <c r="J18" i="70"/>
  <c r="G18" i="70"/>
  <c r="D18" i="70"/>
  <c r="ED18" i="70" s="1"/>
  <c r="EL17" i="70"/>
  <c r="EI17" i="70"/>
  <c r="EH17" i="70"/>
  <c r="EG17" i="70"/>
  <c r="DW17" i="70"/>
  <c r="DT17" i="70"/>
  <c r="DQ17" i="70"/>
  <c r="DN17" i="70"/>
  <c r="DK17" i="70"/>
  <c r="DH17" i="70"/>
  <c r="DH42" i="70" s="1"/>
  <c r="DE17" i="70"/>
  <c r="DB17" i="70"/>
  <c r="CY17" i="70"/>
  <c r="CV17" i="70"/>
  <c r="CS17" i="70"/>
  <c r="CP17" i="70"/>
  <c r="CM17" i="70"/>
  <c r="CJ17" i="70"/>
  <c r="CG17" i="70"/>
  <c r="CD17" i="70"/>
  <c r="CA17" i="70"/>
  <c r="BX17" i="70"/>
  <c r="BX42" i="70" s="1"/>
  <c r="BU17" i="70"/>
  <c r="BR17" i="70"/>
  <c r="BO17" i="70"/>
  <c r="BL17" i="70"/>
  <c r="BI17" i="70"/>
  <c r="BF17" i="70"/>
  <c r="BC17" i="70"/>
  <c r="AZ17" i="70"/>
  <c r="AW17" i="70"/>
  <c r="AT17" i="70"/>
  <c r="AQ17" i="70"/>
  <c r="AN17" i="70"/>
  <c r="AI17" i="70"/>
  <c r="EB17" i="70" s="1"/>
  <c r="AB17" i="70"/>
  <c r="Y17" i="70"/>
  <c r="V17" i="70"/>
  <c r="S17" i="70"/>
  <c r="P17" i="70"/>
  <c r="M17" i="70"/>
  <c r="J17" i="70"/>
  <c r="G17" i="70"/>
  <c r="D17" i="70"/>
  <c r="EL16" i="70"/>
  <c r="EH16" i="70"/>
  <c r="EG16" i="70"/>
  <c r="EI16" i="70" s="1"/>
  <c r="DW16" i="70"/>
  <c r="DT16" i="70"/>
  <c r="DQ16" i="70"/>
  <c r="DN16" i="70"/>
  <c r="DK16" i="70"/>
  <c r="DH16" i="70"/>
  <c r="DE16" i="70"/>
  <c r="DB16" i="70"/>
  <c r="CY16" i="70"/>
  <c r="CV16" i="70"/>
  <c r="CS16" i="70"/>
  <c r="CP16" i="70"/>
  <c r="CM16" i="70"/>
  <c r="CJ16" i="70"/>
  <c r="CG16" i="70"/>
  <c r="CD16" i="70"/>
  <c r="CA16" i="70"/>
  <c r="BX16" i="70"/>
  <c r="BU16" i="70"/>
  <c r="BR16" i="70"/>
  <c r="BO16" i="70"/>
  <c r="BL16" i="70"/>
  <c r="BI16" i="70"/>
  <c r="BF16" i="70"/>
  <c r="BC16" i="70"/>
  <c r="AZ16" i="70"/>
  <c r="AW16" i="70"/>
  <c r="AU16" i="70"/>
  <c r="AT16" i="70"/>
  <c r="AO16" i="70"/>
  <c r="AL16" i="70"/>
  <c r="AN16" i="70" s="1"/>
  <c r="AK16" i="70"/>
  <c r="AI16" i="70"/>
  <c r="AB16" i="70"/>
  <c r="Y16" i="70"/>
  <c r="V16" i="70"/>
  <c r="S16" i="70"/>
  <c r="P16" i="70"/>
  <c r="M16" i="70"/>
  <c r="J16" i="70"/>
  <c r="G16" i="70"/>
  <c r="D16" i="70"/>
  <c r="EL15" i="70"/>
  <c r="EH15" i="70"/>
  <c r="EG15" i="70"/>
  <c r="EI15" i="70" s="1"/>
  <c r="DW15" i="70"/>
  <c r="DT15" i="70"/>
  <c r="DQ15" i="70"/>
  <c r="DN15" i="70"/>
  <c r="DK15" i="70"/>
  <c r="DH15" i="70"/>
  <c r="DE15" i="70"/>
  <c r="DB15" i="70"/>
  <c r="CY15" i="70"/>
  <c r="CV15" i="70"/>
  <c r="CS15" i="70"/>
  <c r="CP15" i="70"/>
  <c r="CM15" i="70"/>
  <c r="CJ15" i="70"/>
  <c r="CG15" i="70"/>
  <c r="CD15" i="70"/>
  <c r="CA15" i="70"/>
  <c r="BX15" i="70"/>
  <c r="BU15" i="70"/>
  <c r="BR15" i="70"/>
  <c r="BO15" i="70"/>
  <c r="BL15" i="70"/>
  <c r="BI15" i="70"/>
  <c r="BF15" i="70"/>
  <c r="BC15" i="70"/>
  <c r="AZ15" i="70"/>
  <c r="AW15" i="70"/>
  <c r="AU15" i="70"/>
  <c r="AT15" i="70"/>
  <c r="AO15" i="70"/>
  <c r="AL15" i="70"/>
  <c r="AN15" i="70" s="1"/>
  <c r="AI15" i="70"/>
  <c r="AK15" i="70" s="1"/>
  <c r="AB15" i="70"/>
  <c r="Y15" i="70"/>
  <c r="V15" i="70"/>
  <c r="S15" i="70"/>
  <c r="P15" i="70"/>
  <c r="M15" i="70"/>
  <c r="J15" i="70"/>
  <c r="G15" i="70"/>
  <c r="D15" i="70"/>
  <c r="EB15" i="70"/>
  <c r="EL14" i="70"/>
  <c r="EH14" i="70"/>
  <c r="EG14" i="70"/>
  <c r="EI14" i="70" s="1"/>
  <c r="DW14" i="70"/>
  <c r="DT14" i="70"/>
  <c r="DQ14" i="70"/>
  <c r="DN14" i="70"/>
  <c r="DK14" i="70"/>
  <c r="DH14" i="70"/>
  <c r="DE14" i="70"/>
  <c r="DB14" i="70"/>
  <c r="CY14" i="70"/>
  <c r="CV14" i="70"/>
  <c r="CS14" i="70"/>
  <c r="CP14" i="70"/>
  <c r="CM14" i="70"/>
  <c r="CJ14" i="70"/>
  <c r="CG14" i="70"/>
  <c r="CD14" i="70"/>
  <c r="CA14" i="70"/>
  <c r="BX14" i="70"/>
  <c r="BU14" i="70"/>
  <c r="BR14" i="70"/>
  <c r="BO14" i="70"/>
  <c r="BL14" i="70"/>
  <c r="BI14" i="70"/>
  <c r="BF14" i="70"/>
  <c r="BC14" i="70"/>
  <c r="AZ14" i="70"/>
  <c r="AW14" i="70"/>
  <c r="AU14" i="70"/>
  <c r="AT14" i="70"/>
  <c r="AO14" i="70"/>
  <c r="AN14" i="70"/>
  <c r="AL14" i="70"/>
  <c r="AI14" i="70"/>
  <c r="AK14" i="70" s="1"/>
  <c r="AB14" i="70"/>
  <c r="Y14" i="70"/>
  <c r="V14" i="70"/>
  <c r="S14" i="70"/>
  <c r="P14" i="70"/>
  <c r="M14" i="70"/>
  <c r="J14" i="70"/>
  <c r="G14" i="70"/>
  <c r="D14" i="70"/>
  <c r="EL13" i="70"/>
  <c r="EH13" i="70"/>
  <c r="EG13" i="70"/>
  <c r="EI13" i="70" s="1"/>
  <c r="DW13" i="70"/>
  <c r="DT13" i="70"/>
  <c r="DQ13" i="70"/>
  <c r="DN13" i="70"/>
  <c r="DK13" i="70"/>
  <c r="DH13" i="70"/>
  <c r="DE13" i="70"/>
  <c r="DB13" i="70"/>
  <c r="CY13" i="70"/>
  <c r="CV13" i="70"/>
  <c r="CS13" i="70"/>
  <c r="CP13" i="70"/>
  <c r="CM13" i="70"/>
  <c r="CJ13" i="70"/>
  <c r="CG13" i="70"/>
  <c r="CD13" i="70"/>
  <c r="CA13" i="70"/>
  <c r="BX13" i="70"/>
  <c r="BU13" i="70"/>
  <c r="BR13" i="70"/>
  <c r="BO13" i="70"/>
  <c r="BL13" i="70"/>
  <c r="BI13" i="70"/>
  <c r="BF13" i="70"/>
  <c r="BC13" i="70"/>
  <c r="AZ13" i="70"/>
  <c r="AW13" i="70"/>
  <c r="AU13" i="70"/>
  <c r="AT13" i="70"/>
  <c r="AO13" i="70"/>
  <c r="AL13" i="70"/>
  <c r="AN13" i="70" s="1"/>
  <c r="AI13" i="70"/>
  <c r="AK13" i="70" s="1"/>
  <c r="AB13" i="70"/>
  <c r="Y13" i="70"/>
  <c r="V13" i="70"/>
  <c r="S13" i="70"/>
  <c r="P13" i="70"/>
  <c r="M13" i="70"/>
  <c r="J13" i="70"/>
  <c r="G13" i="70"/>
  <c r="D13" i="70"/>
  <c r="EB13" i="70"/>
  <c r="EL12" i="70"/>
  <c r="EH12" i="70"/>
  <c r="EG12" i="70"/>
  <c r="EI12" i="70" s="1"/>
  <c r="DW12" i="70"/>
  <c r="DT12" i="70"/>
  <c r="DQ12" i="70"/>
  <c r="DN12" i="70"/>
  <c r="DK12" i="70"/>
  <c r="DH12" i="70"/>
  <c r="DE12" i="70"/>
  <c r="DB12" i="70"/>
  <c r="DB42" i="70" s="1"/>
  <c r="CY12" i="70"/>
  <c r="CV12" i="70"/>
  <c r="CS12" i="70"/>
  <c r="CP12" i="70"/>
  <c r="CM12" i="70"/>
  <c r="CJ12" i="70"/>
  <c r="CG12" i="70"/>
  <c r="CD12" i="70"/>
  <c r="CA12" i="70"/>
  <c r="BX12" i="70"/>
  <c r="BU12" i="70"/>
  <c r="BR12" i="70"/>
  <c r="BR42" i="70" s="1"/>
  <c r="BO12" i="70"/>
  <c r="BO42" i="70" s="1"/>
  <c r="BL12" i="70"/>
  <c r="BI12" i="70"/>
  <c r="BF12" i="70"/>
  <c r="BC12" i="70"/>
  <c r="AZ12" i="70"/>
  <c r="AW12" i="70"/>
  <c r="AU12" i="70"/>
  <c r="AT12" i="70"/>
  <c r="AO12" i="70"/>
  <c r="AL12" i="70"/>
  <c r="AN12" i="70" s="1"/>
  <c r="AK12" i="70"/>
  <c r="AI12" i="70"/>
  <c r="AB12" i="70"/>
  <c r="Y12" i="70"/>
  <c r="V12" i="70"/>
  <c r="S12" i="70"/>
  <c r="P12" i="70"/>
  <c r="M12" i="70"/>
  <c r="J12" i="70"/>
  <c r="G12" i="70"/>
  <c r="D12" i="70"/>
  <c r="EL11" i="70"/>
  <c r="EH11" i="70"/>
  <c r="EG11" i="70"/>
  <c r="DW11" i="70"/>
  <c r="DT11" i="70"/>
  <c r="DQ11" i="70"/>
  <c r="DN11" i="70"/>
  <c r="DK11" i="70"/>
  <c r="DH11" i="70"/>
  <c r="DE11" i="70"/>
  <c r="DE42" i="70" s="1"/>
  <c r="DB11" i="70"/>
  <c r="CY11" i="70"/>
  <c r="CY42" i="70" s="1"/>
  <c r="CV11" i="70"/>
  <c r="CS11" i="70"/>
  <c r="CP11" i="70"/>
  <c r="CP42" i="70" s="1"/>
  <c r="CM11" i="70"/>
  <c r="CJ11" i="70"/>
  <c r="CG11" i="70"/>
  <c r="CD11" i="70"/>
  <c r="CA11" i="70"/>
  <c r="BX11" i="70"/>
  <c r="BU11" i="70"/>
  <c r="BU42" i="70" s="1"/>
  <c r="BR11" i="70"/>
  <c r="BO11" i="70"/>
  <c r="BL11" i="70"/>
  <c r="BI11" i="70"/>
  <c r="BF11" i="70"/>
  <c r="BF42" i="70" s="1"/>
  <c r="BC11" i="70"/>
  <c r="AZ11" i="70"/>
  <c r="AW11" i="70"/>
  <c r="AU11" i="70"/>
  <c r="AR11" i="70"/>
  <c r="AO11" i="70"/>
  <c r="AQ11" i="70" s="1"/>
  <c r="AN11" i="70"/>
  <c r="AL11" i="70"/>
  <c r="AK11" i="70"/>
  <c r="AI11" i="70"/>
  <c r="AB11" i="70"/>
  <c r="Y11" i="70"/>
  <c r="V11" i="70"/>
  <c r="V42" i="70" s="1"/>
  <c r="S11" i="70"/>
  <c r="P11" i="70"/>
  <c r="M11" i="70"/>
  <c r="J11" i="70"/>
  <c r="G11" i="70"/>
  <c r="G42" i="70" s="1"/>
  <c r="D11" i="70"/>
  <c r="A12" i="70"/>
  <c r="A13" i="70" s="1"/>
  <c r="A14" i="70" s="1"/>
  <c r="A15" i="70" s="1"/>
  <c r="A16" i="70" s="1"/>
  <c r="A17" i="70" s="1"/>
  <c r="A18" i="70" s="1"/>
  <c r="EN2" i="70"/>
  <c r="EP2" i="70" s="1"/>
  <c r="EI2" i="70"/>
  <c r="EM41" i="70" l="1"/>
  <c r="EN41" i="70" s="1"/>
  <c r="ED14" i="70"/>
  <c r="ED15" i="70"/>
  <c r="EE15" i="70" s="1"/>
  <c r="ED17" i="70"/>
  <c r="AN42" i="70"/>
  <c r="AZ42" i="70"/>
  <c r="CM42" i="70"/>
  <c r="EB11" i="70"/>
  <c r="CD42" i="70"/>
  <c r="AK24" i="70"/>
  <c r="EN34" i="70"/>
  <c r="BI42" i="70"/>
  <c r="EC27" i="70"/>
  <c r="ED37" i="70"/>
  <c r="EE37" i="70" s="1"/>
  <c r="EC41" i="70"/>
  <c r="EE41" i="70"/>
  <c r="EE2" i="70"/>
  <c r="EQ2" i="70" s="1"/>
  <c r="G4" i="70" s="1"/>
  <c r="BL42" i="70"/>
  <c r="CV42" i="70"/>
  <c r="AQ15" i="70"/>
  <c r="EK15" i="70"/>
  <c r="EB16" i="70"/>
  <c r="EH23" i="70"/>
  <c r="EC25" i="70"/>
  <c r="ED33" i="70"/>
  <c r="EN39" i="70"/>
  <c r="EN40" i="70"/>
  <c r="EE17" i="70"/>
  <c r="Y42" i="70"/>
  <c r="EK14" i="70"/>
  <c r="AQ14" i="70"/>
  <c r="AK17" i="70"/>
  <c r="EM35" i="70"/>
  <c r="AH42" i="70"/>
  <c r="AB42" i="70"/>
  <c r="DT42" i="70"/>
  <c r="EM21" i="70"/>
  <c r="D28" i="70"/>
  <c r="ED28" i="70" s="1"/>
  <c r="BC42" i="70"/>
  <c r="CA42" i="70"/>
  <c r="EI11" i="70"/>
  <c r="EI3" i="70"/>
  <c r="EI4" i="70" s="1"/>
  <c r="EI5" i="70"/>
  <c r="D20" i="70"/>
  <c r="AK20" i="70"/>
  <c r="EM20" i="70" s="1"/>
  <c r="EN20" i="70" s="1"/>
  <c r="AK25" i="70"/>
  <c r="ED25" i="70" s="1"/>
  <c r="EE25" i="70" s="1"/>
  <c r="ED26" i="70"/>
  <c r="EE26" i="70" s="1"/>
  <c r="EN35" i="70"/>
  <c r="EH37" i="70"/>
  <c r="EM38" i="70"/>
  <c r="EN38" i="70" s="1"/>
  <c r="D39" i="70"/>
  <c r="ED39" i="70" s="1"/>
  <c r="EE39" i="70" s="1"/>
  <c r="ED40" i="70"/>
  <c r="EE40" i="70" s="1"/>
  <c r="DW42" i="70"/>
  <c r="AQ12" i="70"/>
  <c r="EM12" i="70" s="1"/>
  <c r="EK12" i="70"/>
  <c r="DK42" i="70"/>
  <c r="EM14" i="70"/>
  <c r="DN42" i="70"/>
  <c r="D24" i="70"/>
  <c r="ED24" i="70" s="1"/>
  <c r="EE24" i="70" s="1"/>
  <c r="EN30" i="70"/>
  <c r="CS42" i="70"/>
  <c r="AW42" i="70"/>
  <c r="CG42" i="70"/>
  <c r="DQ42" i="70"/>
  <c r="EM28" i="70"/>
  <c r="EN28" i="70" s="1"/>
  <c r="J42" i="70"/>
  <c r="EH42" i="70"/>
  <c r="AQ13" i="70"/>
  <c r="ED13" i="70" s="1"/>
  <c r="EE13" i="70" s="1"/>
  <c r="EK13" i="70"/>
  <c r="EB14" i="70"/>
  <c r="EE18" i="70"/>
  <c r="EK21" i="70"/>
  <c r="EC23" i="70"/>
  <c r="EM24" i="70"/>
  <c r="EN24" i="70" s="1"/>
  <c r="EE28" i="70"/>
  <c r="EN31" i="70"/>
  <c r="EH33" i="70"/>
  <c r="D35" i="70"/>
  <c r="ED35" i="70" s="1"/>
  <c r="EE35" i="70" s="1"/>
  <c r="AK35" i="70"/>
  <c r="CJ42" i="70"/>
  <c r="EH19" i="70"/>
  <c r="EM30" i="70"/>
  <c r="EM34" i="70"/>
  <c r="EN36" i="70"/>
  <c r="P42" i="70"/>
  <c r="M42" i="70"/>
  <c r="EM15" i="70"/>
  <c r="EC21" i="70"/>
  <c r="EE29" i="70"/>
  <c r="EE36" i="70"/>
  <c r="EC36" i="70"/>
  <c r="EC37" i="70"/>
  <c r="ED41" i="70"/>
  <c r="EB12" i="70"/>
  <c r="AK21" i="70"/>
  <c r="ED21" i="70" s="1"/>
  <c r="EE21" i="70" s="1"/>
  <c r="ED22" i="70"/>
  <c r="EE22" i="70" s="1"/>
  <c r="EH30" i="70"/>
  <c r="EE32" i="70"/>
  <c r="EC32" i="70"/>
  <c r="EN32" i="70"/>
  <c r="EE33" i="70"/>
  <c r="EC33" i="70"/>
  <c r="EH38" i="70"/>
  <c r="S42" i="70"/>
  <c r="EK11" i="70"/>
  <c r="EM13" i="70"/>
  <c r="EK16" i="70"/>
  <c r="AQ16" i="70"/>
  <c r="EM16" i="70" s="1"/>
  <c r="EK17" i="70"/>
  <c r="EN17" i="70" s="1"/>
  <c r="EC19" i="70"/>
  <c r="EM25" i="70"/>
  <c r="EN25" i="70" s="1"/>
  <c r="EH34" i="70"/>
  <c r="EB34" i="70"/>
  <c r="ED36" i="70"/>
  <c r="EM39" i="70"/>
  <c r="EM17" i="70"/>
  <c r="AT11" i="70"/>
  <c r="AT42" i="70" s="1"/>
  <c r="EC18" i="70"/>
  <c r="EC22" i="70"/>
  <c r="EC26" i="70"/>
  <c r="EC29" i="70"/>
  <c r="AK34" i="70"/>
  <c r="ED34" i="70" s="1"/>
  <c r="AK19" i="70"/>
  <c r="EM19" i="70" s="1"/>
  <c r="EN19" i="70" s="1"/>
  <c r="AK23" i="70"/>
  <c r="ED23" i="70" s="1"/>
  <c r="EE23" i="70" s="1"/>
  <c r="EC40" i="70"/>
  <c r="AN41" i="70"/>
  <c r="ED12" i="70" l="1"/>
  <c r="EN3" i="70"/>
  <c r="EN11" i="70"/>
  <c r="EN5" i="70"/>
  <c r="EN21" i="70"/>
  <c r="ED11" i="70"/>
  <c r="EE3" i="70"/>
  <c r="EE5" i="70"/>
  <c r="G7" i="70" s="1"/>
  <c r="EE11" i="70"/>
  <c r="EC11" i="70"/>
  <c r="EM23" i="70"/>
  <c r="EN23" i="70" s="1"/>
  <c r="AQ42" i="70"/>
  <c r="EN14" i="70"/>
  <c r="ED16" i="70"/>
  <c r="EE16" i="70" s="1"/>
  <c r="ED19" i="70"/>
  <c r="EE19" i="70" s="1"/>
  <c r="EN12" i="70"/>
  <c r="ED20" i="70"/>
  <c r="EE20" i="70" s="1"/>
  <c r="EN16" i="70"/>
  <c r="EE12" i="70"/>
  <c r="EC12" i="70"/>
  <c r="EE34" i="70"/>
  <c r="EC34" i="70"/>
  <c r="EM11" i="70"/>
  <c r="EM42" i="70" s="1"/>
  <c r="EC16" i="70"/>
  <c r="EE14" i="70"/>
  <c r="EC14" i="70"/>
  <c r="EN15" i="70"/>
  <c r="EC15" i="70"/>
  <c r="AK42" i="70"/>
  <c r="EN13" i="70"/>
  <c r="EC13" i="70"/>
  <c r="D42" i="70"/>
  <c r="EC17" i="70"/>
  <c r="EE4" i="70" l="1"/>
  <c r="G6" i="70" s="1"/>
  <c r="G5" i="70"/>
  <c r="ED42" i="70"/>
  <c r="EN4" i="70"/>
  <c r="EL40" i="69"/>
  <c r="EG40" i="69"/>
  <c r="DW40" i="69"/>
  <c r="DT40" i="69"/>
  <c r="DQ40" i="69"/>
  <c r="DN40" i="69"/>
  <c r="DK40" i="69"/>
  <c r="DH40" i="69"/>
  <c r="DE40" i="69"/>
  <c r="DB40" i="69"/>
  <c r="CY40" i="69"/>
  <c r="CV40" i="69"/>
  <c r="CS40" i="69"/>
  <c r="CP40" i="69"/>
  <c r="CM40" i="69"/>
  <c r="CJ40" i="69"/>
  <c r="CG40" i="69"/>
  <c r="CD40" i="69"/>
  <c r="CA40" i="69"/>
  <c r="BX40" i="69"/>
  <c r="BU40" i="69"/>
  <c r="BR40" i="69"/>
  <c r="BO40" i="69"/>
  <c r="BL40" i="69"/>
  <c r="BI40" i="69"/>
  <c r="BF40" i="69"/>
  <c r="BC40" i="69"/>
  <c r="AZ40" i="69"/>
  <c r="AW40" i="69"/>
  <c r="AR40" i="69"/>
  <c r="AT40" i="69" s="1"/>
  <c r="AO40" i="69"/>
  <c r="AL40" i="69"/>
  <c r="AN40" i="69" s="1"/>
  <c r="AI40" i="69"/>
  <c r="AK40" i="69" s="1"/>
  <c r="AB40" i="69"/>
  <c r="Y40" i="69"/>
  <c r="EH40" i="69" s="1"/>
  <c r="V40" i="69"/>
  <c r="S40" i="69"/>
  <c r="P40" i="69"/>
  <c r="M40" i="69"/>
  <c r="J40" i="69"/>
  <c r="G40" i="69"/>
  <c r="D40" i="69"/>
  <c r="EL39" i="69"/>
  <c r="EH39" i="69"/>
  <c r="EG39" i="69"/>
  <c r="EI39" i="69" s="1"/>
  <c r="DW39" i="69"/>
  <c r="DT39" i="69"/>
  <c r="DQ39" i="69"/>
  <c r="DN39" i="69"/>
  <c r="DK39" i="69"/>
  <c r="DH39" i="69"/>
  <c r="EM39" i="69" s="1"/>
  <c r="DE39" i="69"/>
  <c r="DB39" i="69"/>
  <c r="CY39" i="69"/>
  <c r="CV39" i="69"/>
  <c r="CS39" i="69"/>
  <c r="CP39" i="69"/>
  <c r="CM39" i="69"/>
  <c r="CJ39" i="69"/>
  <c r="CG39" i="69"/>
  <c r="CD39" i="69"/>
  <c r="CA39" i="69"/>
  <c r="BX39" i="69"/>
  <c r="BU39" i="69"/>
  <c r="BR39" i="69"/>
  <c r="BO39" i="69"/>
  <c r="BL39" i="69"/>
  <c r="BI39" i="69"/>
  <c r="BF39" i="69"/>
  <c r="BC39" i="69"/>
  <c r="AZ39" i="69"/>
  <c r="AW39" i="69"/>
  <c r="AR39" i="69"/>
  <c r="AT39" i="69" s="1"/>
  <c r="AO39" i="69"/>
  <c r="AQ39" i="69" s="1"/>
  <c r="AN39" i="69"/>
  <c r="AL39" i="69"/>
  <c r="AK39" i="69"/>
  <c r="AI39" i="69"/>
  <c r="AB39" i="69"/>
  <c r="Y39" i="69"/>
  <c r="V39" i="69"/>
  <c r="S39" i="69"/>
  <c r="P39" i="69"/>
  <c r="M39" i="69"/>
  <c r="J39" i="69"/>
  <c r="G39" i="69"/>
  <c r="D39" i="69"/>
  <c r="EL38" i="69"/>
  <c r="EG38" i="69"/>
  <c r="EI38" i="69" s="1"/>
  <c r="DW38" i="69"/>
  <c r="DT38" i="69"/>
  <c r="DQ38" i="69"/>
  <c r="DN38" i="69"/>
  <c r="DK38" i="69"/>
  <c r="DH38" i="69"/>
  <c r="DE38" i="69"/>
  <c r="DB38" i="69"/>
  <c r="CY38" i="69"/>
  <c r="CV38" i="69"/>
  <c r="CS38" i="69"/>
  <c r="CP38" i="69"/>
  <c r="CM38" i="69"/>
  <c r="CJ38" i="69"/>
  <c r="CG38" i="69"/>
  <c r="CD38" i="69"/>
  <c r="CA38" i="69"/>
  <c r="BX38" i="69"/>
  <c r="BU38" i="69"/>
  <c r="BR38" i="69"/>
  <c r="BO38" i="69"/>
  <c r="BL38" i="69"/>
  <c r="BI38" i="69"/>
  <c r="BF38" i="69"/>
  <c r="BC38" i="69"/>
  <c r="AZ38" i="69"/>
  <c r="AW38" i="69"/>
  <c r="AR38" i="69"/>
  <c r="AT38" i="69" s="1"/>
  <c r="AO38" i="69"/>
  <c r="AQ38" i="69" s="1"/>
  <c r="AL38" i="69"/>
  <c r="AN38" i="69" s="1"/>
  <c r="AI38" i="69"/>
  <c r="AK38" i="69" s="1"/>
  <c r="EH38" i="69"/>
  <c r="AB38" i="69"/>
  <c r="Y38" i="69"/>
  <c r="V38" i="69"/>
  <c r="S38" i="69"/>
  <c r="P38" i="69"/>
  <c r="M38" i="69"/>
  <c r="J38" i="69"/>
  <c r="G38" i="69"/>
  <c r="EB38" i="69"/>
  <c r="EL37" i="69"/>
  <c r="EG37" i="69"/>
  <c r="EI37" i="69" s="1"/>
  <c r="DW37" i="69"/>
  <c r="DT37" i="69"/>
  <c r="DQ37" i="69"/>
  <c r="DN37" i="69"/>
  <c r="DK37" i="69"/>
  <c r="DH37" i="69"/>
  <c r="DE37" i="69"/>
  <c r="DB37" i="69"/>
  <c r="CY37" i="69"/>
  <c r="CV37" i="69"/>
  <c r="CS37" i="69"/>
  <c r="CP37" i="69"/>
  <c r="CM37" i="69"/>
  <c r="CJ37" i="69"/>
  <c r="CG37" i="69"/>
  <c r="CD37" i="69"/>
  <c r="CA37" i="69"/>
  <c r="BX37" i="69"/>
  <c r="BU37" i="69"/>
  <c r="BR37" i="69"/>
  <c r="BO37" i="69"/>
  <c r="BL37" i="69"/>
  <c r="BI37" i="69"/>
  <c r="BF37" i="69"/>
  <c r="BC37" i="69"/>
  <c r="AZ37" i="69"/>
  <c r="AW37" i="69"/>
  <c r="AR37" i="69"/>
  <c r="AT37" i="69" s="1"/>
  <c r="AO37" i="69"/>
  <c r="AQ37" i="69" s="1"/>
  <c r="AL37" i="69"/>
  <c r="AN37" i="69" s="1"/>
  <c r="AI37" i="69"/>
  <c r="AK37" i="69" s="1"/>
  <c r="AB37" i="69"/>
  <c r="Y37" i="69"/>
  <c r="V37" i="69"/>
  <c r="S37" i="69"/>
  <c r="P37" i="69"/>
  <c r="M37" i="69"/>
  <c r="J37" i="69"/>
  <c r="G37" i="69"/>
  <c r="EB37" i="69"/>
  <c r="EL36" i="69"/>
  <c r="EG36" i="69"/>
  <c r="EI36" i="69" s="1"/>
  <c r="EB36" i="69"/>
  <c r="DW36" i="69"/>
  <c r="DT36" i="69"/>
  <c r="DQ36" i="69"/>
  <c r="DN36" i="69"/>
  <c r="DK36" i="69"/>
  <c r="DH36" i="69"/>
  <c r="DE36" i="69"/>
  <c r="DB36" i="69"/>
  <c r="CY36" i="69"/>
  <c r="CV36" i="69"/>
  <c r="CS36" i="69"/>
  <c r="CP36" i="69"/>
  <c r="CM36" i="69"/>
  <c r="CJ36" i="69"/>
  <c r="CG36" i="69"/>
  <c r="CD36" i="69"/>
  <c r="CA36" i="69"/>
  <c r="BX36" i="69"/>
  <c r="BU36" i="69"/>
  <c r="BR36" i="69"/>
  <c r="BO36" i="69"/>
  <c r="BL36" i="69"/>
  <c r="BI36" i="69"/>
  <c r="BF36" i="69"/>
  <c r="BC36" i="69"/>
  <c r="AZ36" i="69"/>
  <c r="AW36" i="69"/>
  <c r="AR36" i="69"/>
  <c r="AT36" i="69" s="1"/>
  <c r="AQ36" i="69"/>
  <c r="AL36" i="69"/>
  <c r="AN36" i="69" s="1"/>
  <c r="AI36" i="69"/>
  <c r="AK36" i="69" s="1"/>
  <c r="AB36" i="69"/>
  <c r="Y36" i="69"/>
  <c r="V36" i="69"/>
  <c r="EH36" i="69" s="1"/>
  <c r="S36" i="69"/>
  <c r="P36" i="69"/>
  <c r="M36" i="69"/>
  <c r="J36" i="69"/>
  <c r="G36" i="69"/>
  <c r="D36" i="69"/>
  <c r="ED36" i="69" s="1"/>
  <c r="EL35" i="69"/>
  <c r="EG35" i="69"/>
  <c r="EI35" i="69" s="1"/>
  <c r="DW35" i="69"/>
  <c r="DT35" i="69"/>
  <c r="DQ35" i="69"/>
  <c r="DN35" i="69"/>
  <c r="DK35" i="69"/>
  <c r="DH35" i="69"/>
  <c r="DE35" i="69"/>
  <c r="DB35" i="69"/>
  <c r="CY35" i="69"/>
  <c r="CV35" i="69"/>
  <c r="CS35" i="69"/>
  <c r="CP35" i="69"/>
  <c r="CM35" i="69"/>
  <c r="CJ35" i="69"/>
  <c r="CG35" i="69"/>
  <c r="CD35" i="69"/>
  <c r="CA35" i="69"/>
  <c r="BX35" i="69"/>
  <c r="BU35" i="69"/>
  <c r="BR35" i="69"/>
  <c r="BO35" i="69"/>
  <c r="BL35" i="69"/>
  <c r="BI35" i="69"/>
  <c r="BF35" i="69"/>
  <c r="BC35" i="69"/>
  <c r="AZ35" i="69"/>
  <c r="AW35" i="69"/>
  <c r="AT35" i="69"/>
  <c r="AR35" i="69"/>
  <c r="AO35" i="69"/>
  <c r="AN35" i="69"/>
  <c r="AL35" i="69"/>
  <c r="AK35" i="69"/>
  <c r="AB35" i="69"/>
  <c r="Y35" i="69"/>
  <c r="V35" i="69"/>
  <c r="S35" i="69"/>
  <c r="EH35" i="69" s="1"/>
  <c r="P35" i="69"/>
  <c r="M35" i="69"/>
  <c r="J35" i="69"/>
  <c r="J41" i="69" s="1"/>
  <c r="G35" i="69"/>
  <c r="D35" i="69"/>
  <c r="EL34" i="69"/>
  <c r="EK34" i="69"/>
  <c r="EG34" i="69"/>
  <c r="EI34" i="69" s="1"/>
  <c r="EC34" i="69"/>
  <c r="DW34" i="69"/>
  <c r="DT34" i="69"/>
  <c r="DQ34" i="69"/>
  <c r="DN34" i="69"/>
  <c r="DK34" i="69"/>
  <c r="DH34" i="69"/>
  <c r="DE34" i="69"/>
  <c r="DB34" i="69"/>
  <c r="CY34" i="69"/>
  <c r="CV34" i="69"/>
  <c r="CS34" i="69"/>
  <c r="CP34" i="69"/>
  <c r="CM34" i="69"/>
  <c r="CJ34" i="69"/>
  <c r="CG34" i="69"/>
  <c r="CD34" i="69"/>
  <c r="CA34" i="69"/>
  <c r="BX34" i="69"/>
  <c r="BU34" i="69"/>
  <c r="BR34" i="69"/>
  <c r="BO34" i="69"/>
  <c r="BL34" i="69"/>
  <c r="BI34" i="69"/>
  <c r="BF34" i="69"/>
  <c r="BC34" i="69"/>
  <c r="AZ34" i="69"/>
  <c r="AW34" i="69"/>
  <c r="AR34" i="69"/>
  <c r="AT34" i="69" s="1"/>
  <c r="AO34" i="69"/>
  <c r="AQ34" i="69" s="1"/>
  <c r="AL34" i="69"/>
  <c r="AN34" i="69" s="1"/>
  <c r="AK34" i="69"/>
  <c r="AB34" i="69"/>
  <c r="Y34" i="69"/>
  <c r="V34" i="69"/>
  <c r="S34" i="69"/>
  <c r="P34" i="69"/>
  <c r="M34" i="69"/>
  <c r="J34" i="69"/>
  <c r="G34" i="69"/>
  <c r="EB34" i="69"/>
  <c r="EL33" i="69"/>
  <c r="EI33" i="69"/>
  <c r="EG33" i="69"/>
  <c r="EB33" i="69"/>
  <c r="DW33" i="69"/>
  <c r="DT33" i="69"/>
  <c r="DQ33" i="69"/>
  <c r="DN33" i="69"/>
  <c r="DK33" i="69"/>
  <c r="DH33" i="69"/>
  <c r="DE33" i="69"/>
  <c r="DB33" i="69"/>
  <c r="CY33" i="69"/>
  <c r="CV33" i="69"/>
  <c r="CS33" i="69"/>
  <c r="CP33" i="69"/>
  <c r="CM33" i="69"/>
  <c r="CJ33" i="69"/>
  <c r="CG33" i="69"/>
  <c r="CD33" i="69"/>
  <c r="CA33" i="69"/>
  <c r="BX33" i="69"/>
  <c r="BU33" i="69"/>
  <c r="BR33" i="69"/>
  <c r="BO33" i="69"/>
  <c r="BL33" i="69"/>
  <c r="BI33" i="69"/>
  <c r="BF33" i="69"/>
  <c r="BC33" i="69"/>
  <c r="AZ33" i="69"/>
  <c r="AW33" i="69"/>
  <c r="AT33" i="69"/>
  <c r="AO33" i="69"/>
  <c r="AQ33" i="69" s="1"/>
  <c r="AL33" i="69"/>
  <c r="AN33" i="69" s="1"/>
  <c r="AK33" i="69"/>
  <c r="AB33" i="69"/>
  <c r="Y33" i="69"/>
  <c r="ED33" i="69" s="1"/>
  <c r="V33" i="69"/>
  <c r="S33" i="69"/>
  <c r="P33" i="69"/>
  <c r="M33" i="69"/>
  <c r="J33" i="69"/>
  <c r="G33" i="69"/>
  <c r="D33" i="69"/>
  <c r="EL32" i="69"/>
  <c r="EK32" i="69"/>
  <c r="EI32" i="69"/>
  <c r="EG32" i="69"/>
  <c r="DW32" i="69"/>
  <c r="DT32" i="69"/>
  <c r="DQ32" i="69"/>
  <c r="DN32" i="69"/>
  <c r="DK32" i="69"/>
  <c r="DH32" i="69"/>
  <c r="DE32" i="69"/>
  <c r="DB32" i="69"/>
  <c r="CY32" i="69"/>
  <c r="CV32" i="69"/>
  <c r="CS32" i="69"/>
  <c r="CP32" i="69"/>
  <c r="CM32" i="69"/>
  <c r="CJ32" i="69"/>
  <c r="CG32" i="69"/>
  <c r="CD32" i="69"/>
  <c r="CA32" i="69"/>
  <c r="BX32" i="69"/>
  <c r="BU32" i="69"/>
  <c r="BR32" i="69"/>
  <c r="BO32" i="69"/>
  <c r="BL32" i="69"/>
  <c r="BI32" i="69"/>
  <c r="BF32" i="69"/>
  <c r="BC32" i="69"/>
  <c r="AZ32" i="69"/>
  <c r="AW32" i="69"/>
  <c r="AT32" i="69"/>
  <c r="AO32" i="69"/>
  <c r="AQ32" i="69" s="1"/>
  <c r="AL32" i="69"/>
  <c r="EB32" i="69" s="1"/>
  <c r="AI32" i="69"/>
  <c r="AK32" i="69" s="1"/>
  <c r="AB32" i="69"/>
  <c r="Y32" i="69"/>
  <c r="V32" i="69"/>
  <c r="S32" i="69"/>
  <c r="EH32" i="69" s="1"/>
  <c r="P32" i="69"/>
  <c r="M32" i="69"/>
  <c r="J32" i="69"/>
  <c r="G32" i="69"/>
  <c r="D32" i="69"/>
  <c r="EL31" i="69"/>
  <c r="EG31" i="69"/>
  <c r="EI31" i="69" s="1"/>
  <c r="EB31" i="69"/>
  <c r="DW31" i="69"/>
  <c r="DT31" i="69"/>
  <c r="DQ31" i="69"/>
  <c r="DN31" i="69"/>
  <c r="DK31" i="69"/>
  <c r="DH31" i="69"/>
  <c r="DE31" i="69"/>
  <c r="DB31" i="69"/>
  <c r="CY31" i="69"/>
  <c r="CV31" i="69"/>
  <c r="CS31" i="69"/>
  <c r="CP31" i="69"/>
  <c r="CM31" i="69"/>
  <c r="CJ31" i="69"/>
  <c r="CG31" i="69"/>
  <c r="CD31" i="69"/>
  <c r="CA31" i="69"/>
  <c r="BX31" i="69"/>
  <c r="BU31" i="69"/>
  <c r="BR31" i="69"/>
  <c r="BO31" i="69"/>
  <c r="BL31" i="69"/>
  <c r="BI31" i="69"/>
  <c r="BF31" i="69"/>
  <c r="BC31" i="69"/>
  <c r="AZ31" i="69"/>
  <c r="AW31" i="69"/>
  <c r="AT31" i="69"/>
  <c r="AO31" i="69"/>
  <c r="AQ31" i="69" s="1"/>
  <c r="AL31" i="69"/>
  <c r="EK31" i="69" s="1"/>
  <c r="AK31" i="69"/>
  <c r="AI31" i="69"/>
  <c r="AB31" i="69"/>
  <c r="EH31" i="69" s="1"/>
  <c r="Y31" i="69"/>
  <c r="V31" i="69"/>
  <c r="S31" i="69"/>
  <c r="P31" i="69"/>
  <c r="M31" i="69"/>
  <c r="J31" i="69"/>
  <c r="G31" i="69"/>
  <c r="D31" i="69"/>
  <c r="EL30" i="69"/>
  <c r="EG30" i="69"/>
  <c r="EI30" i="69" s="1"/>
  <c r="DW30" i="69"/>
  <c r="DT30" i="69"/>
  <c r="DQ30" i="69"/>
  <c r="DN30" i="69"/>
  <c r="DK30" i="69"/>
  <c r="DH30" i="69"/>
  <c r="DE30" i="69"/>
  <c r="DB30" i="69"/>
  <c r="CY30" i="69"/>
  <c r="CV30" i="69"/>
  <c r="CS30" i="69"/>
  <c r="CP30" i="69"/>
  <c r="CM30" i="69"/>
  <c r="CJ30" i="69"/>
  <c r="CG30" i="69"/>
  <c r="CD30" i="69"/>
  <c r="CA30" i="69"/>
  <c r="BX30" i="69"/>
  <c r="BU30" i="69"/>
  <c r="BR30" i="69"/>
  <c r="BO30" i="69"/>
  <c r="BL30" i="69"/>
  <c r="BI30" i="69"/>
  <c r="BF30" i="69"/>
  <c r="BC30" i="69"/>
  <c r="AZ30" i="69"/>
  <c r="AW30" i="69"/>
  <c r="AT30" i="69"/>
  <c r="AO30" i="69"/>
  <c r="AQ30" i="69" s="1"/>
  <c r="AL30" i="69"/>
  <c r="AI30" i="69"/>
  <c r="AK30" i="69" s="1"/>
  <c r="AB30" i="69"/>
  <c r="Y30" i="69"/>
  <c r="V30" i="69"/>
  <c r="S30" i="69"/>
  <c r="EH30" i="69" s="1"/>
  <c r="P30" i="69"/>
  <c r="M30" i="69"/>
  <c r="J30" i="69"/>
  <c r="G30" i="69"/>
  <c r="D30" i="69"/>
  <c r="EL29" i="69"/>
  <c r="EK29" i="69"/>
  <c r="EN29" i="69" s="1"/>
  <c r="EI29" i="69"/>
  <c r="EG29" i="69"/>
  <c r="DW29" i="69"/>
  <c r="DT29" i="69"/>
  <c r="DQ29" i="69"/>
  <c r="EM29" i="69" s="1"/>
  <c r="DN29" i="69"/>
  <c r="DK29" i="69"/>
  <c r="DH29" i="69"/>
  <c r="DE29" i="69"/>
  <c r="DB29" i="69"/>
  <c r="CY29" i="69"/>
  <c r="CV29" i="69"/>
  <c r="CS29" i="69"/>
  <c r="CP29" i="69"/>
  <c r="CM29" i="69"/>
  <c r="CJ29" i="69"/>
  <c r="CG29" i="69"/>
  <c r="CD29" i="69"/>
  <c r="CA29" i="69"/>
  <c r="BX29" i="69"/>
  <c r="BU29" i="69"/>
  <c r="BR29" i="69"/>
  <c r="BO29" i="69"/>
  <c r="BL29" i="69"/>
  <c r="BI29" i="69"/>
  <c r="BF29" i="69"/>
  <c r="BC29" i="69"/>
  <c r="AZ29" i="69"/>
  <c r="AW29" i="69"/>
  <c r="AT29" i="69"/>
  <c r="AQ29" i="69"/>
  <c r="AO29" i="69"/>
  <c r="AN29" i="69"/>
  <c r="AL29" i="69"/>
  <c r="AK29" i="69"/>
  <c r="AB29" i="69"/>
  <c r="Y29" i="69"/>
  <c r="V29" i="69"/>
  <c r="S29" i="69"/>
  <c r="EH29" i="69" s="1"/>
  <c r="P29" i="69"/>
  <c r="M29" i="69"/>
  <c r="J29" i="69"/>
  <c r="G29" i="69"/>
  <c r="EL28" i="69"/>
  <c r="EG28" i="69"/>
  <c r="EI28" i="69" s="1"/>
  <c r="DW28" i="69"/>
  <c r="DT28" i="69"/>
  <c r="DQ28" i="69"/>
  <c r="DN28" i="69"/>
  <c r="DK28" i="69"/>
  <c r="DH28" i="69"/>
  <c r="DE28" i="69"/>
  <c r="DB28" i="69"/>
  <c r="CY28" i="69"/>
  <c r="CV28" i="69"/>
  <c r="CS28" i="69"/>
  <c r="CP28" i="69"/>
  <c r="CM28" i="69"/>
  <c r="CJ28" i="69"/>
  <c r="CG28" i="69"/>
  <c r="CD28" i="69"/>
  <c r="CA28" i="69"/>
  <c r="BX28" i="69"/>
  <c r="BU28" i="69"/>
  <c r="BR28" i="69"/>
  <c r="BO28" i="69"/>
  <c r="BL28" i="69"/>
  <c r="BI28" i="69"/>
  <c r="BF28" i="69"/>
  <c r="BC28" i="69"/>
  <c r="AZ28" i="69"/>
  <c r="AW28" i="69"/>
  <c r="AT28" i="69"/>
  <c r="AO28" i="69"/>
  <c r="AQ28" i="69" s="1"/>
  <c r="AL28" i="69"/>
  <c r="AN28" i="69" s="1"/>
  <c r="AI28" i="69"/>
  <c r="AK28" i="69" s="1"/>
  <c r="EH28" i="69"/>
  <c r="AB28" i="69"/>
  <c r="Y28" i="69"/>
  <c r="V28" i="69"/>
  <c r="S28" i="69"/>
  <c r="P28" i="69"/>
  <c r="M28" i="69"/>
  <c r="J28" i="69"/>
  <c r="G28" i="69"/>
  <c r="EB28" i="69"/>
  <c r="EL27" i="69"/>
  <c r="EG27" i="69"/>
  <c r="EI27" i="69" s="1"/>
  <c r="DW27" i="69"/>
  <c r="DT27" i="69"/>
  <c r="DQ27" i="69"/>
  <c r="DN27" i="69"/>
  <c r="DK27" i="69"/>
  <c r="DH27" i="69"/>
  <c r="DE27" i="69"/>
  <c r="DB27" i="69"/>
  <c r="CY27" i="69"/>
  <c r="CV27" i="69"/>
  <c r="CS27" i="69"/>
  <c r="CP27" i="69"/>
  <c r="CM27" i="69"/>
  <c r="CJ27" i="69"/>
  <c r="CG27" i="69"/>
  <c r="CD27" i="69"/>
  <c r="CA27" i="69"/>
  <c r="BX27" i="69"/>
  <c r="BU27" i="69"/>
  <c r="BR27" i="69"/>
  <c r="BO27" i="69"/>
  <c r="BL27" i="69"/>
  <c r="BI27" i="69"/>
  <c r="BF27" i="69"/>
  <c r="BC27" i="69"/>
  <c r="AZ27" i="69"/>
  <c r="AW27" i="69"/>
  <c r="AT27" i="69"/>
  <c r="AO27" i="69"/>
  <c r="AL27" i="69"/>
  <c r="AN27" i="69" s="1"/>
  <c r="AI27" i="69"/>
  <c r="AK27" i="69" s="1"/>
  <c r="AB27" i="69"/>
  <c r="Y27" i="69"/>
  <c r="V27" i="69"/>
  <c r="S27" i="69"/>
  <c r="P27" i="69"/>
  <c r="M27" i="69"/>
  <c r="J27" i="69"/>
  <c r="G27" i="69"/>
  <c r="EB27" i="69"/>
  <c r="EL26" i="69"/>
  <c r="EG26" i="69"/>
  <c r="EI26" i="69" s="1"/>
  <c r="DW26" i="69"/>
  <c r="DT26" i="69"/>
  <c r="DQ26" i="69"/>
  <c r="DN26" i="69"/>
  <c r="DK26" i="69"/>
  <c r="DH26" i="69"/>
  <c r="DE26" i="69"/>
  <c r="DB26" i="69"/>
  <c r="CY26" i="69"/>
  <c r="CV26" i="69"/>
  <c r="CS26" i="69"/>
  <c r="CP26" i="69"/>
  <c r="CM26" i="69"/>
  <c r="CJ26" i="69"/>
  <c r="CG26" i="69"/>
  <c r="CD26" i="69"/>
  <c r="CA26" i="69"/>
  <c r="BX26" i="69"/>
  <c r="BU26" i="69"/>
  <c r="BR26" i="69"/>
  <c r="BO26" i="69"/>
  <c r="BL26" i="69"/>
  <c r="BI26" i="69"/>
  <c r="BF26" i="69"/>
  <c r="BC26" i="69"/>
  <c r="AZ26" i="69"/>
  <c r="AW26" i="69"/>
  <c r="AR26" i="69"/>
  <c r="AT26" i="69" s="1"/>
  <c r="AO26" i="69"/>
  <c r="AQ26" i="69" s="1"/>
  <c r="AL26" i="69"/>
  <c r="AN26" i="69" s="1"/>
  <c r="AI26" i="69"/>
  <c r="AK26" i="69" s="1"/>
  <c r="AB26" i="69"/>
  <c r="Y26" i="69"/>
  <c r="EH26" i="69" s="1"/>
  <c r="V26" i="69"/>
  <c r="S26" i="69"/>
  <c r="P26" i="69"/>
  <c r="M26" i="69"/>
  <c r="J26" i="69"/>
  <c r="G26" i="69"/>
  <c r="D26" i="69"/>
  <c r="ED26" i="69" s="1"/>
  <c r="EL25" i="69"/>
  <c r="EG25" i="69"/>
  <c r="EI25" i="69" s="1"/>
  <c r="EB25" i="69"/>
  <c r="DW25" i="69"/>
  <c r="DT25" i="69"/>
  <c r="EM25" i="69" s="1"/>
  <c r="DQ25" i="69"/>
  <c r="DN25" i="69"/>
  <c r="DK25" i="69"/>
  <c r="DH25" i="69"/>
  <c r="DE25" i="69"/>
  <c r="DB25" i="69"/>
  <c r="CY25" i="69"/>
  <c r="CV25" i="69"/>
  <c r="CS25" i="69"/>
  <c r="CP25" i="69"/>
  <c r="CM25" i="69"/>
  <c r="CJ25" i="69"/>
  <c r="CG25" i="69"/>
  <c r="CD25" i="69"/>
  <c r="CA25" i="69"/>
  <c r="BX25" i="69"/>
  <c r="BU25" i="69"/>
  <c r="BR25" i="69"/>
  <c r="BO25" i="69"/>
  <c r="BL25" i="69"/>
  <c r="BI25" i="69"/>
  <c r="BF25" i="69"/>
  <c r="BC25" i="69"/>
  <c r="AZ25" i="69"/>
  <c r="AW25" i="69"/>
  <c r="AR25" i="69"/>
  <c r="AT25" i="69" s="1"/>
  <c r="AQ25" i="69"/>
  <c r="AO25" i="69"/>
  <c r="AL25" i="69"/>
  <c r="AN25" i="69" s="1"/>
  <c r="AI25" i="69"/>
  <c r="AK25" i="69" s="1"/>
  <c r="AB25" i="69"/>
  <c r="Y25" i="69"/>
  <c r="EH25" i="69" s="1"/>
  <c r="V25" i="69"/>
  <c r="S25" i="69"/>
  <c r="P25" i="69"/>
  <c r="M25" i="69"/>
  <c r="J25" i="69"/>
  <c r="G25" i="69"/>
  <c r="D25" i="69"/>
  <c r="EL24" i="69"/>
  <c r="EI24" i="69"/>
  <c r="EH24" i="69"/>
  <c r="EG24" i="69"/>
  <c r="DW24" i="69"/>
  <c r="DT24" i="69"/>
  <c r="DQ24" i="69"/>
  <c r="DN24" i="69"/>
  <c r="DK24" i="69"/>
  <c r="DH24" i="69"/>
  <c r="DE24" i="69"/>
  <c r="DB24" i="69"/>
  <c r="CY24" i="69"/>
  <c r="CV24" i="69"/>
  <c r="CS24" i="69"/>
  <c r="CP24" i="69"/>
  <c r="CM24" i="69"/>
  <c r="CJ24" i="69"/>
  <c r="CG24" i="69"/>
  <c r="CD24" i="69"/>
  <c r="CA24" i="69"/>
  <c r="BX24" i="69"/>
  <c r="BU24" i="69"/>
  <c r="BR24" i="69"/>
  <c r="BO24" i="69"/>
  <c r="BL24" i="69"/>
  <c r="BI24" i="69"/>
  <c r="BF24" i="69"/>
  <c r="BC24" i="69"/>
  <c r="AZ24" i="69"/>
  <c r="AW24" i="69"/>
  <c r="AR24" i="69"/>
  <c r="AT24" i="69" s="1"/>
  <c r="AO24" i="69"/>
  <c r="EB24" i="69" s="1"/>
  <c r="AN24" i="69"/>
  <c r="AL24" i="69"/>
  <c r="AI24" i="69"/>
  <c r="AK24" i="69" s="1"/>
  <c r="AB24" i="69"/>
  <c r="Y24" i="69"/>
  <c r="V24" i="69"/>
  <c r="S24" i="69"/>
  <c r="P24" i="69"/>
  <c r="M24" i="69"/>
  <c r="J24" i="69"/>
  <c r="G24" i="69"/>
  <c r="D24" i="69"/>
  <c r="EL23" i="69"/>
  <c r="EH23" i="69"/>
  <c r="EG23" i="69"/>
  <c r="EI23" i="69" s="1"/>
  <c r="DW23" i="69"/>
  <c r="DT23" i="69"/>
  <c r="DQ23" i="69"/>
  <c r="DN23" i="69"/>
  <c r="DK23" i="69"/>
  <c r="DH23" i="69"/>
  <c r="DE23" i="69"/>
  <c r="DB23" i="69"/>
  <c r="CY23" i="69"/>
  <c r="CV23" i="69"/>
  <c r="CS23" i="69"/>
  <c r="CP23" i="69"/>
  <c r="CM23" i="69"/>
  <c r="CJ23" i="69"/>
  <c r="CG23" i="69"/>
  <c r="CD23" i="69"/>
  <c r="CA23" i="69"/>
  <c r="BX23" i="69"/>
  <c r="BU23" i="69"/>
  <c r="BR23" i="69"/>
  <c r="BO23" i="69"/>
  <c r="BL23" i="69"/>
  <c r="BI23" i="69"/>
  <c r="BF23" i="69"/>
  <c r="BC23" i="69"/>
  <c r="AZ23" i="69"/>
  <c r="AW23" i="69"/>
  <c r="AR23" i="69"/>
  <c r="AT23" i="69" s="1"/>
  <c r="AO23" i="69"/>
  <c r="AQ23" i="69" s="1"/>
  <c r="AL23" i="69"/>
  <c r="EB23" i="69" s="1"/>
  <c r="AK23" i="69"/>
  <c r="AI23" i="69"/>
  <c r="AB23" i="69"/>
  <c r="Y23" i="69"/>
  <c r="V23" i="69"/>
  <c r="S23" i="69"/>
  <c r="P23" i="69"/>
  <c r="M23" i="69"/>
  <c r="J23" i="69"/>
  <c r="G23" i="69"/>
  <c r="D23" i="69"/>
  <c r="EL22" i="69"/>
  <c r="EG22" i="69"/>
  <c r="EI22" i="69" s="1"/>
  <c r="DW22" i="69"/>
  <c r="DT22" i="69"/>
  <c r="DQ22" i="69"/>
  <c r="DN22" i="69"/>
  <c r="DK22" i="69"/>
  <c r="DH22" i="69"/>
  <c r="DE22" i="69"/>
  <c r="DE41" i="69" s="1"/>
  <c r="DB22" i="69"/>
  <c r="DB41" i="69" s="1"/>
  <c r="CY22" i="69"/>
  <c r="CV22" i="69"/>
  <c r="CS22" i="69"/>
  <c r="CP22" i="69"/>
  <c r="CM22" i="69"/>
  <c r="CJ22" i="69"/>
  <c r="CG22" i="69"/>
  <c r="CD22" i="69"/>
  <c r="CA22" i="69"/>
  <c r="BX22" i="69"/>
  <c r="BU22" i="69"/>
  <c r="BR22" i="69"/>
  <c r="BR41" i="69" s="1"/>
  <c r="BO22" i="69"/>
  <c r="BL22" i="69"/>
  <c r="BI22" i="69"/>
  <c r="BF22" i="69"/>
  <c r="BC22" i="69"/>
  <c r="AZ22" i="69"/>
  <c r="AW22" i="69"/>
  <c r="AT22" i="69"/>
  <c r="AO22" i="69"/>
  <c r="AL22" i="69"/>
  <c r="AN22" i="69" s="1"/>
  <c r="AI22" i="69"/>
  <c r="AK22" i="69" s="1"/>
  <c r="EH22" i="69"/>
  <c r="AB22" i="69"/>
  <c r="Y22" i="69"/>
  <c r="V22" i="69"/>
  <c r="S22" i="69"/>
  <c r="P22" i="69"/>
  <c r="M22" i="69"/>
  <c r="J22" i="69"/>
  <c r="G22" i="69"/>
  <c r="EB22" i="69"/>
  <c r="EL21" i="69"/>
  <c r="EG21" i="69"/>
  <c r="EI21" i="69" s="1"/>
  <c r="EB21" i="69"/>
  <c r="DW21" i="69"/>
  <c r="DT21" i="69"/>
  <c r="DQ21" i="69"/>
  <c r="DN21" i="69"/>
  <c r="DK21" i="69"/>
  <c r="DH21" i="69"/>
  <c r="DE21" i="69"/>
  <c r="DB21" i="69"/>
  <c r="CY21" i="69"/>
  <c r="CV21" i="69"/>
  <c r="CS21" i="69"/>
  <c r="CP21" i="69"/>
  <c r="CM21" i="69"/>
  <c r="CJ21" i="69"/>
  <c r="CG21" i="69"/>
  <c r="CD21" i="69"/>
  <c r="CA21" i="69"/>
  <c r="BX21" i="69"/>
  <c r="BU21" i="69"/>
  <c r="BR21" i="69"/>
  <c r="BO21" i="69"/>
  <c r="BL21" i="69"/>
  <c r="BI21" i="69"/>
  <c r="BF21" i="69"/>
  <c r="BC21" i="69"/>
  <c r="AZ21" i="69"/>
  <c r="AW21" i="69"/>
  <c r="AT21" i="69"/>
  <c r="AO21" i="69"/>
  <c r="AL21" i="69"/>
  <c r="AN21" i="69" s="1"/>
  <c r="AI21" i="69"/>
  <c r="AK21" i="69" s="1"/>
  <c r="AB21" i="69"/>
  <c r="Y21" i="69"/>
  <c r="V21" i="69"/>
  <c r="S21" i="69"/>
  <c r="EH21" i="69" s="1"/>
  <c r="P21" i="69"/>
  <c r="M21" i="69"/>
  <c r="J21" i="69"/>
  <c r="G21" i="69"/>
  <c r="D21" i="69"/>
  <c r="EL20" i="69"/>
  <c r="EK20" i="69"/>
  <c r="EG20" i="69"/>
  <c r="EI20" i="69" s="1"/>
  <c r="DW20" i="69"/>
  <c r="DT20" i="69"/>
  <c r="DQ20" i="69"/>
  <c r="DN20" i="69"/>
  <c r="DK20" i="69"/>
  <c r="DH20" i="69"/>
  <c r="DE20" i="69"/>
  <c r="DB20" i="69"/>
  <c r="CY20" i="69"/>
  <c r="CV20" i="69"/>
  <c r="CS20" i="69"/>
  <c r="CP20" i="69"/>
  <c r="CM20" i="69"/>
  <c r="CJ20" i="69"/>
  <c r="CG20" i="69"/>
  <c r="CD20" i="69"/>
  <c r="CA20" i="69"/>
  <c r="BX20" i="69"/>
  <c r="BU20" i="69"/>
  <c r="BR20" i="69"/>
  <c r="BO20" i="69"/>
  <c r="BL20" i="69"/>
  <c r="BI20" i="69"/>
  <c r="BF20" i="69"/>
  <c r="BC20" i="69"/>
  <c r="AZ20" i="69"/>
  <c r="AW20" i="69"/>
  <c r="AT20" i="69"/>
  <c r="AQ20" i="69"/>
  <c r="AO20" i="69"/>
  <c r="AL20" i="69"/>
  <c r="AI20" i="69"/>
  <c r="AK20" i="69" s="1"/>
  <c r="AB20" i="69"/>
  <c r="Y20" i="69"/>
  <c r="V20" i="69"/>
  <c r="S20" i="69"/>
  <c r="EH20" i="69" s="1"/>
  <c r="P20" i="69"/>
  <c r="M20" i="69"/>
  <c r="J20" i="69"/>
  <c r="G20" i="69"/>
  <c r="G41" i="69" s="1"/>
  <c r="D20" i="69"/>
  <c r="EL19" i="69"/>
  <c r="EI19" i="69"/>
  <c r="EG19" i="69"/>
  <c r="DW19" i="69"/>
  <c r="DT19" i="69"/>
  <c r="DQ19" i="69"/>
  <c r="DN19" i="69"/>
  <c r="DK19" i="69"/>
  <c r="DH19" i="69"/>
  <c r="DE19" i="69"/>
  <c r="DB19" i="69"/>
  <c r="CY19" i="69"/>
  <c r="CV19" i="69"/>
  <c r="CS19" i="69"/>
  <c r="CP19" i="69"/>
  <c r="CM19" i="69"/>
  <c r="CJ19" i="69"/>
  <c r="CG19" i="69"/>
  <c r="CD19" i="69"/>
  <c r="CA19" i="69"/>
  <c r="BX19" i="69"/>
  <c r="BU19" i="69"/>
  <c r="BR19" i="69"/>
  <c r="BO19" i="69"/>
  <c r="BL19" i="69"/>
  <c r="BI19" i="69"/>
  <c r="BF19" i="69"/>
  <c r="BC19" i="69"/>
  <c r="AZ19" i="69"/>
  <c r="AW19" i="69"/>
  <c r="AR19" i="69"/>
  <c r="AT19" i="69" s="1"/>
  <c r="AQ19" i="69"/>
  <c r="AO19" i="69"/>
  <c r="AL19" i="69"/>
  <c r="AI19" i="69"/>
  <c r="EK19" i="69" s="1"/>
  <c r="AB19" i="69"/>
  <c r="Y19" i="69"/>
  <c r="V19" i="69"/>
  <c r="S19" i="69"/>
  <c r="EH19" i="69" s="1"/>
  <c r="P19" i="69"/>
  <c r="M19" i="69"/>
  <c r="J19" i="69"/>
  <c r="G19" i="69"/>
  <c r="D19" i="69"/>
  <c r="EL18" i="69"/>
  <c r="EI18" i="69"/>
  <c r="EG18" i="69"/>
  <c r="DW18" i="69"/>
  <c r="DT18" i="69"/>
  <c r="DQ18" i="69"/>
  <c r="DN18" i="69"/>
  <c r="DK18" i="69"/>
  <c r="DH18" i="69"/>
  <c r="DE18" i="69"/>
  <c r="DB18" i="69"/>
  <c r="CY18" i="69"/>
  <c r="CV18" i="69"/>
  <c r="CS18" i="69"/>
  <c r="CP18" i="69"/>
  <c r="CM18" i="69"/>
  <c r="CJ18" i="69"/>
  <c r="CG18" i="69"/>
  <c r="CD18" i="69"/>
  <c r="CA18" i="69"/>
  <c r="BX18" i="69"/>
  <c r="BU18" i="69"/>
  <c r="BR18" i="69"/>
  <c r="BO18" i="69"/>
  <c r="BL18" i="69"/>
  <c r="BI18" i="69"/>
  <c r="BF18" i="69"/>
  <c r="BC18" i="69"/>
  <c r="AZ18" i="69"/>
  <c r="AW18" i="69"/>
  <c r="AR18" i="69"/>
  <c r="AT18" i="69" s="1"/>
  <c r="AQ18" i="69"/>
  <c r="AO18" i="69"/>
  <c r="AL18" i="69"/>
  <c r="AI18" i="69"/>
  <c r="AK18" i="69" s="1"/>
  <c r="AB18" i="69"/>
  <c r="Y18" i="69"/>
  <c r="V18" i="69"/>
  <c r="S18" i="69"/>
  <c r="P18" i="69"/>
  <c r="M18" i="69"/>
  <c r="J18" i="69"/>
  <c r="G18" i="69"/>
  <c r="EB18" i="69"/>
  <c r="EL17" i="69"/>
  <c r="EI17" i="69"/>
  <c r="EG17" i="69"/>
  <c r="EB17" i="69"/>
  <c r="DW17" i="69"/>
  <c r="DT17" i="69"/>
  <c r="DQ17" i="69"/>
  <c r="DN17" i="69"/>
  <c r="DK17" i="69"/>
  <c r="DH17" i="69"/>
  <c r="DE17" i="69"/>
  <c r="DB17" i="69"/>
  <c r="CY17" i="69"/>
  <c r="CV17" i="69"/>
  <c r="CS17" i="69"/>
  <c r="CP17" i="69"/>
  <c r="CM17" i="69"/>
  <c r="CJ17" i="69"/>
  <c r="CG17" i="69"/>
  <c r="CD17" i="69"/>
  <c r="CA17" i="69"/>
  <c r="BX17" i="69"/>
  <c r="BU17" i="69"/>
  <c r="BR17" i="69"/>
  <c r="BO17" i="69"/>
  <c r="BL17" i="69"/>
  <c r="BI17" i="69"/>
  <c r="BF17" i="69"/>
  <c r="BC17" i="69"/>
  <c r="AZ17" i="69"/>
  <c r="AW17" i="69"/>
  <c r="AR17" i="69"/>
  <c r="AT17" i="69" s="1"/>
  <c r="AQ17" i="69"/>
  <c r="AO17" i="69"/>
  <c r="AL17" i="69"/>
  <c r="AN17" i="69" s="1"/>
  <c r="AI17" i="69"/>
  <c r="AK17" i="69" s="1"/>
  <c r="AB17" i="69"/>
  <c r="Y17" i="69"/>
  <c r="ED17" i="69" s="1"/>
  <c r="V17" i="69"/>
  <c r="S17" i="69"/>
  <c r="P17" i="69"/>
  <c r="M17" i="69"/>
  <c r="J17" i="69"/>
  <c r="G17" i="69"/>
  <c r="D17" i="69"/>
  <c r="EL16" i="69"/>
  <c r="EI16" i="69"/>
  <c r="EG16" i="69"/>
  <c r="EB16" i="69"/>
  <c r="DW16" i="69"/>
  <c r="DT16" i="69"/>
  <c r="EM16" i="69" s="1"/>
  <c r="DQ16" i="69"/>
  <c r="DN16" i="69"/>
  <c r="DK16" i="69"/>
  <c r="DH16" i="69"/>
  <c r="DE16" i="69"/>
  <c r="DB16" i="69"/>
  <c r="CY16" i="69"/>
  <c r="CV16" i="69"/>
  <c r="CS16" i="69"/>
  <c r="CP16" i="69"/>
  <c r="CM16" i="69"/>
  <c r="CJ16" i="69"/>
  <c r="CG16" i="69"/>
  <c r="CD16" i="69"/>
  <c r="CA16" i="69"/>
  <c r="BX16" i="69"/>
  <c r="BU16" i="69"/>
  <c r="BR16" i="69"/>
  <c r="BO16" i="69"/>
  <c r="BL16" i="69"/>
  <c r="BI16" i="69"/>
  <c r="BF16" i="69"/>
  <c r="BC16" i="69"/>
  <c r="BC41" i="69" s="1"/>
  <c r="AZ16" i="69"/>
  <c r="AZ41" i="69" s="1"/>
  <c r="AW16" i="69"/>
  <c r="AW41" i="69" s="1"/>
  <c r="AT16" i="69"/>
  <c r="AR16" i="69"/>
  <c r="AQ16" i="69"/>
  <c r="AO16" i="69"/>
  <c r="AL16" i="69"/>
  <c r="AN16" i="69" s="1"/>
  <c r="AI16" i="69"/>
  <c r="AK16" i="69" s="1"/>
  <c r="AB16" i="69"/>
  <c r="Y16" i="69"/>
  <c r="V16" i="69"/>
  <c r="S16" i="69"/>
  <c r="EH16" i="69" s="1"/>
  <c r="P16" i="69"/>
  <c r="M16" i="69"/>
  <c r="J16" i="69"/>
  <c r="G16" i="69"/>
  <c r="D16" i="69"/>
  <c r="EL15" i="69"/>
  <c r="EK15" i="69"/>
  <c r="EI15" i="69"/>
  <c r="EG15" i="69"/>
  <c r="DW15" i="69"/>
  <c r="DT15" i="69"/>
  <c r="DQ15" i="69"/>
  <c r="DN15" i="69"/>
  <c r="DK15" i="69"/>
  <c r="DH15" i="69"/>
  <c r="DE15" i="69"/>
  <c r="DB15" i="69"/>
  <c r="CY15" i="69"/>
  <c r="CV15" i="69"/>
  <c r="CS15" i="69"/>
  <c r="CP15" i="69"/>
  <c r="CM15" i="69"/>
  <c r="CJ15" i="69"/>
  <c r="CG15" i="69"/>
  <c r="CD15" i="69"/>
  <c r="CA15" i="69"/>
  <c r="BX15" i="69"/>
  <c r="BU15" i="69"/>
  <c r="BR15" i="69"/>
  <c r="BO15" i="69"/>
  <c r="BL15" i="69"/>
  <c r="BI15" i="69"/>
  <c r="BF15" i="69"/>
  <c r="BC15" i="69"/>
  <c r="AZ15" i="69"/>
  <c r="AW15" i="69"/>
  <c r="AR15" i="69"/>
  <c r="EB15" i="69" s="1"/>
  <c r="AQ15" i="69"/>
  <c r="AO15" i="69"/>
  <c r="AL15" i="69"/>
  <c r="AN15" i="69" s="1"/>
  <c r="AI15" i="69"/>
  <c r="AK15" i="69" s="1"/>
  <c r="AB15" i="69"/>
  <c r="Y15" i="69"/>
  <c r="V15" i="69"/>
  <c r="S15" i="69"/>
  <c r="EH15" i="69" s="1"/>
  <c r="P15" i="69"/>
  <c r="M15" i="69"/>
  <c r="J15" i="69"/>
  <c r="G15" i="69"/>
  <c r="D15" i="69"/>
  <c r="EL14" i="69"/>
  <c r="EI14" i="69"/>
  <c r="EG14" i="69"/>
  <c r="DW14" i="69"/>
  <c r="DT14" i="69"/>
  <c r="DQ14" i="69"/>
  <c r="DN14" i="69"/>
  <c r="DK14" i="69"/>
  <c r="DH14" i="69"/>
  <c r="DE14" i="69"/>
  <c r="DB14" i="69"/>
  <c r="CY14" i="69"/>
  <c r="CV14" i="69"/>
  <c r="CS14" i="69"/>
  <c r="CP14" i="69"/>
  <c r="CM14" i="69"/>
  <c r="CJ14" i="69"/>
  <c r="CG14" i="69"/>
  <c r="CD14" i="69"/>
  <c r="CA14" i="69"/>
  <c r="BX14" i="69"/>
  <c r="BU14" i="69"/>
  <c r="BR14" i="69"/>
  <c r="BO14" i="69"/>
  <c r="BL14" i="69"/>
  <c r="BI14" i="69"/>
  <c r="BF14" i="69"/>
  <c r="BC14" i="69"/>
  <c r="AZ14" i="69"/>
  <c r="AW14" i="69"/>
  <c r="AR14" i="69"/>
  <c r="EK14" i="69" s="1"/>
  <c r="AQ14" i="69"/>
  <c r="AO14" i="69"/>
  <c r="AL14" i="69"/>
  <c r="AI14" i="69"/>
  <c r="AK14" i="69" s="1"/>
  <c r="AB14" i="69"/>
  <c r="Y14" i="69"/>
  <c r="V14" i="69"/>
  <c r="S14" i="69"/>
  <c r="EH14" i="69" s="1"/>
  <c r="P14" i="69"/>
  <c r="M14" i="69"/>
  <c r="J14" i="69"/>
  <c r="G14" i="69"/>
  <c r="D14" i="69"/>
  <c r="EL13" i="69"/>
  <c r="EI13" i="69"/>
  <c r="EG13" i="69"/>
  <c r="DW13" i="69"/>
  <c r="DT13" i="69"/>
  <c r="DQ13" i="69"/>
  <c r="DN13" i="69"/>
  <c r="DK13" i="69"/>
  <c r="DH13" i="69"/>
  <c r="DH41" i="69" s="1"/>
  <c r="DE13" i="69"/>
  <c r="DB13" i="69"/>
  <c r="CY13" i="69"/>
  <c r="CV13" i="69"/>
  <c r="CS13" i="69"/>
  <c r="CP13" i="69"/>
  <c r="CM13" i="69"/>
  <c r="CJ13" i="69"/>
  <c r="CG13" i="69"/>
  <c r="CD13" i="69"/>
  <c r="CA13" i="69"/>
  <c r="BX13" i="69"/>
  <c r="BU13" i="69"/>
  <c r="BR13" i="69"/>
  <c r="BO13" i="69"/>
  <c r="BL13" i="69"/>
  <c r="BI13" i="69"/>
  <c r="BF13" i="69"/>
  <c r="BC13" i="69"/>
  <c r="AZ13" i="69"/>
  <c r="AW13" i="69"/>
  <c r="AR13" i="69"/>
  <c r="AT13" i="69" s="1"/>
  <c r="AQ13" i="69"/>
  <c r="AO13" i="69"/>
  <c r="AL13" i="69"/>
  <c r="AI13" i="69"/>
  <c r="EK13" i="69" s="1"/>
  <c r="AB13" i="69"/>
  <c r="Y13" i="69"/>
  <c r="V13" i="69"/>
  <c r="S13" i="69"/>
  <c r="EH13" i="69" s="1"/>
  <c r="P13" i="69"/>
  <c r="M13" i="69"/>
  <c r="J13" i="69"/>
  <c r="G13" i="69"/>
  <c r="D13" i="69"/>
  <c r="EL12" i="69"/>
  <c r="EI12" i="69"/>
  <c r="EG12" i="69"/>
  <c r="EB12" i="69"/>
  <c r="DW12" i="69"/>
  <c r="DT12" i="69"/>
  <c r="DQ12" i="69"/>
  <c r="DN12" i="69"/>
  <c r="DK12" i="69"/>
  <c r="DH12" i="69"/>
  <c r="DE12" i="69"/>
  <c r="DB12" i="69"/>
  <c r="CY12" i="69"/>
  <c r="CV12" i="69"/>
  <c r="CS12" i="69"/>
  <c r="CP12" i="69"/>
  <c r="CM12" i="69"/>
  <c r="CJ12" i="69"/>
  <c r="CG12" i="69"/>
  <c r="CD12" i="69"/>
  <c r="CA12" i="69"/>
  <c r="BX12" i="69"/>
  <c r="BU12" i="69"/>
  <c r="BR12" i="69"/>
  <c r="BO12" i="69"/>
  <c r="BL12" i="69"/>
  <c r="BI12" i="69"/>
  <c r="BF12" i="69"/>
  <c r="BC12" i="69"/>
  <c r="AZ12" i="69"/>
  <c r="AW12" i="69"/>
  <c r="AR12" i="69"/>
  <c r="AT12" i="69" s="1"/>
  <c r="AQ12" i="69"/>
  <c r="AO12" i="69"/>
  <c r="AL12" i="69"/>
  <c r="AI12" i="69"/>
  <c r="AK12" i="69" s="1"/>
  <c r="AB12" i="69"/>
  <c r="Y12" i="69"/>
  <c r="V12" i="69"/>
  <c r="S12" i="69"/>
  <c r="P12" i="69"/>
  <c r="M12" i="69"/>
  <c r="J12" i="69"/>
  <c r="G12" i="69"/>
  <c r="D12" i="69"/>
  <c r="A12" i="69"/>
  <c r="A13" i="69" s="1"/>
  <c r="A14" i="69" s="1"/>
  <c r="A15" i="69" s="1"/>
  <c r="A16" i="69" s="1"/>
  <c r="A17" i="69" s="1"/>
  <c r="A18" i="69" s="1"/>
  <c r="A19" i="69" s="1"/>
  <c r="A20" i="69" s="1"/>
  <c r="A21" i="69" s="1"/>
  <c r="A22" i="69" s="1"/>
  <c r="A23" i="69" s="1"/>
  <c r="A24" i="69" s="1"/>
  <c r="A25" i="69" s="1"/>
  <c r="A26" i="69" s="1"/>
  <c r="A27" i="69" s="1"/>
  <c r="A28" i="69" s="1"/>
  <c r="A29" i="69" s="1"/>
  <c r="A30" i="69" s="1"/>
  <c r="A31" i="69" s="1"/>
  <c r="A32" i="69" s="1"/>
  <c r="A33" i="69" s="1"/>
  <c r="A34" i="69" s="1"/>
  <c r="A35" i="69" s="1"/>
  <c r="A36" i="69" s="1"/>
  <c r="A37" i="69" s="1"/>
  <c r="A38" i="69" s="1"/>
  <c r="A39" i="69" s="1"/>
  <c r="A40" i="69" s="1"/>
  <c r="EL11" i="69"/>
  <c r="EI11" i="69"/>
  <c r="EG11" i="69"/>
  <c r="DW11" i="69"/>
  <c r="DT11" i="69"/>
  <c r="DQ11" i="69"/>
  <c r="DN11" i="69"/>
  <c r="DK11" i="69"/>
  <c r="DH11" i="69"/>
  <c r="DE11" i="69"/>
  <c r="DB11" i="69"/>
  <c r="CY11" i="69"/>
  <c r="CV11" i="69"/>
  <c r="CS11" i="69"/>
  <c r="CP11" i="69"/>
  <c r="CP41" i="69" s="1"/>
  <c r="CM11" i="69"/>
  <c r="CM41" i="69" s="1"/>
  <c r="CJ11" i="69"/>
  <c r="CJ41" i="69" s="1"/>
  <c r="CG11" i="69"/>
  <c r="CD11" i="69"/>
  <c r="CA11" i="69"/>
  <c r="BX11" i="69"/>
  <c r="BU11" i="69"/>
  <c r="BR11" i="69"/>
  <c r="BO11" i="69"/>
  <c r="BL11" i="69"/>
  <c r="BI11" i="69"/>
  <c r="BF11" i="69"/>
  <c r="BC11" i="69"/>
  <c r="AZ11" i="69"/>
  <c r="AW11" i="69"/>
  <c r="AR11" i="69"/>
  <c r="AT11" i="69" s="1"/>
  <c r="AQ11" i="69"/>
  <c r="AO11" i="69"/>
  <c r="AL11" i="69"/>
  <c r="AN11" i="69" s="1"/>
  <c r="AI11" i="69"/>
  <c r="AK11" i="69" s="1"/>
  <c r="AB11" i="69"/>
  <c r="Y11" i="69"/>
  <c r="V11" i="69"/>
  <c r="S11" i="69"/>
  <c r="P11" i="69"/>
  <c r="M11" i="69"/>
  <c r="J11" i="69"/>
  <c r="G11" i="69"/>
  <c r="D11" i="69"/>
  <c r="EM32" i="69" l="1"/>
  <c r="AT41" i="69"/>
  <c r="EE28" i="69"/>
  <c r="EC37" i="69"/>
  <c r="EE37" i="69"/>
  <c r="EE27" i="69"/>
  <c r="EN32" i="69"/>
  <c r="AK41" i="69"/>
  <c r="ED14" i="69"/>
  <c r="EM19" i="69"/>
  <c r="EN19" i="69" s="1"/>
  <c r="AQ35" i="69"/>
  <c r="EM35" i="69" s="1"/>
  <c r="EB35" i="69"/>
  <c r="DK41" i="69"/>
  <c r="AN14" i="69"/>
  <c r="EB14" i="69"/>
  <c r="P41" i="69"/>
  <c r="DN41" i="69"/>
  <c r="D22" i="69"/>
  <c r="ED22" i="69" s="1"/>
  <c r="EE22" i="69" s="1"/>
  <c r="CA41" i="69"/>
  <c r="DQ41" i="69"/>
  <c r="D18" i="69"/>
  <c r="D27" i="69"/>
  <c r="ED27" i="69" s="1"/>
  <c r="AN32" i="69"/>
  <c r="EM17" i="69"/>
  <c r="AN18" i="69"/>
  <c r="EK18" i="69"/>
  <c r="EM30" i="69"/>
  <c r="EM37" i="69"/>
  <c r="CG41" i="69"/>
  <c r="AT14" i="69"/>
  <c r="EK27" i="69"/>
  <c r="EC15" i="69"/>
  <c r="EE17" i="69"/>
  <c r="EI3" i="69"/>
  <c r="EI4" i="69" s="1"/>
  <c r="DW41" i="69"/>
  <c r="AT15" i="69"/>
  <c r="EM15" i="69" s="1"/>
  <c r="EN15" i="69" s="1"/>
  <c r="EC17" i="69"/>
  <c r="EM18" i="69"/>
  <c r="AN23" i="69"/>
  <c r="EB26" i="69"/>
  <c r="EN34" i="69"/>
  <c r="BF41" i="69"/>
  <c r="AK19" i="69"/>
  <c r="ED19" i="69" s="1"/>
  <c r="M41" i="69"/>
  <c r="BI41" i="69"/>
  <c r="CS41" i="69"/>
  <c r="EM12" i="69"/>
  <c r="AN19" i="69"/>
  <c r="EB19" i="69"/>
  <c r="EM33" i="69"/>
  <c r="ED35" i="69"/>
  <c r="AE41" i="69"/>
  <c r="BL41" i="69"/>
  <c r="CV41" i="69"/>
  <c r="ED11" i="69"/>
  <c r="AK13" i="69"/>
  <c r="ED13" i="69" s="1"/>
  <c r="ED25" i="69"/>
  <c r="EE25" i="69" s="1"/>
  <c r="EK35" i="69"/>
  <c r="BX41" i="69"/>
  <c r="BU41" i="69"/>
  <c r="EC32" i="69"/>
  <c r="AQ40" i="69"/>
  <c r="ED40" i="69" s="1"/>
  <c r="EB40" i="69"/>
  <c r="EM22" i="69"/>
  <c r="D37" i="69"/>
  <c r="ED37" i="69" s="1"/>
  <c r="CD41" i="69"/>
  <c r="V41" i="69"/>
  <c r="ED23" i="69"/>
  <c r="EE23" i="69" s="1"/>
  <c r="EM26" i="69"/>
  <c r="EM36" i="69"/>
  <c r="EM11" i="69"/>
  <c r="DT41" i="69"/>
  <c r="AN12" i="69"/>
  <c r="ED12" i="69" s="1"/>
  <c r="EE12" i="69" s="1"/>
  <c r="EK12" i="69"/>
  <c r="EN12" i="69" s="1"/>
  <c r="ED16" i="69"/>
  <c r="EE16" i="69" s="1"/>
  <c r="EC23" i="69"/>
  <c r="D28" i="69"/>
  <c r="ED28" i="69" s="1"/>
  <c r="D38" i="69"/>
  <c r="ED38" i="69" s="1"/>
  <c r="EE38" i="69" s="1"/>
  <c r="EM34" i="69"/>
  <c r="EE36" i="69"/>
  <c r="Y41" i="69"/>
  <c r="EB11" i="69"/>
  <c r="EC21" i="69"/>
  <c r="EM23" i="69"/>
  <c r="EC31" i="69"/>
  <c r="D34" i="69"/>
  <c r="ED34" i="69" s="1"/>
  <c r="EE34" i="69" s="1"/>
  <c r="EM38" i="69"/>
  <c r="AB41" i="69"/>
  <c r="EH33" i="69"/>
  <c r="ED39" i="69"/>
  <c r="AH41" i="69"/>
  <c r="AN13" i="69"/>
  <c r="EM13" i="69" s="1"/>
  <c r="EN13" i="69" s="1"/>
  <c r="EB13" i="69"/>
  <c r="AN20" i="69"/>
  <c r="EM20" i="69" s="1"/>
  <c r="EN20" i="69" s="1"/>
  <c r="EB20" i="69"/>
  <c r="AQ24" i="69"/>
  <c r="ED24" i="69" s="1"/>
  <c r="EE24" i="69" s="1"/>
  <c r="EH27" i="69"/>
  <c r="EE33" i="69"/>
  <c r="EH37" i="69"/>
  <c r="EB39" i="69"/>
  <c r="BO41" i="69"/>
  <c r="CY41" i="69"/>
  <c r="EK22" i="69"/>
  <c r="AQ22" i="69"/>
  <c r="EC25" i="69"/>
  <c r="EK28" i="69"/>
  <c r="AN31" i="69"/>
  <c r="ED31" i="69" s="1"/>
  <c r="EE31" i="69" s="1"/>
  <c r="EH12" i="69"/>
  <c r="EK17" i="69"/>
  <c r="AQ27" i="69"/>
  <c r="EB30" i="69"/>
  <c r="EK33" i="69"/>
  <c r="AN30" i="69"/>
  <c r="ED30" i="69" s="1"/>
  <c r="S41" i="69"/>
  <c r="EK11" i="69"/>
  <c r="EH18" i="69"/>
  <c r="EM28" i="69"/>
  <c r="EH34" i="69"/>
  <c r="EB29" i="69"/>
  <c r="EK30" i="69"/>
  <c r="EN30" i="69" s="1"/>
  <c r="EI2" i="69"/>
  <c r="EI40" i="69"/>
  <c r="EI5" i="69"/>
  <c r="EH11" i="69"/>
  <c r="EK16" i="69"/>
  <c r="EN16" i="69" s="1"/>
  <c r="EH17" i="69"/>
  <c r="EK21" i="69"/>
  <c r="EM27" i="69"/>
  <c r="D29" i="69"/>
  <c r="ED29" i="69" s="1"/>
  <c r="ED32" i="69"/>
  <c r="EE32" i="69" s="1"/>
  <c r="EK23" i="69"/>
  <c r="EN23" i="69" s="1"/>
  <c r="EK24" i="69"/>
  <c r="EK25" i="69"/>
  <c r="EN25" i="69" s="1"/>
  <c r="EK26" i="69"/>
  <c r="EK36" i="69"/>
  <c r="EK37" i="69"/>
  <c r="EK38" i="69"/>
  <c r="EK39" i="69"/>
  <c r="EN39" i="69" s="1"/>
  <c r="EK40" i="69"/>
  <c r="AQ21" i="69"/>
  <c r="ED21" i="69" s="1"/>
  <c r="EE21" i="69" s="1"/>
  <c r="EC19" i="69" l="1"/>
  <c r="EE19" i="69"/>
  <c r="EE29" i="69"/>
  <c r="EC29" i="69"/>
  <c r="EE2" i="69"/>
  <c r="EQ2" i="69" s="1"/>
  <c r="G4" i="69" s="1"/>
  <c r="EE40" i="69"/>
  <c r="EC40" i="69"/>
  <c r="EC24" i="69"/>
  <c r="EN28" i="69"/>
  <c r="EC28" i="69"/>
  <c r="EN18" i="69"/>
  <c r="EM40" i="69"/>
  <c r="ED20" i="69"/>
  <c r="AQ41" i="69"/>
  <c r="EC13" i="69"/>
  <c r="EE13" i="69"/>
  <c r="EE5" i="69"/>
  <c r="G7" i="69" s="1"/>
  <c r="EE11" i="69"/>
  <c r="EC11" i="69"/>
  <c r="EE3" i="69"/>
  <c r="EN2" i="69"/>
  <c r="EP2" i="69" s="1"/>
  <c r="EN40" i="69"/>
  <c r="EN11" i="69"/>
  <c r="EN5" i="69"/>
  <c r="EN3" i="69"/>
  <c r="EN22" i="69"/>
  <c r="EC12" i="69"/>
  <c r="ED15" i="69"/>
  <c r="EE15" i="69" s="1"/>
  <c r="EM31" i="69"/>
  <c r="EN31" i="69" s="1"/>
  <c r="EE14" i="69"/>
  <c r="EC14" i="69"/>
  <c r="EM24" i="69"/>
  <c r="EN24" i="69" s="1"/>
  <c r="EN38" i="69"/>
  <c r="EC38" i="69"/>
  <c r="EN37" i="69"/>
  <c r="EH41" i="69"/>
  <c r="EN33" i="69"/>
  <c r="EC33" i="69"/>
  <c r="EN35" i="69"/>
  <c r="EN27" i="69"/>
  <c r="ED18" i="69"/>
  <c r="EE18" i="69" s="1"/>
  <c r="EN36" i="69"/>
  <c r="EC30" i="69"/>
  <c r="EE30" i="69"/>
  <c r="EC39" i="69"/>
  <c r="EE39" i="69"/>
  <c r="EE26" i="69"/>
  <c r="EC26" i="69"/>
  <c r="EM21" i="69"/>
  <c r="EC16" i="69"/>
  <c r="EE35" i="69"/>
  <c r="EC35" i="69"/>
  <c r="EC27" i="69"/>
  <c r="EN26" i="69"/>
  <c r="AN41" i="69"/>
  <c r="EM14" i="69"/>
  <c r="EN14" i="69" s="1"/>
  <c r="EN17" i="69"/>
  <c r="EC36" i="69"/>
  <c r="EC22" i="69"/>
  <c r="EC18" i="69"/>
  <c r="EE20" i="69"/>
  <c r="EC20" i="69"/>
  <c r="EN21" i="69"/>
  <c r="D41" i="69"/>
  <c r="EM41" i="69" l="1"/>
  <c r="EM44" i="69" s="1"/>
  <c r="ED41" i="69"/>
  <c r="G5" i="69"/>
  <c r="EE4" i="69"/>
  <c r="G6" i="69" s="1"/>
  <c r="EN4" i="69"/>
  <c r="EL41" i="68"/>
  <c r="EG41" i="68"/>
  <c r="EI41" i="68" s="1"/>
  <c r="EB41" i="68"/>
  <c r="EC41" i="68" s="1"/>
  <c r="DW41" i="68"/>
  <c r="DT41" i="68"/>
  <c r="DQ41" i="68"/>
  <c r="DN41" i="68"/>
  <c r="DK41" i="68"/>
  <c r="DH41" i="68"/>
  <c r="DE41" i="68"/>
  <c r="DB41" i="68"/>
  <c r="CY41" i="68"/>
  <c r="CV41" i="68"/>
  <c r="CS41" i="68"/>
  <c r="CP41" i="68"/>
  <c r="CM41" i="68"/>
  <c r="CJ41" i="68"/>
  <c r="CG41" i="68"/>
  <c r="CD41" i="68"/>
  <c r="CA41" i="68"/>
  <c r="BX41" i="68"/>
  <c r="BU41" i="68"/>
  <c r="BR41" i="68"/>
  <c r="BO41" i="68"/>
  <c r="BL41" i="68"/>
  <c r="BI41" i="68"/>
  <c r="BF41" i="68"/>
  <c r="BC41" i="68"/>
  <c r="AZ41" i="68"/>
  <c r="AU41" i="68"/>
  <c r="EK41" i="68" s="1"/>
  <c r="AR41" i="68"/>
  <c r="AT41" i="68" s="1"/>
  <c r="AO41" i="68"/>
  <c r="AQ41" i="68" s="1"/>
  <c r="AN41" i="68"/>
  <c r="AI41" i="68"/>
  <c r="AK41" i="68" s="1"/>
  <c r="AB41" i="68"/>
  <c r="EH41" i="68" s="1"/>
  <c r="Y41" i="68"/>
  <c r="V41" i="68"/>
  <c r="S41" i="68"/>
  <c r="P41" i="68"/>
  <c r="M41" i="68"/>
  <c r="J41" i="68"/>
  <c r="G41" i="68"/>
  <c r="D41" i="68"/>
  <c r="EL40" i="68"/>
  <c r="EG40" i="68"/>
  <c r="DW40" i="68"/>
  <c r="DT40" i="68"/>
  <c r="DQ40" i="68"/>
  <c r="DN40" i="68"/>
  <c r="DK40" i="68"/>
  <c r="DH40" i="68"/>
  <c r="DE40" i="68"/>
  <c r="DB40" i="68"/>
  <c r="CY40" i="68"/>
  <c r="CV40" i="68"/>
  <c r="CS40" i="68"/>
  <c r="CP40" i="68"/>
  <c r="CM40" i="68"/>
  <c r="CJ40" i="68"/>
  <c r="CG40" i="68"/>
  <c r="CD40" i="68"/>
  <c r="CA40" i="68"/>
  <c r="BX40" i="68"/>
  <c r="BU40" i="68"/>
  <c r="BR40" i="68"/>
  <c r="BO40" i="68"/>
  <c r="BL40" i="68"/>
  <c r="BI40" i="68"/>
  <c r="BF40" i="68"/>
  <c r="BC40" i="68"/>
  <c r="AZ40" i="68"/>
  <c r="AU40" i="68"/>
  <c r="AR40" i="68"/>
  <c r="AT40" i="68" s="1"/>
  <c r="AO40" i="68"/>
  <c r="EB40" i="68" s="1"/>
  <c r="AN40" i="68"/>
  <c r="AI40" i="68"/>
  <c r="AK40" i="68" s="1"/>
  <c r="AB40" i="68"/>
  <c r="EH40" i="68" s="1"/>
  <c r="Y40" i="68"/>
  <c r="V40" i="68"/>
  <c r="S40" i="68"/>
  <c r="P40" i="68"/>
  <c r="M40" i="68"/>
  <c r="J40" i="68"/>
  <c r="G40" i="68"/>
  <c r="D40" i="68"/>
  <c r="EL39" i="68"/>
  <c r="EG39" i="68"/>
  <c r="EI39" i="68" s="1"/>
  <c r="DW39" i="68"/>
  <c r="DT39" i="68"/>
  <c r="DQ39" i="68"/>
  <c r="DN39" i="68"/>
  <c r="DK39" i="68"/>
  <c r="DH39" i="68"/>
  <c r="DE39" i="68"/>
  <c r="DB39" i="68"/>
  <c r="CY39" i="68"/>
  <c r="CV39" i="68"/>
  <c r="CS39" i="68"/>
  <c r="CP39" i="68"/>
  <c r="CM39" i="68"/>
  <c r="CJ39" i="68"/>
  <c r="CG39" i="68"/>
  <c r="CD39" i="68"/>
  <c r="CA39" i="68"/>
  <c r="BX39" i="68"/>
  <c r="BU39" i="68"/>
  <c r="BR39" i="68"/>
  <c r="BO39" i="68"/>
  <c r="BL39" i="68"/>
  <c r="BI39" i="68"/>
  <c r="BF39" i="68"/>
  <c r="BC39" i="68"/>
  <c r="AZ39" i="68"/>
  <c r="AU39" i="68"/>
  <c r="AR39" i="68"/>
  <c r="AT39" i="68" s="1"/>
  <c r="AO39" i="68"/>
  <c r="EB39" i="68" s="1"/>
  <c r="AN39" i="68"/>
  <c r="AI39" i="68"/>
  <c r="AK39" i="68" s="1"/>
  <c r="AB39" i="68"/>
  <c r="Y39" i="68"/>
  <c r="V39" i="68"/>
  <c r="EH39" i="68" s="1"/>
  <c r="S39" i="68"/>
  <c r="P39" i="68"/>
  <c r="M39" i="68"/>
  <c r="J39" i="68"/>
  <c r="G39" i="68"/>
  <c r="D39" i="68"/>
  <c r="EL38" i="68"/>
  <c r="EG38" i="68"/>
  <c r="EI38" i="68" s="1"/>
  <c r="DW38" i="68"/>
  <c r="DT38" i="68"/>
  <c r="EM38" i="68" s="1"/>
  <c r="DQ38" i="68"/>
  <c r="DN38" i="68"/>
  <c r="DK38" i="68"/>
  <c r="DH38" i="68"/>
  <c r="DE38" i="68"/>
  <c r="DB38" i="68"/>
  <c r="CY38" i="68"/>
  <c r="CV38" i="68"/>
  <c r="CS38" i="68"/>
  <c r="CP38" i="68"/>
  <c r="CM38" i="68"/>
  <c r="CJ38" i="68"/>
  <c r="CG38" i="68"/>
  <c r="CD38" i="68"/>
  <c r="CA38" i="68"/>
  <c r="BX38" i="68"/>
  <c r="BU38" i="68"/>
  <c r="BR38" i="68"/>
  <c r="BO38" i="68"/>
  <c r="BL38" i="68"/>
  <c r="BI38" i="68"/>
  <c r="BF38" i="68"/>
  <c r="BC38" i="68"/>
  <c r="AZ38" i="68"/>
  <c r="AW38" i="68"/>
  <c r="AT38" i="68"/>
  <c r="AR38" i="68"/>
  <c r="AO38" i="68"/>
  <c r="AQ38" i="68" s="1"/>
  <c r="AN38" i="68"/>
  <c r="AK38" i="68"/>
  <c r="AI38" i="68"/>
  <c r="AB38" i="68"/>
  <c r="Y38" i="68"/>
  <c r="V38" i="68"/>
  <c r="EH38" i="68" s="1"/>
  <c r="S38" i="68"/>
  <c r="P38" i="68"/>
  <c r="M38" i="68"/>
  <c r="J38" i="68"/>
  <c r="G38" i="68"/>
  <c r="D38" i="68"/>
  <c r="EL37" i="68"/>
  <c r="EG37" i="68"/>
  <c r="EI37" i="68" s="1"/>
  <c r="DW37" i="68"/>
  <c r="DT37" i="68"/>
  <c r="DQ37" i="68"/>
  <c r="DN37" i="68"/>
  <c r="DK37" i="68"/>
  <c r="DH37" i="68"/>
  <c r="DE37" i="68"/>
  <c r="DB37" i="68"/>
  <c r="CY37" i="68"/>
  <c r="CV37" i="68"/>
  <c r="CS37" i="68"/>
  <c r="CP37" i="68"/>
  <c r="CM37" i="68"/>
  <c r="CJ37" i="68"/>
  <c r="CG37" i="68"/>
  <c r="CD37" i="68"/>
  <c r="CA37" i="68"/>
  <c r="BX37" i="68"/>
  <c r="BU37" i="68"/>
  <c r="BR37" i="68"/>
  <c r="BO37" i="68"/>
  <c r="BL37" i="68"/>
  <c r="BI37" i="68"/>
  <c r="BF37" i="68"/>
  <c r="BC37" i="68"/>
  <c r="AZ37" i="68"/>
  <c r="AW37" i="68"/>
  <c r="AR37" i="68"/>
  <c r="AT37" i="68" s="1"/>
  <c r="AO37" i="68"/>
  <c r="AQ37" i="68" s="1"/>
  <c r="AL37" i="68"/>
  <c r="AN37" i="68" s="1"/>
  <c r="AK37" i="68"/>
  <c r="AI37" i="68"/>
  <c r="AB37" i="68"/>
  <c r="Y37" i="68"/>
  <c r="V37" i="68"/>
  <c r="S37" i="68"/>
  <c r="P37" i="68"/>
  <c r="M37" i="68"/>
  <c r="J37" i="68"/>
  <c r="G37" i="68"/>
  <c r="D37" i="68"/>
  <c r="EL36" i="68"/>
  <c r="EG36" i="68"/>
  <c r="EI36" i="68" s="1"/>
  <c r="DW36" i="68"/>
  <c r="DT36" i="68"/>
  <c r="DQ36" i="68"/>
  <c r="DN36" i="68"/>
  <c r="DK36" i="68"/>
  <c r="DH36" i="68"/>
  <c r="DE36" i="68"/>
  <c r="DB36" i="68"/>
  <c r="CY36" i="68"/>
  <c r="CV36" i="68"/>
  <c r="CS36" i="68"/>
  <c r="CP36" i="68"/>
  <c r="CM36" i="68"/>
  <c r="CJ36" i="68"/>
  <c r="CG36" i="68"/>
  <c r="CD36" i="68"/>
  <c r="CA36" i="68"/>
  <c r="BX36" i="68"/>
  <c r="BU36" i="68"/>
  <c r="BR36" i="68"/>
  <c r="BO36" i="68"/>
  <c r="BL36" i="68"/>
  <c r="BI36" i="68"/>
  <c r="BF36" i="68"/>
  <c r="BC36" i="68"/>
  <c r="AZ36" i="68"/>
  <c r="AW36" i="68"/>
  <c r="AR36" i="68"/>
  <c r="AO36" i="68"/>
  <c r="AQ36" i="68" s="1"/>
  <c r="AL36" i="68"/>
  <c r="AN36" i="68" s="1"/>
  <c r="AK36" i="68"/>
  <c r="AI36" i="68"/>
  <c r="AB36" i="68"/>
  <c r="Y36" i="68"/>
  <c r="V36" i="68"/>
  <c r="S36" i="68"/>
  <c r="P36" i="68"/>
  <c r="M36" i="68"/>
  <c r="J36" i="68"/>
  <c r="G36" i="68"/>
  <c r="D36" i="68"/>
  <c r="EB36" i="68"/>
  <c r="EL35" i="68"/>
  <c r="EG35" i="68"/>
  <c r="EI35" i="68" s="1"/>
  <c r="DW35" i="68"/>
  <c r="DT35" i="68"/>
  <c r="DQ35" i="68"/>
  <c r="DN35" i="68"/>
  <c r="DK35" i="68"/>
  <c r="DH35" i="68"/>
  <c r="DE35" i="68"/>
  <c r="DB35" i="68"/>
  <c r="CY35" i="68"/>
  <c r="CV35" i="68"/>
  <c r="CS35" i="68"/>
  <c r="CP35" i="68"/>
  <c r="CM35" i="68"/>
  <c r="CJ35" i="68"/>
  <c r="CG35" i="68"/>
  <c r="CD35" i="68"/>
  <c r="CA35" i="68"/>
  <c r="BX35" i="68"/>
  <c r="BU35" i="68"/>
  <c r="BR35" i="68"/>
  <c r="BO35" i="68"/>
  <c r="BL35" i="68"/>
  <c r="BI35" i="68"/>
  <c r="BF35" i="68"/>
  <c r="BC35" i="68"/>
  <c r="AZ35" i="68"/>
  <c r="AW35" i="68"/>
  <c r="AT35" i="68"/>
  <c r="AQ35" i="68"/>
  <c r="AO35" i="68"/>
  <c r="AL35" i="68"/>
  <c r="AI35" i="68"/>
  <c r="AK35" i="68" s="1"/>
  <c r="AB35" i="68"/>
  <c r="Y35" i="68"/>
  <c r="V35" i="68"/>
  <c r="S35" i="68"/>
  <c r="P35" i="68"/>
  <c r="M35" i="68"/>
  <c r="J35" i="68"/>
  <c r="G35" i="68"/>
  <c r="D35" i="68"/>
  <c r="EL34" i="68"/>
  <c r="EI34" i="68"/>
  <c r="EG34" i="68"/>
  <c r="DW34" i="68"/>
  <c r="DT34" i="68"/>
  <c r="DQ34" i="68"/>
  <c r="DN34" i="68"/>
  <c r="DK34" i="68"/>
  <c r="DH34" i="68"/>
  <c r="DE34" i="68"/>
  <c r="DB34" i="68"/>
  <c r="CY34" i="68"/>
  <c r="CV34" i="68"/>
  <c r="CS34" i="68"/>
  <c r="CP34" i="68"/>
  <c r="CM34" i="68"/>
  <c r="CJ34" i="68"/>
  <c r="CG34" i="68"/>
  <c r="CD34" i="68"/>
  <c r="CA34" i="68"/>
  <c r="BX34" i="68"/>
  <c r="BU34" i="68"/>
  <c r="BR34" i="68"/>
  <c r="BO34" i="68"/>
  <c r="BL34" i="68"/>
  <c r="BI34" i="68"/>
  <c r="BF34" i="68"/>
  <c r="BC34" i="68"/>
  <c r="AZ34" i="68"/>
  <c r="AW34" i="68"/>
  <c r="AT34" i="68"/>
  <c r="AO34" i="68"/>
  <c r="AL34" i="68"/>
  <c r="AN34" i="68" s="1"/>
  <c r="AI34" i="68"/>
  <c r="AK34" i="68" s="1"/>
  <c r="AB34" i="68"/>
  <c r="Y34" i="68"/>
  <c r="V34" i="68"/>
  <c r="S34" i="68"/>
  <c r="EH34" i="68" s="1"/>
  <c r="P34" i="68"/>
  <c r="M34" i="68"/>
  <c r="J34" i="68"/>
  <c r="G34" i="68"/>
  <c r="EL33" i="68"/>
  <c r="EI33" i="68"/>
  <c r="EG33" i="68"/>
  <c r="DW33" i="68"/>
  <c r="DT33" i="68"/>
  <c r="DQ33" i="68"/>
  <c r="DN33" i="68"/>
  <c r="DK33" i="68"/>
  <c r="DH33" i="68"/>
  <c r="DE33" i="68"/>
  <c r="DB33" i="68"/>
  <c r="CY33" i="68"/>
  <c r="CV33" i="68"/>
  <c r="EM33" i="68" s="1"/>
  <c r="CS33" i="68"/>
  <c r="CP33" i="68"/>
  <c r="CM33" i="68"/>
  <c r="CJ33" i="68"/>
  <c r="CG33" i="68"/>
  <c r="CD33" i="68"/>
  <c r="CA33" i="68"/>
  <c r="BX33" i="68"/>
  <c r="BU33" i="68"/>
  <c r="BR33" i="68"/>
  <c r="BO33" i="68"/>
  <c r="BL33" i="68"/>
  <c r="BI33" i="68"/>
  <c r="BF33" i="68"/>
  <c r="BC33" i="68"/>
  <c r="AZ33" i="68"/>
  <c r="AW33" i="68"/>
  <c r="AT33" i="68"/>
  <c r="AO33" i="68"/>
  <c r="AQ33" i="68" s="1"/>
  <c r="AN33" i="68"/>
  <c r="AL33" i="68"/>
  <c r="AI33" i="68"/>
  <c r="AK33" i="68" s="1"/>
  <c r="EH33" i="68"/>
  <c r="AB33" i="68"/>
  <c r="Y33" i="68"/>
  <c r="V33" i="68"/>
  <c r="S33" i="68"/>
  <c r="P33" i="68"/>
  <c r="M33" i="68"/>
  <c r="J33" i="68"/>
  <c r="G33" i="68"/>
  <c r="EL32" i="68"/>
  <c r="EG32" i="68"/>
  <c r="EI32" i="68" s="1"/>
  <c r="DW32" i="68"/>
  <c r="DT32" i="68"/>
  <c r="DQ32" i="68"/>
  <c r="DN32" i="68"/>
  <c r="DK32" i="68"/>
  <c r="DH32" i="68"/>
  <c r="DE32" i="68"/>
  <c r="DB32" i="68"/>
  <c r="CY32" i="68"/>
  <c r="CV32" i="68"/>
  <c r="CS32" i="68"/>
  <c r="CP32" i="68"/>
  <c r="CM32" i="68"/>
  <c r="CJ32" i="68"/>
  <c r="CG32" i="68"/>
  <c r="CD32" i="68"/>
  <c r="CA32" i="68"/>
  <c r="BX32" i="68"/>
  <c r="BU32" i="68"/>
  <c r="BR32" i="68"/>
  <c r="BO32" i="68"/>
  <c r="BL32" i="68"/>
  <c r="BI32" i="68"/>
  <c r="BF32" i="68"/>
  <c r="BC32" i="68"/>
  <c r="AZ32" i="68"/>
  <c r="AW32" i="68"/>
  <c r="AT32" i="68"/>
  <c r="AO32" i="68"/>
  <c r="EK32" i="68" s="1"/>
  <c r="AL32" i="68"/>
  <c r="AN32" i="68" s="1"/>
  <c r="AI32" i="68"/>
  <c r="AK32" i="68" s="1"/>
  <c r="EH32" i="68"/>
  <c r="AB32" i="68"/>
  <c r="Y32" i="68"/>
  <c r="V32" i="68"/>
  <c r="S32" i="68"/>
  <c r="P32" i="68"/>
  <c r="M32" i="68"/>
  <c r="J32" i="68"/>
  <c r="G32" i="68"/>
  <c r="EL31" i="68"/>
  <c r="EG31" i="68"/>
  <c r="EI31" i="68" s="1"/>
  <c r="EB31" i="68"/>
  <c r="DW31" i="68"/>
  <c r="DT31" i="68"/>
  <c r="DQ31" i="68"/>
  <c r="DN31" i="68"/>
  <c r="DK31" i="68"/>
  <c r="DH31" i="68"/>
  <c r="DE31" i="68"/>
  <c r="DB31" i="68"/>
  <c r="CY31" i="68"/>
  <c r="CV31" i="68"/>
  <c r="CS31" i="68"/>
  <c r="CP31" i="68"/>
  <c r="CM31" i="68"/>
  <c r="CJ31" i="68"/>
  <c r="CG31" i="68"/>
  <c r="CD31" i="68"/>
  <c r="CA31" i="68"/>
  <c r="BX31" i="68"/>
  <c r="BU31" i="68"/>
  <c r="BR31" i="68"/>
  <c r="BO31" i="68"/>
  <c r="BL31" i="68"/>
  <c r="BI31" i="68"/>
  <c r="BF31" i="68"/>
  <c r="BC31" i="68"/>
  <c r="AZ31" i="68"/>
  <c r="AW31" i="68"/>
  <c r="AT31" i="68"/>
  <c r="AQ31" i="68"/>
  <c r="AO31" i="68"/>
  <c r="AL31" i="68"/>
  <c r="EK31" i="68" s="1"/>
  <c r="AK31" i="68"/>
  <c r="AI31" i="68"/>
  <c r="EH31" i="68"/>
  <c r="AB31" i="68"/>
  <c r="Y31" i="68"/>
  <c r="V31" i="68"/>
  <c r="S31" i="68"/>
  <c r="P31" i="68"/>
  <c r="M31" i="68"/>
  <c r="J31" i="68"/>
  <c r="G31" i="68"/>
  <c r="D31" i="68"/>
  <c r="EL30" i="68"/>
  <c r="EI30" i="68"/>
  <c r="EG30" i="68"/>
  <c r="DW30" i="68"/>
  <c r="DT30" i="68"/>
  <c r="DQ30" i="68"/>
  <c r="DN30" i="68"/>
  <c r="DK30" i="68"/>
  <c r="DH30" i="68"/>
  <c r="DE30" i="68"/>
  <c r="DB30" i="68"/>
  <c r="CY30" i="68"/>
  <c r="CV30" i="68"/>
  <c r="CS30" i="68"/>
  <c r="CP30" i="68"/>
  <c r="CM30" i="68"/>
  <c r="CJ30" i="68"/>
  <c r="CG30" i="68"/>
  <c r="CD30" i="68"/>
  <c r="CA30" i="68"/>
  <c r="BX30" i="68"/>
  <c r="BU30" i="68"/>
  <c r="BR30" i="68"/>
  <c r="BO30" i="68"/>
  <c r="BL30" i="68"/>
  <c r="BI30" i="68"/>
  <c r="BF30" i="68"/>
  <c r="BC30" i="68"/>
  <c r="AZ30" i="68"/>
  <c r="AW30" i="68"/>
  <c r="AT30" i="68"/>
  <c r="AO30" i="68"/>
  <c r="AN30" i="68"/>
  <c r="AL30" i="68"/>
  <c r="EB30" i="68" s="1"/>
  <c r="AK30" i="68"/>
  <c r="AI30" i="68"/>
  <c r="AB30" i="68"/>
  <c r="Y30" i="68"/>
  <c r="V30" i="68"/>
  <c r="EH30" i="68" s="1"/>
  <c r="S30" i="68"/>
  <c r="P30" i="68"/>
  <c r="M30" i="68"/>
  <c r="J30" i="68"/>
  <c r="G30" i="68"/>
  <c r="D30" i="68"/>
  <c r="EL29" i="68"/>
  <c r="EI29" i="68"/>
  <c r="EH29" i="68"/>
  <c r="EG29" i="68"/>
  <c r="DW29" i="68"/>
  <c r="DT29" i="68"/>
  <c r="DQ29" i="68"/>
  <c r="DN29" i="68"/>
  <c r="DK29" i="68"/>
  <c r="DH29" i="68"/>
  <c r="DE29" i="68"/>
  <c r="DB29" i="68"/>
  <c r="CY29" i="68"/>
  <c r="CV29" i="68"/>
  <c r="CS29" i="68"/>
  <c r="CP29" i="68"/>
  <c r="CM29" i="68"/>
  <c r="CJ29" i="68"/>
  <c r="CG29" i="68"/>
  <c r="CD29" i="68"/>
  <c r="CA29" i="68"/>
  <c r="BX29" i="68"/>
  <c r="BU29" i="68"/>
  <c r="BR29" i="68"/>
  <c r="BO29" i="68"/>
  <c r="BL29" i="68"/>
  <c r="BI29" i="68"/>
  <c r="BF29" i="68"/>
  <c r="BC29" i="68"/>
  <c r="AZ29" i="68"/>
  <c r="AW29" i="68"/>
  <c r="AT29" i="68"/>
  <c r="AO29" i="68"/>
  <c r="AL29" i="68"/>
  <c r="AN29" i="68" s="1"/>
  <c r="AK29" i="68"/>
  <c r="AI29" i="68"/>
  <c r="AB29" i="68"/>
  <c r="Y29" i="68"/>
  <c r="V29" i="68"/>
  <c r="S29" i="68"/>
  <c r="P29" i="68"/>
  <c r="M29" i="68"/>
  <c r="J29" i="68"/>
  <c r="G29" i="68"/>
  <c r="D29" i="68"/>
  <c r="EL28" i="68"/>
  <c r="EG28" i="68"/>
  <c r="EI28" i="68" s="1"/>
  <c r="EB28" i="68"/>
  <c r="DW28" i="68"/>
  <c r="DT28" i="68"/>
  <c r="DQ28" i="68"/>
  <c r="DN28" i="68"/>
  <c r="DK28" i="68"/>
  <c r="DH28" i="68"/>
  <c r="DE28" i="68"/>
  <c r="DB28" i="68"/>
  <c r="CY28" i="68"/>
  <c r="CV28" i="68"/>
  <c r="CS28" i="68"/>
  <c r="CP28" i="68"/>
  <c r="CM28" i="68"/>
  <c r="CJ28" i="68"/>
  <c r="CG28" i="68"/>
  <c r="CD28" i="68"/>
  <c r="CA28" i="68"/>
  <c r="BX28" i="68"/>
  <c r="BU28" i="68"/>
  <c r="BR28" i="68"/>
  <c r="BO28" i="68"/>
  <c r="BL28" i="68"/>
  <c r="BI28" i="68"/>
  <c r="BF28" i="68"/>
  <c r="BC28" i="68"/>
  <c r="AZ28" i="68"/>
  <c r="AW28" i="68"/>
  <c r="AT28" i="68"/>
  <c r="AQ28" i="68"/>
  <c r="AO28" i="68"/>
  <c r="AL28" i="68"/>
  <c r="AN28" i="68" s="1"/>
  <c r="EM28" i="68" s="1"/>
  <c r="AI28" i="68"/>
  <c r="AK28" i="68" s="1"/>
  <c r="AB28" i="68"/>
  <c r="Y28" i="68"/>
  <c r="V28" i="68"/>
  <c r="S28" i="68"/>
  <c r="EH28" i="68" s="1"/>
  <c r="P28" i="68"/>
  <c r="M28" i="68"/>
  <c r="J28" i="68"/>
  <c r="G28" i="68"/>
  <c r="EL27" i="68"/>
  <c r="EG27" i="68"/>
  <c r="EI27" i="68" s="1"/>
  <c r="DW27" i="68"/>
  <c r="DT27" i="68"/>
  <c r="DQ27" i="68"/>
  <c r="DN27" i="68"/>
  <c r="DK27" i="68"/>
  <c r="DH27" i="68"/>
  <c r="DE27" i="68"/>
  <c r="DB27" i="68"/>
  <c r="CY27" i="68"/>
  <c r="CV27" i="68"/>
  <c r="CS27" i="68"/>
  <c r="CP27" i="68"/>
  <c r="CM27" i="68"/>
  <c r="CJ27" i="68"/>
  <c r="CG27" i="68"/>
  <c r="CD27" i="68"/>
  <c r="CA27" i="68"/>
  <c r="BX27" i="68"/>
  <c r="BU27" i="68"/>
  <c r="BR27" i="68"/>
  <c r="BO27" i="68"/>
  <c r="BL27" i="68"/>
  <c r="BI27" i="68"/>
  <c r="BF27" i="68"/>
  <c r="BC27" i="68"/>
  <c r="AZ27" i="68"/>
  <c r="AW27" i="68"/>
  <c r="AT27" i="68"/>
  <c r="AQ27" i="68"/>
  <c r="AO27" i="68"/>
  <c r="EK27" i="68" s="1"/>
  <c r="AL27" i="68"/>
  <c r="AN27" i="68" s="1"/>
  <c r="AI27" i="68"/>
  <c r="AK27" i="68" s="1"/>
  <c r="AB27" i="68"/>
  <c r="Y27" i="68"/>
  <c r="V27" i="68"/>
  <c r="S27" i="68"/>
  <c r="EH27" i="68" s="1"/>
  <c r="P27" i="68"/>
  <c r="M27" i="68"/>
  <c r="J27" i="68"/>
  <c r="G27" i="68"/>
  <c r="EB27" i="68"/>
  <c r="EL26" i="68"/>
  <c r="EK26" i="68"/>
  <c r="EI26" i="68"/>
  <c r="EG26" i="68"/>
  <c r="EB26" i="68"/>
  <c r="DW26" i="68"/>
  <c r="DT26" i="68"/>
  <c r="DQ26" i="68"/>
  <c r="DN26" i="68"/>
  <c r="DK26" i="68"/>
  <c r="DH26" i="68"/>
  <c r="DE26" i="68"/>
  <c r="DB26" i="68"/>
  <c r="CY26" i="68"/>
  <c r="CV26" i="68"/>
  <c r="CS26" i="68"/>
  <c r="CP26" i="68"/>
  <c r="CM26" i="68"/>
  <c r="CJ26" i="68"/>
  <c r="CG26" i="68"/>
  <c r="CD26" i="68"/>
  <c r="CA26" i="68"/>
  <c r="BX26" i="68"/>
  <c r="BU26" i="68"/>
  <c r="BR26" i="68"/>
  <c r="BO26" i="68"/>
  <c r="BL26" i="68"/>
  <c r="BI26" i="68"/>
  <c r="BF26" i="68"/>
  <c r="BC26" i="68"/>
  <c r="AZ26" i="68"/>
  <c r="AW26" i="68"/>
  <c r="AT26" i="68"/>
  <c r="AO26" i="68"/>
  <c r="AQ26" i="68" s="1"/>
  <c r="AN26" i="68"/>
  <c r="AL26" i="68"/>
  <c r="AI26" i="68"/>
  <c r="AK26" i="68" s="1"/>
  <c r="AB26" i="68"/>
  <c r="EH26" i="68" s="1"/>
  <c r="Y26" i="68"/>
  <c r="V26" i="68"/>
  <c r="S26" i="68"/>
  <c r="P26" i="68"/>
  <c r="M26" i="68"/>
  <c r="J26" i="68"/>
  <c r="G26" i="68"/>
  <c r="D26" i="68"/>
  <c r="EL25" i="68"/>
  <c r="EG25" i="68"/>
  <c r="EI25" i="68" s="1"/>
  <c r="DW25" i="68"/>
  <c r="DT25" i="68"/>
  <c r="DQ25" i="68"/>
  <c r="DN25" i="68"/>
  <c r="DK25" i="68"/>
  <c r="DH25" i="68"/>
  <c r="DE25" i="68"/>
  <c r="DB25" i="68"/>
  <c r="CY25" i="68"/>
  <c r="CV25" i="68"/>
  <c r="CS25" i="68"/>
  <c r="CP25" i="68"/>
  <c r="CM25" i="68"/>
  <c r="CJ25" i="68"/>
  <c r="CG25" i="68"/>
  <c r="CD25" i="68"/>
  <c r="CA25" i="68"/>
  <c r="BX25" i="68"/>
  <c r="BU25" i="68"/>
  <c r="BR25" i="68"/>
  <c r="BO25" i="68"/>
  <c r="BL25" i="68"/>
  <c r="BI25" i="68"/>
  <c r="BF25" i="68"/>
  <c r="BC25" i="68"/>
  <c r="AZ25" i="68"/>
  <c r="AW25" i="68"/>
  <c r="AT25" i="68"/>
  <c r="AO25" i="68"/>
  <c r="AL25" i="68"/>
  <c r="AN25" i="68" s="1"/>
  <c r="AI25" i="68"/>
  <c r="AK25" i="68" s="1"/>
  <c r="EH25" i="68"/>
  <c r="AB25" i="68"/>
  <c r="Y25" i="68"/>
  <c r="V25" i="68"/>
  <c r="S25" i="68"/>
  <c r="P25" i="68"/>
  <c r="M25" i="68"/>
  <c r="J25" i="68"/>
  <c r="G25" i="68"/>
  <c r="EL24" i="68"/>
  <c r="EG24" i="68"/>
  <c r="EI24" i="68" s="1"/>
  <c r="DW24" i="68"/>
  <c r="DT24" i="68"/>
  <c r="DQ24" i="68"/>
  <c r="DN24" i="68"/>
  <c r="DK24" i="68"/>
  <c r="DH24" i="68"/>
  <c r="DE24" i="68"/>
  <c r="DB24" i="68"/>
  <c r="CY24" i="68"/>
  <c r="CV24" i="68"/>
  <c r="CS24" i="68"/>
  <c r="CP24" i="68"/>
  <c r="CM24" i="68"/>
  <c r="CJ24" i="68"/>
  <c r="CG24" i="68"/>
  <c r="CD24" i="68"/>
  <c r="CA24" i="68"/>
  <c r="BX24" i="68"/>
  <c r="BU24" i="68"/>
  <c r="BR24" i="68"/>
  <c r="BO24" i="68"/>
  <c r="BL24" i="68"/>
  <c r="BI24" i="68"/>
  <c r="BF24" i="68"/>
  <c r="BC24" i="68"/>
  <c r="AZ24" i="68"/>
  <c r="AW24" i="68"/>
  <c r="AT24" i="68"/>
  <c r="AO24" i="68"/>
  <c r="EK24" i="68" s="1"/>
  <c r="AN24" i="68"/>
  <c r="AL24" i="68"/>
  <c r="AK24" i="68"/>
  <c r="AI24" i="68"/>
  <c r="AB24" i="68"/>
  <c r="Y24" i="68"/>
  <c r="V24" i="68"/>
  <c r="S24" i="68"/>
  <c r="EH24" i="68" s="1"/>
  <c r="P24" i="68"/>
  <c r="M24" i="68"/>
  <c r="J24" i="68"/>
  <c r="G24" i="68"/>
  <c r="EL23" i="68"/>
  <c r="EG23" i="68"/>
  <c r="EI23" i="68" s="1"/>
  <c r="DW23" i="68"/>
  <c r="DT23" i="68"/>
  <c r="DQ23" i="68"/>
  <c r="DN23" i="68"/>
  <c r="DK23" i="68"/>
  <c r="DH23" i="68"/>
  <c r="DE23" i="68"/>
  <c r="DB23" i="68"/>
  <c r="CY23" i="68"/>
  <c r="CV23" i="68"/>
  <c r="CS23" i="68"/>
  <c r="CP23" i="68"/>
  <c r="CM23" i="68"/>
  <c r="CJ23" i="68"/>
  <c r="CG23" i="68"/>
  <c r="CD23" i="68"/>
  <c r="CA23" i="68"/>
  <c r="BX23" i="68"/>
  <c r="BU23" i="68"/>
  <c r="BR23" i="68"/>
  <c r="BO23" i="68"/>
  <c r="BL23" i="68"/>
  <c r="BI23" i="68"/>
  <c r="BF23" i="68"/>
  <c r="BC23" i="68"/>
  <c r="AZ23" i="68"/>
  <c r="AW23" i="68"/>
  <c r="AT23" i="68"/>
  <c r="AQ23" i="68"/>
  <c r="AO23" i="68"/>
  <c r="AL23" i="68"/>
  <c r="AN23" i="68" s="1"/>
  <c r="AI23" i="68"/>
  <c r="AK23" i="68" s="1"/>
  <c r="AB23" i="68"/>
  <c r="Y23" i="68"/>
  <c r="V23" i="68"/>
  <c r="S23" i="68"/>
  <c r="EH23" i="68" s="1"/>
  <c r="P23" i="68"/>
  <c r="M23" i="68"/>
  <c r="J23" i="68"/>
  <c r="G23" i="68"/>
  <c r="D23" i="68"/>
  <c r="ED23" i="68" s="1"/>
  <c r="EL22" i="68"/>
  <c r="EK22" i="68"/>
  <c r="EI22" i="68"/>
  <c r="EG22" i="68"/>
  <c r="DW22" i="68"/>
  <c r="DT22" i="68"/>
  <c r="DQ22" i="68"/>
  <c r="DN22" i="68"/>
  <c r="DK22" i="68"/>
  <c r="DH22" i="68"/>
  <c r="DE22" i="68"/>
  <c r="DB22" i="68"/>
  <c r="CY22" i="68"/>
  <c r="CV22" i="68"/>
  <c r="CS22" i="68"/>
  <c r="CP22" i="68"/>
  <c r="CM22" i="68"/>
  <c r="CJ22" i="68"/>
  <c r="CG22" i="68"/>
  <c r="CD22" i="68"/>
  <c r="CA22" i="68"/>
  <c r="BX22" i="68"/>
  <c r="BU22" i="68"/>
  <c r="BR22" i="68"/>
  <c r="BO22" i="68"/>
  <c r="BL22" i="68"/>
  <c r="BI22" i="68"/>
  <c r="BF22" i="68"/>
  <c r="BC22" i="68"/>
  <c r="AZ22" i="68"/>
  <c r="AW22" i="68"/>
  <c r="AT22" i="68"/>
  <c r="AO22" i="68"/>
  <c r="AQ22" i="68" s="1"/>
  <c r="AL22" i="68"/>
  <c r="AN22" i="68" s="1"/>
  <c r="AK22" i="68"/>
  <c r="AI22" i="68"/>
  <c r="AB22" i="68"/>
  <c r="Y22" i="68"/>
  <c r="V22" i="68"/>
  <c r="S22" i="68"/>
  <c r="P22" i="68"/>
  <c r="M22" i="68"/>
  <c r="J22" i="68"/>
  <c r="G22" i="68"/>
  <c r="D22" i="68"/>
  <c r="EL21" i="68"/>
  <c r="EK21" i="68"/>
  <c r="EI21" i="68"/>
  <c r="EG21" i="68"/>
  <c r="DW21" i="68"/>
  <c r="DT21" i="68"/>
  <c r="DQ21" i="68"/>
  <c r="DN21" i="68"/>
  <c r="DK21" i="68"/>
  <c r="DH21" i="68"/>
  <c r="DE21" i="68"/>
  <c r="DB21" i="68"/>
  <c r="CY21" i="68"/>
  <c r="CV21" i="68"/>
  <c r="CS21" i="68"/>
  <c r="CP21" i="68"/>
  <c r="CM21" i="68"/>
  <c r="CJ21" i="68"/>
  <c r="CG21" i="68"/>
  <c r="CD21" i="68"/>
  <c r="CA21" i="68"/>
  <c r="CA42" i="68" s="1"/>
  <c r="BX21" i="68"/>
  <c r="BU21" i="68"/>
  <c r="BR21" i="68"/>
  <c r="BO21" i="68"/>
  <c r="BL21" i="68"/>
  <c r="BI21" i="68"/>
  <c r="BF21" i="68"/>
  <c r="BC21" i="68"/>
  <c r="AZ21" i="68"/>
  <c r="AW21" i="68"/>
  <c r="AT21" i="68"/>
  <c r="AO21" i="68"/>
  <c r="EB21" i="68" s="1"/>
  <c r="AN21" i="68"/>
  <c r="AL21" i="68"/>
  <c r="AI21" i="68"/>
  <c r="AK21" i="68" s="1"/>
  <c r="AB21" i="68"/>
  <c r="Y21" i="68"/>
  <c r="V21" i="68"/>
  <c r="S21" i="68"/>
  <c r="EH21" i="68" s="1"/>
  <c r="P21" i="68"/>
  <c r="M21" i="68"/>
  <c r="J21" i="68"/>
  <c r="G21" i="68"/>
  <c r="D21" i="68"/>
  <c r="EL20" i="68"/>
  <c r="EG20" i="68"/>
  <c r="EI20" i="68" s="1"/>
  <c r="EB20" i="68"/>
  <c r="DW20" i="68"/>
  <c r="DT20" i="68"/>
  <c r="DQ20" i="68"/>
  <c r="DN20" i="68"/>
  <c r="EM20" i="68" s="1"/>
  <c r="DK20" i="68"/>
  <c r="DH20" i="68"/>
  <c r="DE20" i="68"/>
  <c r="DB20" i="68"/>
  <c r="CY20" i="68"/>
  <c r="CV20" i="68"/>
  <c r="CS20" i="68"/>
  <c r="CP20" i="68"/>
  <c r="CM20" i="68"/>
  <c r="CJ20" i="68"/>
  <c r="CG20" i="68"/>
  <c r="CD20" i="68"/>
  <c r="CA20" i="68"/>
  <c r="BX20" i="68"/>
  <c r="BU20" i="68"/>
  <c r="BR20" i="68"/>
  <c r="BO20" i="68"/>
  <c r="BL20" i="68"/>
  <c r="BI20" i="68"/>
  <c r="BF20" i="68"/>
  <c r="BC20" i="68"/>
  <c r="AZ20" i="68"/>
  <c r="AW20" i="68"/>
  <c r="AT20" i="68"/>
  <c r="AQ20" i="68"/>
  <c r="AO20" i="68"/>
  <c r="EK20" i="68" s="1"/>
  <c r="AL20" i="68"/>
  <c r="AN20" i="68" s="1"/>
  <c r="AI20" i="68"/>
  <c r="AK20" i="68" s="1"/>
  <c r="AB20" i="68"/>
  <c r="EH20" i="68" s="1"/>
  <c r="Y20" i="68"/>
  <c r="V20" i="68"/>
  <c r="S20" i="68"/>
  <c r="P20" i="68"/>
  <c r="M20" i="68"/>
  <c r="J20" i="68"/>
  <c r="G20" i="68"/>
  <c r="D20" i="68"/>
  <c r="EL19" i="68"/>
  <c r="EK19" i="68"/>
  <c r="EG19" i="68"/>
  <c r="EI19" i="68" s="1"/>
  <c r="EB19" i="68"/>
  <c r="EC19" i="68" s="1"/>
  <c r="DW19" i="68"/>
  <c r="DT19" i="68"/>
  <c r="DQ19" i="68"/>
  <c r="DN19" i="68"/>
  <c r="DK19" i="68"/>
  <c r="DH19" i="68"/>
  <c r="DH42" i="68" s="1"/>
  <c r="DE19" i="68"/>
  <c r="DB19" i="68"/>
  <c r="CY19" i="68"/>
  <c r="CV19" i="68"/>
  <c r="CS19" i="68"/>
  <c r="CP19" i="68"/>
  <c r="CM19" i="68"/>
  <c r="CJ19" i="68"/>
  <c r="CG19" i="68"/>
  <c r="CD19" i="68"/>
  <c r="CA19" i="68"/>
  <c r="BX19" i="68"/>
  <c r="BU19" i="68"/>
  <c r="BR19" i="68"/>
  <c r="BO19" i="68"/>
  <c r="BL19" i="68"/>
  <c r="BI19" i="68"/>
  <c r="BF19" i="68"/>
  <c r="BC19" i="68"/>
  <c r="AZ19" i="68"/>
  <c r="AW19" i="68"/>
  <c r="AT19" i="68"/>
  <c r="AO19" i="68"/>
  <c r="AQ19" i="68" s="1"/>
  <c r="AN19" i="68"/>
  <c r="AL19" i="68"/>
  <c r="AK19" i="68"/>
  <c r="AI19" i="68"/>
  <c r="AB19" i="68"/>
  <c r="Y19" i="68"/>
  <c r="V19" i="68"/>
  <c r="S19" i="68"/>
  <c r="P19" i="68"/>
  <c r="M19" i="68"/>
  <c r="J19" i="68"/>
  <c r="G19" i="68"/>
  <c r="D19" i="68"/>
  <c r="EL18" i="68"/>
  <c r="EG18" i="68"/>
  <c r="EI18" i="68" s="1"/>
  <c r="DW18" i="68"/>
  <c r="DT18" i="68"/>
  <c r="DQ18" i="68"/>
  <c r="DN18" i="68"/>
  <c r="DK18" i="68"/>
  <c r="DH18" i="68"/>
  <c r="DE18" i="68"/>
  <c r="DB18" i="68"/>
  <c r="CY18" i="68"/>
  <c r="CV18" i="68"/>
  <c r="CS18" i="68"/>
  <c r="CP18" i="68"/>
  <c r="CM18" i="68"/>
  <c r="CJ18" i="68"/>
  <c r="CG18" i="68"/>
  <c r="CD18" i="68"/>
  <c r="CA18" i="68"/>
  <c r="BX18" i="68"/>
  <c r="BU18" i="68"/>
  <c r="BR18" i="68"/>
  <c r="BO18" i="68"/>
  <c r="BL18" i="68"/>
  <c r="BI18" i="68"/>
  <c r="BF18" i="68"/>
  <c r="BC18" i="68"/>
  <c r="AZ18" i="68"/>
  <c r="AW18" i="68"/>
  <c r="AT18" i="68"/>
  <c r="AO18" i="68"/>
  <c r="AQ18" i="68" s="1"/>
  <c r="AL18" i="68"/>
  <c r="EB18" i="68" s="1"/>
  <c r="AK18" i="68"/>
  <c r="AI18" i="68"/>
  <c r="AB18" i="68"/>
  <c r="Y18" i="68"/>
  <c r="V18" i="68"/>
  <c r="EH18" i="68" s="1"/>
  <c r="S18" i="68"/>
  <c r="P18" i="68"/>
  <c r="M18" i="68"/>
  <c r="J18" i="68"/>
  <c r="G18" i="68"/>
  <c r="G42" i="68" s="1"/>
  <c r="D18" i="68"/>
  <c r="EL17" i="68"/>
  <c r="EI17" i="68"/>
  <c r="EG17" i="68"/>
  <c r="DW17" i="68"/>
  <c r="DT17" i="68"/>
  <c r="DQ17" i="68"/>
  <c r="DN17" i="68"/>
  <c r="DK17" i="68"/>
  <c r="DH17" i="68"/>
  <c r="DE17" i="68"/>
  <c r="DB17" i="68"/>
  <c r="CY17" i="68"/>
  <c r="CV17" i="68"/>
  <c r="CS17" i="68"/>
  <c r="CP17" i="68"/>
  <c r="CM17" i="68"/>
  <c r="CJ17" i="68"/>
  <c r="CG17" i="68"/>
  <c r="CD17" i="68"/>
  <c r="CA17" i="68"/>
  <c r="BX17" i="68"/>
  <c r="BU17" i="68"/>
  <c r="BR17" i="68"/>
  <c r="BO17" i="68"/>
  <c r="BL17" i="68"/>
  <c r="BI17" i="68"/>
  <c r="BF17" i="68"/>
  <c r="BC17" i="68"/>
  <c r="AZ17" i="68"/>
  <c r="AW17" i="68"/>
  <c r="AT17" i="68"/>
  <c r="AO17" i="68"/>
  <c r="AL17" i="68"/>
  <c r="AN17" i="68" s="1"/>
  <c r="AI17" i="68"/>
  <c r="AK17" i="68" s="1"/>
  <c r="AB17" i="68"/>
  <c r="Y17" i="68"/>
  <c r="V17" i="68"/>
  <c r="S17" i="68"/>
  <c r="EH17" i="68" s="1"/>
  <c r="P17" i="68"/>
  <c r="M17" i="68"/>
  <c r="J17" i="68"/>
  <c r="G17" i="68"/>
  <c r="EL16" i="68"/>
  <c r="EG16" i="68"/>
  <c r="EI16" i="68" s="1"/>
  <c r="EB16" i="68"/>
  <c r="DW16" i="68"/>
  <c r="DT16" i="68"/>
  <c r="DQ16" i="68"/>
  <c r="DN16" i="68"/>
  <c r="DK16" i="68"/>
  <c r="EM16" i="68" s="1"/>
  <c r="DH16" i="68"/>
  <c r="DE16" i="68"/>
  <c r="DB16" i="68"/>
  <c r="CY16" i="68"/>
  <c r="CV16" i="68"/>
  <c r="CS16" i="68"/>
  <c r="CP16" i="68"/>
  <c r="CM16" i="68"/>
  <c r="CJ16" i="68"/>
  <c r="CG16" i="68"/>
  <c r="CD16" i="68"/>
  <c r="CA16" i="68"/>
  <c r="BX16" i="68"/>
  <c r="BU16" i="68"/>
  <c r="BR16" i="68"/>
  <c r="BO16" i="68"/>
  <c r="BL16" i="68"/>
  <c r="BI16" i="68"/>
  <c r="BF16" i="68"/>
  <c r="BF42" i="68" s="1"/>
  <c r="BC16" i="68"/>
  <c r="AZ16" i="68"/>
  <c r="AW16" i="68"/>
  <c r="AT16" i="68"/>
  <c r="AQ16" i="68"/>
  <c r="AO16" i="68"/>
  <c r="AN16" i="68"/>
  <c r="AL16" i="68"/>
  <c r="AI16" i="68"/>
  <c r="AK16" i="68" s="1"/>
  <c r="EH16" i="68"/>
  <c r="AB16" i="68"/>
  <c r="Y16" i="68"/>
  <c r="V16" i="68"/>
  <c r="S16" i="68"/>
  <c r="P16" i="68"/>
  <c r="M16" i="68"/>
  <c r="J16" i="68"/>
  <c r="G16" i="68"/>
  <c r="D16" i="68"/>
  <c r="EL15" i="68"/>
  <c r="EG15" i="68"/>
  <c r="EI15" i="68" s="1"/>
  <c r="DW15" i="68"/>
  <c r="DT15" i="68"/>
  <c r="DQ15" i="68"/>
  <c r="DN15" i="68"/>
  <c r="DK15" i="68"/>
  <c r="DH15" i="68"/>
  <c r="DE15" i="68"/>
  <c r="DB15" i="68"/>
  <c r="CY15" i="68"/>
  <c r="CV15" i="68"/>
  <c r="CS15" i="68"/>
  <c r="CP15" i="68"/>
  <c r="CM15" i="68"/>
  <c r="CJ15" i="68"/>
  <c r="CG15" i="68"/>
  <c r="CD15" i="68"/>
  <c r="CA15" i="68"/>
  <c r="BX15" i="68"/>
  <c r="BU15" i="68"/>
  <c r="BR15" i="68"/>
  <c r="BO15" i="68"/>
  <c r="BL15" i="68"/>
  <c r="BI15" i="68"/>
  <c r="BF15" i="68"/>
  <c r="BC15" i="68"/>
  <c r="AZ15" i="68"/>
  <c r="AW15" i="68"/>
  <c r="AT15" i="68"/>
  <c r="AO15" i="68"/>
  <c r="AQ15" i="68" s="1"/>
  <c r="AL15" i="68"/>
  <c r="AN15" i="68" s="1"/>
  <c r="AI15" i="68"/>
  <c r="AK15" i="68" s="1"/>
  <c r="AK42" i="68" s="1"/>
  <c r="AB15" i="68"/>
  <c r="Y15" i="68"/>
  <c r="V15" i="68"/>
  <c r="S15" i="68"/>
  <c r="P15" i="68"/>
  <c r="M15" i="68"/>
  <c r="J15" i="68"/>
  <c r="G15" i="68"/>
  <c r="EB15" i="68"/>
  <c r="EL14" i="68"/>
  <c r="EI14" i="68"/>
  <c r="EG14" i="68"/>
  <c r="EB14" i="68"/>
  <c r="DW14" i="68"/>
  <c r="DT14" i="68"/>
  <c r="DQ14" i="68"/>
  <c r="DN14" i="68"/>
  <c r="DK14" i="68"/>
  <c r="DK42" i="68" s="1"/>
  <c r="DH14" i="68"/>
  <c r="DE14" i="68"/>
  <c r="DB14" i="68"/>
  <c r="CY14" i="68"/>
  <c r="CV14" i="68"/>
  <c r="CS14" i="68"/>
  <c r="CP14" i="68"/>
  <c r="CM14" i="68"/>
  <c r="CJ14" i="68"/>
  <c r="CG14" i="68"/>
  <c r="CD14" i="68"/>
  <c r="CA14" i="68"/>
  <c r="BX14" i="68"/>
  <c r="BU14" i="68"/>
  <c r="BR14" i="68"/>
  <c r="BO14" i="68"/>
  <c r="BL14" i="68"/>
  <c r="BI14" i="68"/>
  <c r="BF14" i="68"/>
  <c r="BC14" i="68"/>
  <c r="AZ14" i="68"/>
  <c r="AW14" i="68"/>
  <c r="AT14" i="68"/>
  <c r="AQ14" i="68"/>
  <c r="AO14" i="68"/>
  <c r="AN14" i="68"/>
  <c r="AL14" i="68"/>
  <c r="AI14" i="68"/>
  <c r="AK14" i="68" s="1"/>
  <c r="AB14" i="68"/>
  <c r="Y14" i="68"/>
  <c r="EH14" i="68" s="1"/>
  <c r="V14" i="68"/>
  <c r="S14" i="68"/>
  <c r="P14" i="68"/>
  <c r="P42" i="68" s="1"/>
  <c r="M14" i="68"/>
  <c r="J14" i="68"/>
  <c r="G14" i="68"/>
  <c r="D14" i="68"/>
  <c r="EL13" i="68"/>
  <c r="EG13" i="68"/>
  <c r="EI13" i="68" s="1"/>
  <c r="DW13" i="68"/>
  <c r="DT13" i="68"/>
  <c r="DQ13" i="68"/>
  <c r="DN13" i="68"/>
  <c r="DK13" i="68"/>
  <c r="DH13" i="68"/>
  <c r="DE13" i="68"/>
  <c r="DB13" i="68"/>
  <c r="CY13" i="68"/>
  <c r="CV13" i="68"/>
  <c r="CS13" i="68"/>
  <c r="CP13" i="68"/>
  <c r="CM13" i="68"/>
  <c r="CJ13" i="68"/>
  <c r="CG13" i="68"/>
  <c r="CD13" i="68"/>
  <c r="CA13" i="68"/>
  <c r="BX13" i="68"/>
  <c r="BU13" i="68"/>
  <c r="BR13" i="68"/>
  <c r="BO13" i="68"/>
  <c r="BL13" i="68"/>
  <c r="BI13" i="68"/>
  <c r="BF13" i="68"/>
  <c r="BC13" i="68"/>
  <c r="AZ13" i="68"/>
  <c r="AW13" i="68"/>
  <c r="AT13" i="68"/>
  <c r="AO13" i="68"/>
  <c r="AL13" i="68"/>
  <c r="AN13" i="68" s="1"/>
  <c r="AI13" i="68"/>
  <c r="AK13" i="68" s="1"/>
  <c r="AB13" i="68"/>
  <c r="Y13" i="68"/>
  <c r="V13" i="68"/>
  <c r="EH13" i="68" s="1"/>
  <c r="S13" i="68"/>
  <c r="P13" i="68"/>
  <c r="M13" i="68"/>
  <c r="J13" i="68"/>
  <c r="G13" i="68"/>
  <c r="EL12" i="68"/>
  <c r="EG12" i="68"/>
  <c r="EI12" i="68" s="1"/>
  <c r="DW12" i="68"/>
  <c r="DT12" i="68"/>
  <c r="DQ12" i="68"/>
  <c r="DN12" i="68"/>
  <c r="DK12" i="68"/>
  <c r="DH12" i="68"/>
  <c r="DE12" i="68"/>
  <c r="DB12" i="68"/>
  <c r="CY12" i="68"/>
  <c r="CV12" i="68"/>
  <c r="CS12" i="68"/>
  <c r="CP12" i="68"/>
  <c r="CM12" i="68"/>
  <c r="CJ12" i="68"/>
  <c r="CG12" i="68"/>
  <c r="CD12" i="68"/>
  <c r="CA12" i="68"/>
  <c r="BX12" i="68"/>
  <c r="BU12" i="68"/>
  <c r="BR12" i="68"/>
  <c r="BR42" i="68" s="1"/>
  <c r="BO12" i="68"/>
  <c r="BO42" i="68" s="1"/>
  <c r="BL12" i="68"/>
  <c r="BI12" i="68"/>
  <c r="BF12" i="68"/>
  <c r="BC12" i="68"/>
  <c r="AZ12" i="68"/>
  <c r="AW12" i="68"/>
  <c r="AT12" i="68"/>
  <c r="AO12" i="68"/>
  <c r="AL12" i="68"/>
  <c r="AN12" i="68" s="1"/>
  <c r="AK12" i="68"/>
  <c r="AI12" i="68"/>
  <c r="AH42" i="68"/>
  <c r="AB12" i="68"/>
  <c r="Y12" i="68"/>
  <c r="V12" i="68"/>
  <c r="S12" i="68"/>
  <c r="P12" i="68"/>
  <c r="M12" i="68"/>
  <c r="J12" i="68"/>
  <c r="G12" i="68"/>
  <c r="D12" i="68"/>
  <c r="EL11" i="68"/>
  <c r="EK11" i="68"/>
  <c r="EG11" i="68"/>
  <c r="EB11" i="68"/>
  <c r="DW11" i="68"/>
  <c r="DT11" i="68"/>
  <c r="DQ11" i="68"/>
  <c r="DN11" i="68"/>
  <c r="DK11" i="68"/>
  <c r="DH11" i="68"/>
  <c r="DE11" i="68"/>
  <c r="DB11" i="68"/>
  <c r="CY11" i="68"/>
  <c r="CV11" i="68"/>
  <c r="CS11" i="68"/>
  <c r="CP11" i="68"/>
  <c r="CP42" i="68" s="1"/>
  <c r="CM11" i="68"/>
  <c r="CM42" i="68" s="1"/>
  <c r="CJ11" i="68"/>
  <c r="CJ42" i="68" s="1"/>
  <c r="CG11" i="68"/>
  <c r="CD11" i="68"/>
  <c r="CA11" i="68"/>
  <c r="BX11" i="68"/>
  <c r="BU11" i="68"/>
  <c r="BR11" i="68"/>
  <c r="BO11" i="68"/>
  <c r="BL11" i="68"/>
  <c r="BI11" i="68"/>
  <c r="BF11" i="68"/>
  <c r="BC11" i="68"/>
  <c r="AZ11" i="68"/>
  <c r="AW11" i="68"/>
  <c r="AT11" i="68"/>
  <c r="AQ11" i="68"/>
  <c r="AO11" i="68"/>
  <c r="AL11" i="68"/>
  <c r="AN11" i="68" s="1"/>
  <c r="AK11" i="68"/>
  <c r="AI11" i="68"/>
  <c r="AE42" i="68"/>
  <c r="AB11" i="68"/>
  <c r="Y11" i="68"/>
  <c r="V11" i="68"/>
  <c r="S11" i="68"/>
  <c r="S42" i="68" s="1"/>
  <c r="P11" i="68"/>
  <c r="M11" i="68"/>
  <c r="J11" i="68"/>
  <c r="G11" i="68"/>
  <c r="D11" i="68"/>
  <c r="A12" i="68"/>
  <c r="A13" i="68" s="1"/>
  <c r="A14" i="68" s="1"/>
  <c r="A15" i="68" s="1"/>
  <c r="A16" i="68" s="1"/>
  <c r="A17" i="68" s="1"/>
  <c r="A18" i="68" s="1"/>
  <c r="A19" i="68" s="1"/>
  <c r="A20" i="68" s="1"/>
  <c r="A21" i="68" s="1"/>
  <c r="A22" i="68" s="1"/>
  <c r="A23" i="68" s="1"/>
  <c r="A24" i="68" s="1"/>
  <c r="A25" i="68" s="1"/>
  <c r="A26" i="68" s="1"/>
  <c r="A27" i="68" s="1"/>
  <c r="A28" i="68" s="1"/>
  <c r="A29" i="68" s="1"/>
  <c r="A30" i="68" s="1"/>
  <c r="A31" i="68" s="1"/>
  <c r="A32" i="68" s="1"/>
  <c r="A33" i="68" s="1"/>
  <c r="A34" i="68" s="1"/>
  <c r="A35" i="68" s="1"/>
  <c r="A36" i="68" s="1"/>
  <c r="A37" i="68" s="1"/>
  <c r="A38" i="68" s="1"/>
  <c r="A39" i="68" s="1"/>
  <c r="A40" i="68" s="1"/>
  <c r="A41" i="68" s="1"/>
  <c r="EN2" i="68"/>
  <c r="EP2" i="68" s="1"/>
  <c r="EC21" i="68" l="1"/>
  <c r="ED36" i="68"/>
  <c r="EM37" i="68"/>
  <c r="EM17" i="68"/>
  <c r="ED37" i="68"/>
  <c r="EM34" i="68"/>
  <c r="EC40" i="68"/>
  <c r="EE40" i="68"/>
  <c r="EN19" i="68"/>
  <c r="EM36" i="68"/>
  <c r="EE16" i="68"/>
  <c r="ED18" i="68"/>
  <c r="EN27" i="68"/>
  <c r="EC36" i="68"/>
  <c r="EI5" i="68"/>
  <c r="AT42" i="68"/>
  <c r="CD42" i="68"/>
  <c r="DN42" i="68"/>
  <c r="EH12" i="68"/>
  <c r="EC16" i="68"/>
  <c r="EE18" i="68"/>
  <c r="EE26" i="68"/>
  <c r="DB42" i="68"/>
  <c r="EB12" i="68"/>
  <c r="EH19" i="68"/>
  <c r="ED30" i="68"/>
  <c r="EE30" i="68" s="1"/>
  <c r="EK34" i="68"/>
  <c r="EN34" i="68" s="1"/>
  <c r="J42" i="68"/>
  <c r="BU42" i="68"/>
  <c r="DE42" i="68"/>
  <c r="BI42" i="68"/>
  <c r="CS42" i="68"/>
  <c r="EN20" i="68"/>
  <c r="EH22" i="68"/>
  <c r="EM22" i="68"/>
  <c r="D24" i="68"/>
  <c r="EB24" i="68"/>
  <c r="D27" i="68"/>
  <c r="ED27" i="68" s="1"/>
  <c r="EE27" i="68" s="1"/>
  <c r="EC30" i="68"/>
  <c r="AQ34" i="68"/>
  <c r="ED38" i="68"/>
  <c r="EI2" i="68"/>
  <c r="EI40" i="68"/>
  <c r="V42" i="68"/>
  <c r="CG42" i="68"/>
  <c r="DQ42" i="68"/>
  <c r="EM14" i="68"/>
  <c r="D15" i="68"/>
  <c r="ED15" i="68" s="1"/>
  <c r="EE15" i="68" s="1"/>
  <c r="ED16" i="68"/>
  <c r="AN18" i="68"/>
  <c r="AQ21" i="68"/>
  <c r="ED21" i="68" s="1"/>
  <c r="EE21" i="68" s="1"/>
  <c r="EM23" i="68"/>
  <c r="D25" i="68"/>
  <c r="EB25" i="68"/>
  <c r="EC26" i="68"/>
  <c r="Y42" i="68"/>
  <c r="AZ42" i="68"/>
  <c r="EM11" i="68"/>
  <c r="EN22" i="68"/>
  <c r="EM27" i="68"/>
  <c r="D32" i="68"/>
  <c r="EB32" i="68"/>
  <c r="AQ39" i="68"/>
  <c r="ED39" i="68" s="1"/>
  <c r="EE39" i="68" s="1"/>
  <c r="AB42" i="68"/>
  <c r="BC42" i="68"/>
  <c r="DW42" i="68"/>
  <c r="EK12" i="68"/>
  <c r="AQ12" i="68"/>
  <c r="EE14" i="68"/>
  <c r="ED26" i="68"/>
  <c r="D33" i="68"/>
  <c r="ED33" i="68" s="1"/>
  <c r="EB33" i="68"/>
  <c r="EE2" i="68"/>
  <c r="EQ2" i="68" s="1"/>
  <c r="G4" i="68" s="1"/>
  <c r="EC11" i="68"/>
  <c r="EE11" i="68"/>
  <c r="D13" i="68"/>
  <c r="ED13" i="68" s="1"/>
  <c r="EB13" i="68"/>
  <c r="EK16" i="68"/>
  <c r="EN16" i="68" s="1"/>
  <c r="EC20" i="68"/>
  <c r="ED22" i="68"/>
  <c r="EI11" i="68"/>
  <c r="EI3" i="68"/>
  <c r="EI4" i="68" s="1"/>
  <c r="BX42" i="68"/>
  <c r="EM15" i="68"/>
  <c r="EM18" i="68"/>
  <c r="EN26" i="68"/>
  <c r="AQ32" i="68"/>
  <c r="EM32" i="68" s="1"/>
  <c r="EN32" i="68" s="1"/>
  <c r="EK36" i="68"/>
  <c r="AT36" i="68"/>
  <c r="EB38" i="68"/>
  <c r="AQ40" i="68"/>
  <c r="EH11" i="68"/>
  <c r="EK13" i="68"/>
  <c r="AQ13" i="68"/>
  <c r="EM13" i="68" s="1"/>
  <c r="ED14" i="68"/>
  <c r="EH15" i="68"/>
  <c r="EK23" i="68"/>
  <c r="EN23" i="68" s="1"/>
  <c r="EK29" i="68"/>
  <c r="AQ29" i="68"/>
  <c r="ED29" i="68" s="1"/>
  <c r="EB34" i="68"/>
  <c r="D34" i="68"/>
  <c r="ED34" i="68" s="1"/>
  <c r="ED11" i="68"/>
  <c r="CY42" i="68"/>
  <c r="EC27" i="68"/>
  <c r="EC28" i="68"/>
  <c r="EC31" i="68"/>
  <c r="EK40" i="68"/>
  <c r="AW40" i="68"/>
  <c r="EK14" i="68"/>
  <c r="EK17" i="68"/>
  <c r="AQ17" i="68"/>
  <c r="EK18" i="68"/>
  <c r="D28" i="68"/>
  <c r="ED28" i="68" s="1"/>
  <c r="EE28" i="68" s="1"/>
  <c r="EK28" i="68"/>
  <c r="EN28" i="68" s="1"/>
  <c r="EE36" i="68"/>
  <c r="AW41" i="68"/>
  <c r="ED41" i="68" s="1"/>
  <c r="EE41" i="68" s="1"/>
  <c r="DT42" i="68"/>
  <c r="EB17" i="68"/>
  <c r="ED20" i="68"/>
  <c r="EE20" i="68" s="1"/>
  <c r="EK35" i="68"/>
  <c r="EH36" i="68"/>
  <c r="EB37" i="68"/>
  <c r="EK38" i="68"/>
  <c r="EN38" i="68" s="1"/>
  <c r="EK15" i="68"/>
  <c r="EM19" i="68"/>
  <c r="EB22" i="68"/>
  <c r="AN31" i="68"/>
  <c r="EM31" i="68" s="1"/>
  <c r="EN31" i="68" s="1"/>
  <c r="EK33" i="68"/>
  <c r="EN33" i="68" s="1"/>
  <c r="BL42" i="68"/>
  <c r="CV42" i="68"/>
  <c r="D17" i="68"/>
  <c r="EK25" i="68"/>
  <c r="AQ25" i="68"/>
  <c r="EM25" i="68" s="1"/>
  <c r="EM26" i="68"/>
  <c r="AN35" i="68"/>
  <c r="ED35" i="68" s="1"/>
  <c r="EB35" i="68"/>
  <c r="EK37" i="68"/>
  <c r="EN37" i="68" s="1"/>
  <c r="M42" i="68"/>
  <c r="ED19" i="68"/>
  <c r="EE19" i="68" s="1"/>
  <c r="EB29" i="68"/>
  <c r="EK30" i="68"/>
  <c r="EH35" i="68"/>
  <c r="EK39" i="68"/>
  <c r="ED40" i="68"/>
  <c r="EB23" i="68"/>
  <c r="AQ30" i="68"/>
  <c r="EM30" i="68" s="1"/>
  <c r="EH37" i="68"/>
  <c r="AW39" i="68"/>
  <c r="EM39" i="68" s="1"/>
  <c r="AQ24" i="68"/>
  <c r="EM24" i="68" s="1"/>
  <c r="EN24" i="68" s="1"/>
  <c r="EE13" i="68" l="1"/>
  <c r="EC13" i="68"/>
  <c r="AQ42" i="68"/>
  <c r="EN11" i="68"/>
  <c r="EE22" i="68"/>
  <c r="EC22" i="68"/>
  <c r="EE3" i="68"/>
  <c r="EN12" i="68"/>
  <c r="EN5" i="68"/>
  <c r="EE24" i="68"/>
  <c r="EC24" i="68"/>
  <c r="EM41" i="68"/>
  <c r="EN41" i="68" s="1"/>
  <c r="AN42" i="68"/>
  <c r="EC35" i="68"/>
  <c r="EE35" i="68"/>
  <c r="EN3" i="68"/>
  <c r="ED24" i="68"/>
  <c r="EE12" i="68"/>
  <c r="EC12" i="68"/>
  <c r="EN15" i="68"/>
  <c r="EN18" i="68"/>
  <c r="EN13" i="68"/>
  <c r="EE5" i="68"/>
  <c r="G7" i="68" s="1"/>
  <c r="AW42" i="68"/>
  <c r="ED31" i="68"/>
  <c r="EE31" i="68" s="1"/>
  <c r="EC23" i="68"/>
  <c r="EE23" i="68"/>
  <c r="EM12" i="68"/>
  <c r="EM42" i="68" s="1"/>
  <c r="EE25" i="68"/>
  <c r="EC25" i="68"/>
  <c r="D42" i="68"/>
  <c r="EC37" i="68"/>
  <c r="EE37" i="68"/>
  <c r="EN17" i="68"/>
  <c r="EH42" i="68"/>
  <c r="ED25" i="68"/>
  <c r="ED12" i="68"/>
  <c r="EN39" i="68"/>
  <c r="EN25" i="68"/>
  <c r="EC15" i="68"/>
  <c r="EC34" i="68"/>
  <c r="EE34" i="68"/>
  <c r="EM35" i="68"/>
  <c r="EC18" i="68"/>
  <c r="ED17" i="68"/>
  <c r="EE17" i="68" s="1"/>
  <c r="EN35" i="68"/>
  <c r="EN14" i="68"/>
  <c r="EE33" i="68"/>
  <c r="EC33" i="68"/>
  <c r="EC32" i="68"/>
  <c r="EM29" i="68"/>
  <c r="EM21" i="68"/>
  <c r="EN21" i="68" s="1"/>
  <c r="EM40" i="68"/>
  <c r="EN40" i="68" s="1"/>
  <c r="EN29" i="68"/>
  <c r="EC38" i="68"/>
  <c r="EE38" i="68"/>
  <c r="ED32" i="68"/>
  <c r="EE32" i="68" s="1"/>
  <c r="EN30" i="68"/>
  <c r="EC17" i="68"/>
  <c r="EE29" i="68"/>
  <c r="EC29" i="68"/>
  <c r="EN36" i="68"/>
  <c r="EC14" i="68"/>
  <c r="EC39" i="68"/>
  <c r="G5" i="68" l="1"/>
  <c r="EE4" i="68"/>
  <c r="G6" i="68" s="1"/>
  <c r="EN4" i="68"/>
  <c r="ED42" i="68"/>
  <c r="BO42" i="79"/>
  <c r="EL41" i="79"/>
  <c r="EG41" i="79"/>
  <c r="EI41" i="79" s="1"/>
  <c r="DW41" i="79"/>
  <c r="DT41" i="79"/>
  <c r="DQ41" i="79"/>
  <c r="DN41" i="79"/>
  <c r="DK41" i="79"/>
  <c r="DH41" i="79"/>
  <c r="DE41" i="79"/>
  <c r="DB41" i="79"/>
  <c r="CY41" i="79"/>
  <c r="CV41" i="79"/>
  <c r="CS41" i="79"/>
  <c r="CP41" i="79"/>
  <c r="CM41" i="79"/>
  <c r="CJ41" i="79"/>
  <c r="CG41" i="79"/>
  <c r="CD41" i="79"/>
  <c r="CA41" i="79"/>
  <c r="BX41" i="79"/>
  <c r="BU41" i="79"/>
  <c r="BR41" i="79"/>
  <c r="BO41" i="79"/>
  <c r="BL41" i="79"/>
  <c r="BI41" i="79"/>
  <c r="BF41" i="79"/>
  <c r="BC41" i="79"/>
  <c r="AZ41" i="79"/>
  <c r="AU41" i="79"/>
  <c r="EK41" i="79" s="1"/>
  <c r="EN2" i="79" s="1"/>
  <c r="EP2" i="79" s="1"/>
  <c r="AR41" i="79"/>
  <c r="AT41" i="79" s="1"/>
  <c r="AQ41" i="79"/>
  <c r="AN41" i="79"/>
  <c r="AI41" i="79"/>
  <c r="AK41" i="79" s="1"/>
  <c r="AB41" i="79"/>
  <c r="Y41" i="79"/>
  <c r="V41" i="79"/>
  <c r="S41" i="79"/>
  <c r="P41" i="79"/>
  <c r="M41" i="79"/>
  <c r="J41" i="79"/>
  <c r="G41" i="79"/>
  <c r="D41" i="79"/>
  <c r="EL40" i="79"/>
  <c r="EG40" i="79"/>
  <c r="EI40" i="79" s="1"/>
  <c r="DW40" i="79"/>
  <c r="DT40" i="79"/>
  <c r="DQ40" i="79"/>
  <c r="DN40" i="79"/>
  <c r="DK40" i="79"/>
  <c r="DH40" i="79"/>
  <c r="DE40" i="79"/>
  <c r="DB40" i="79"/>
  <c r="CY40" i="79"/>
  <c r="CV40" i="79"/>
  <c r="CS40" i="79"/>
  <c r="CP40" i="79"/>
  <c r="CM40" i="79"/>
  <c r="CJ40" i="79"/>
  <c r="CG40" i="79"/>
  <c r="CD40" i="79"/>
  <c r="CA40" i="79"/>
  <c r="BX40" i="79"/>
  <c r="BU40" i="79"/>
  <c r="BR40" i="79"/>
  <c r="BO40" i="79"/>
  <c r="BL40" i="79"/>
  <c r="BI40" i="79"/>
  <c r="BF40" i="79"/>
  <c r="BC40" i="79"/>
  <c r="AZ40" i="79"/>
  <c r="AU40" i="79"/>
  <c r="EK40" i="79" s="1"/>
  <c r="AT40" i="79"/>
  <c r="AR40" i="79"/>
  <c r="AO40" i="79"/>
  <c r="AQ40" i="79" s="1"/>
  <c r="AN40" i="79"/>
  <c r="AI40" i="79"/>
  <c r="AK40" i="79" s="1"/>
  <c r="AB40" i="79"/>
  <c r="Y40" i="79"/>
  <c r="V40" i="79"/>
  <c r="S40" i="79"/>
  <c r="EH40" i="79" s="1"/>
  <c r="P40" i="79"/>
  <c r="M40" i="79"/>
  <c r="J40" i="79"/>
  <c r="G40" i="79"/>
  <c r="D40" i="79"/>
  <c r="EL39" i="79"/>
  <c r="EG39" i="79"/>
  <c r="EI39" i="79" s="1"/>
  <c r="DW39" i="79"/>
  <c r="DT39" i="79"/>
  <c r="EM39" i="79" s="1"/>
  <c r="DQ39" i="79"/>
  <c r="DN39" i="79"/>
  <c r="DK39" i="79"/>
  <c r="DH39" i="79"/>
  <c r="DE39" i="79"/>
  <c r="DB39" i="79"/>
  <c r="CY39" i="79"/>
  <c r="CV39" i="79"/>
  <c r="CS39" i="79"/>
  <c r="CP39" i="79"/>
  <c r="CM39" i="79"/>
  <c r="CJ39" i="79"/>
  <c r="CG39" i="79"/>
  <c r="CD39" i="79"/>
  <c r="CA39" i="79"/>
  <c r="BX39" i="79"/>
  <c r="BU39" i="79"/>
  <c r="BR39" i="79"/>
  <c r="BO39" i="79"/>
  <c r="BL39" i="79"/>
  <c r="BI39" i="79"/>
  <c r="BF39" i="79"/>
  <c r="BC39" i="79"/>
  <c r="AZ39" i="79"/>
  <c r="AU39" i="79"/>
  <c r="AW39" i="79" s="1"/>
  <c r="AT39" i="79"/>
  <c r="AR39" i="79"/>
  <c r="AO39" i="79"/>
  <c r="AQ39" i="79" s="1"/>
  <c r="AN39" i="79"/>
  <c r="AI39" i="79"/>
  <c r="AK39" i="79" s="1"/>
  <c r="AB39" i="79"/>
  <c r="Y39" i="79"/>
  <c r="V39" i="79"/>
  <c r="S39" i="79"/>
  <c r="EH39" i="79" s="1"/>
  <c r="P39" i="79"/>
  <c r="M39" i="79"/>
  <c r="J39" i="79"/>
  <c r="G39" i="79"/>
  <c r="EL38" i="79"/>
  <c r="EK38" i="79"/>
  <c r="EG38" i="79"/>
  <c r="EI38" i="79" s="1"/>
  <c r="EB38" i="79"/>
  <c r="DW38" i="79"/>
  <c r="DT38" i="79"/>
  <c r="EM38" i="79" s="1"/>
  <c r="DQ38" i="79"/>
  <c r="DN38" i="79"/>
  <c r="DK38" i="79"/>
  <c r="DH38" i="79"/>
  <c r="DE38" i="79"/>
  <c r="DB38" i="79"/>
  <c r="CY38" i="79"/>
  <c r="CV38" i="79"/>
  <c r="CS38" i="79"/>
  <c r="CP38" i="79"/>
  <c r="CM38" i="79"/>
  <c r="CJ38" i="79"/>
  <c r="CG38" i="79"/>
  <c r="CD38" i="79"/>
  <c r="CA38" i="79"/>
  <c r="BX38" i="79"/>
  <c r="BU38" i="79"/>
  <c r="BR38" i="79"/>
  <c r="BO38" i="79"/>
  <c r="BL38" i="79"/>
  <c r="BI38" i="79"/>
  <c r="BF38" i="79"/>
  <c r="BC38" i="79"/>
  <c r="AZ38" i="79"/>
  <c r="AU38" i="79"/>
  <c r="AW38" i="79" s="1"/>
  <c r="AT38" i="79"/>
  <c r="AR38" i="79"/>
  <c r="AO38" i="79"/>
  <c r="AQ38" i="79" s="1"/>
  <c r="AN38" i="79"/>
  <c r="AI38" i="79"/>
  <c r="AK38" i="79" s="1"/>
  <c r="AB38" i="79"/>
  <c r="Y38" i="79"/>
  <c r="V38" i="79"/>
  <c r="S38" i="79"/>
  <c r="P38" i="79"/>
  <c r="M38" i="79"/>
  <c r="J38" i="79"/>
  <c r="G38" i="79"/>
  <c r="D38" i="79"/>
  <c r="EL37" i="79"/>
  <c r="EK37" i="79"/>
  <c r="EG37" i="79"/>
  <c r="EI37" i="79" s="1"/>
  <c r="DW37" i="79"/>
  <c r="DT37" i="79"/>
  <c r="DQ37" i="79"/>
  <c r="DN37" i="79"/>
  <c r="DK37" i="79"/>
  <c r="DH37" i="79"/>
  <c r="DE37" i="79"/>
  <c r="DB37" i="79"/>
  <c r="CY37" i="79"/>
  <c r="CV37" i="79"/>
  <c r="CS37" i="79"/>
  <c r="CP37" i="79"/>
  <c r="CM37" i="79"/>
  <c r="CJ37" i="79"/>
  <c r="CG37" i="79"/>
  <c r="CD37" i="79"/>
  <c r="CA37" i="79"/>
  <c r="BX37" i="79"/>
  <c r="BU37" i="79"/>
  <c r="BR37" i="79"/>
  <c r="BO37" i="79"/>
  <c r="BL37" i="79"/>
  <c r="BI37" i="79"/>
  <c r="BF37" i="79"/>
  <c r="BC37" i="79"/>
  <c r="AZ37" i="79"/>
  <c r="AU37" i="79"/>
  <c r="EB37" i="79" s="1"/>
  <c r="AT37" i="79"/>
  <c r="AR37" i="79"/>
  <c r="AO37" i="79"/>
  <c r="AQ37" i="79" s="1"/>
  <c r="AN37" i="79"/>
  <c r="AK37" i="79"/>
  <c r="AB37" i="79"/>
  <c r="Y37" i="79"/>
  <c r="V37" i="79"/>
  <c r="S37" i="79"/>
  <c r="EH37" i="79" s="1"/>
  <c r="P37" i="79"/>
  <c r="M37" i="79"/>
  <c r="J37" i="79"/>
  <c r="G37" i="79"/>
  <c r="D37" i="79"/>
  <c r="EL36" i="79"/>
  <c r="EI36" i="79"/>
  <c r="EG36" i="79"/>
  <c r="DW36" i="79"/>
  <c r="DT36" i="79"/>
  <c r="DQ36" i="79"/>
  <c r="DN36" i="79"/>
  <c r="DK36" i="79"/>
  <c r="DH36" i="79"/>
  <c r="DE36" i="79"/>
  <c r="DB36" i="79"/>
  <c r="CY36" i="79"/>
  <c r="CV36" i="79"/>
  <c r="CS36" i="79"/>
  <c r="CP36" i="79"/>
  <c r="CM36" i="79"/>
  <c r="CJ36" i="79"/>
  <c r="CG36" i="79"/>
  <c r="CD36" i="79"/>
  <c r="CA36" i="79"/>
  <c r="BX36" i="79"/>
  <c r="BU36" i="79"/>
  <c r="BR36" i="79"/>
  <c r="BO36" i="79"/>
  <c r="BL36" i="79"/>
  <c r="BI36" i="79"/>
  <c r="BF36" i="79"/>
  <c r="BC36" i="79"/>
  <c r="AZ36" i="79"/>
  <c r="AU36" i="79"/>
  <c r="AW36" i="79" s="1"/>
  <c r="AR36" i="79"/>
  <c r="EB36" i="79" s="1"/>
  <c r="AQ36" i="79"/>
  <c r="AO36" i="79"/>
  <c r="AN36" i="79"/>
  <c r="AK36" i="79"/>
  <c r="AB36" i="79"/>
  <c r="Y36" i="79"/>
  <c r="V36" i="79"/>
  <c r="S36" i="79"/>
  <c r="EH36" i="79" s="1"/>
  <c r="P36" i="79"/>
  <c r="M36" i="79"/>
  <c r="J36" i="79"/>
  <c r="G36" i="79"/>
  <c r="D36" i="79"/>
  <c r="EL35" i="79"/>
  <c r="EK35" i="79"/>
  <c r="EN35" i="79" s="1"/>
  <c r="EI35" i="79"/>
  <c r="EH35" i="79"/>
  <c r="EG35" i="79"/>
  <c r="DW35" i="79"/>
  <c r="DT35" i="79"/>
  <c r="DQ35" i="79"/>
  <c r="DN35" i="79"/>
  <c r="DK35" i="79"/>
  <c r="DH35" i="79"/>
  <c r="DE35" i="79"/>
  <c r="EM35" i="79" s="1"/>
  <c r="DB35" i="79"/>
  <c r="CY35" i="79"/>
  <c r="CV35" i="79"/>
  <c r="CS35" i="79"/>
  <c r="CP35" i="79"/>
  <c r="CM35" i="79"/>
  <c r="CJ35" i="79"/>
  <c r="CG35" i="79"/>
  <c r="CD35" i="79"/>
  <c r="CA35" i="79"/>
  <c r="BX35" i="79"/>
  <c r="BU35" i="79"/>
  <c r="BR35" i="79"/>
  <c r="BO35" i="79"/>
  <c r="BL35" i="79"/>
  <c r="BI35" i="79"/>
  <c r="BF35" i="79"/>
  <c r="BC35" i="79"/>
  <c r="AZ35" i="79"/>
  <c r="AW35" i="79"/>
  <c r="AU35" i="79"/>
  <c r="AR35" i="79"/>
  <c r="AT35" i="79" s="1"/>
  <c r="AQ35" i="79"/>
  <c r="AO35" i="79"/>
  <c r="EB35" i="79" s="1"/>
  <c r="AN35" i="79"/>
  <c r="AK35" i="79"/>
  <c r="AB35" i="79"/>
  <c r="Y35" i="79"/>
  <c r="V35" i="79"/>
  <c r="S35" i="79"/>
  <c r="P35" i="79"/>
  <c r="M35" i="79"/>
  <c r="J35" i="79"/>
  <c r="G35" i="79"/>
  <c r="D35" i="79"/>
  <c r="EL34" i="79"/>
  <c r="EI34" i="79"/>
  <c r="EG34" i="79"/>
  <c r="DW34" i="79"/>
  <c r="DT34" i="79"/>
  <c r="DQ34" i="79"/>
  <c r="DN34" i="79"/>
  <c r="DK34" i="79"/>
  <c r="DH34" i="79"/>
  <c r="DE34" i="79"/>
  <c r="DB34" i="79"/>
  <c r="CY34" i="79"/>
  <c r="CV34" i="79"/>
  <c r="CS34" i="79"/>
  <c r="CP34" i="79"/>
  <c r="CM34" i="79"/>
  <c r="CJ34" i="79"/>
  <c r="CG34" i="79"/>
  <c r="CD34" i="79"/>
  <c r="CA34" i="79"/>
  <c r="BX34" i="79"/>
  <c r="BU34" i="79"/>
  <c r="BR34" i="79"/>
  <c r="BR42" i="79" s="1"/>
  <c r="BO34" i="79"/>
  <c r="BL34" i="79"/>
  <c r="BI34" i="79"/>
  <c r="BF34" i="79"/>
  <c r="BC34" i="79"/>
  <c r="AZ34" i="79"/>
  <c r="AU34" i="79"/>
  <c r="EK34" i="79" s="1"/>
  <c r="AR34" i="79"/>
  <c r="AT34" i="79" s="1"/>
  <c r="AO34" i="79"/>
  <c r="AQ34" i="79" s="1"/>
  <c r="AN34" i="79"/>
  <c r="AI34" i="79"/>
  <c r="AK34" i="79" s="1"/>
  <c r="AB34" i="79"/>
  <c r="Y34" i="79"/>
  <c r="V34" i="79"/>
  <c r="S34" i="79"/>
  <c r="EH34" i="79" s="1"/>
  <c r="P34" i="79"/>
  <c r="M34" i="79"/>
  <c r="J34" i="79"/>
  <c r="G34" i="79"/>
  <c r="D34" i="79"/>
  <c r="EL33" i="79"/>
  <c r="EG33" i="79"/>
  <c r="EI33" i="79" s="1"/>
  <c r="DW33" i="79"/>
  <c r="DT33" i="79"/>
  <c r="DQ33" i="79"/>
  <c r="DN33" i="79"/>
  <c r="DK33" i="79"/>
  <c r="DH33" i="79"/>
  <c r="DE33" i="79"/>
  <c r="DB33" i="79"/>
  <c r="CY33" i="79"/>
  <c r="CV33" i="79"/>
  <c r="CS33" i="79"/>
  <c r="CP33" i="79"/>
  <c r="CM33" i="79"/>
  <c r="CJ33" i="79"/>
  <c r="CG33" i="79"/>
  <c r="CD33" i="79"/>
  <c r="CA33" i="79"/>
  <c r="BX33" i="79"/>
  <c r="BU33" i="79"/>
  <c r="BR33" i="79"/>
  <c r="BO33" i="79"/>
  <c r="BL33" i="79"/>
  <c r="BI33" i="79"/>
  <c r="BF33" i="79"/>
  <c r="BC33" i="79"/>
  <c r="AZ33" i="79"/>
  <c r="AU33" i="79"/>
  <c r="AW33" i="79" s="1"/>
  <c r="AR33" i="79"/>
  <c r="AT33" i="79" s="1"/>
  <c r="AQ33" i="79"/>
  <c r="AO33" i="79"/>
  <c r="AN33" i="79"/>
  <c r="AL33" i="79"/>
  <c r="AK33" i="79"/>
  <c r="AI33" i="79"/>
  <c r="AB33" i="79"/>
  <c r="Y33" i="79"/>
  <c r="EH33" i="79" s="1"/>
  <c r="V33" i="79"/>
  <c r="S33" i="79"/>
  <c r="P33" i="79"/>
  <c r="M33" i="79"/>
  <c r="J33" i="79"/>
  <c r="G33" i="79"/>
  <c r="D33" i="79"/>
  <c r="EL32" i="79"/>
  <c r="EI32" i="79"/>
  <c r="EG32" i="79"/>
  <c r="DW32" i="79"/>
  <c r="DT32" i="79"/>
  <c r="DQ32" i="79"/>
  <c r="DN32" i="79"/>
  <c r="DK32" i="79"/>
  <c r="DH32" i="79"/>
  <c r="DE32" i="79"/>
  <c r="DB32" i="79"/>
  <c r="CY32" i="79"/>
  <c r="CV32" i="79"/>
  <c r="CS32" i="79"/>
  <c r="CP32" i="79"/>
  <c r="CM32" i="79"/>
  <c r="CJ32" i="79"/>
  <c r="CG32" i="79"/>
  <c r="CD32" i="79"/>
  <c r="CA32" i="79"/>
  <c r="BX32" i="79"/>
  <c r="BU32" i="79"/>
  <c r="BU42" i="79" s="1"/>
  <c r="BR32" i="79"/>
  <c r="BO32" i="79"/>
  <c r="BL32" i="79"/>
  <c r="BI32" i="79"/>
  <c r="BF32" i="79"/>
  <c r="BC32" i="79"/>
  <c r="AZ32" i="79"/>
  <c r="AU32" i="79"/>
  <c r="EK32" i="79" s="1"/>
  <c r="AR32" i="79"/>
  <c r="AT32" i="79" s="1"/>
  <c r="AQ32" i="79"/>
  <c r="AO32" i="79"/>
  <c r="AL32" i="79"/>
  <c r="AN32" i="79" s="1"/>
  <c r="AI32" i="79"/>
  <c r="AK32" i="79" s="1"/>
  <c r="AB32" i="79"/>
  <c r="Y32" i="79"/>
  <c r="V32" i="79"/>
  <c r="S32" i="79"/>
  <c r="EH32" i="79" s="1"/>
  <c r="P32" i="79"/>
  <c r="M32" i="79"/>
  <c r="J32" i="79"/>
  <c r="G32" i="79"/>
  <c r="D32" i="79"/>
  <c r="EL31" i="79"/>
  <c r="EK31" i="79"/>
  <c r="EI31" i="79"/>
  <c r="EG31" i="79"/>
  <c r="DW31" i="79"/>
  <c r="DT31" i="79"/>
  <c r="EM31" i="79" s="1"/>
  <c r="DQ31" i="79"/>
  <c r="DN31" i="79"/>
  <c r="DK31" i="79"/>
  <c r="DH31" i="79"/>
  <c r="DE31" i="79"/>
  <c r="DB31" i="79"/>
  <c r="CY31" i="79"/>
  <c r="CV31" i="79"/>
  <c r="CS31" i="79"/>
  <c r="CP31" i="79"/>
  <c r="CM31" i="79"/>
  <c r="CJ31" i="79"/>
  <c r="CG31" i="79"/>
  <c r="CD31" i="79"/>
  <c r="CA31" i="79"/>
  <c r="BX31" i="79"/>
  <c r="BU31" i="79"/>
  <c r="BR31" i="79"/>
  <c r="BO31" i="79"/>
  <c r="BL31" i="79"/>
  <c r="BI31" i="79"/>
  <c r="BF31" i="79"/>
  <c r="BC31" i="79"/>
  <c r="AZ31" i="79"/>
  <c r="AW31" i="79"/>
  <c r="AU31" i="79"/>
  <c r="AR31" i="79"/>
  <c r="AT31" i="79" s="1"/>
  <c r="AQ31" i="79"/>
  <c r="AO31" i="79"/>
  <c r="AN31" i="79"/>
  <c r="AL31" i="79"/>
  <c r="AK31" i="79"/>
  <c r="AB31" i="79"/>
  <c r="Y31" i="79"/>
  <c r="V31" i="79"/>
  <c r="S31" i="79"/>
  <c r="P31" i="79"/>
  <c r="M31" i="79"/>
  <c r="J31" i="79"/>
  <c r="G31" i="79"/>
  <c r="D31" i="79"/>
  <c r="EL30" i="79"/>
  <c r="EI30" i="79"/>
  <c r="EG30" i="79"/>
  <c r="DW30" i="79"/>
  <c r="DT30" i="79"/>
  <c r="DQ30" i="79"/>
  <c r="DN30" i="79"/>
  <c r="DK30" i="79"/>
  <c r="DH30" i="79"/>
  <c r="DH42" i="79" s="1"/>
  <c r="DE30" i="79"/>
  <c r="DB30" i="79"/>
  <c r="CY30" i="79"/>
  <c r="CV30" i="79"/>
  <c r="CS30" i="79"/>
  <c r="CP30" i="79"/>
  <c r="CM30" i="79"/>
  <c r="CJ30" i="79"/>
  <c r="CG30" i="79"/>
  <c r="CD30" i="79"/>
  <c r="CA30" i="79"/>
  <c r="CA42" i="79" s="1"/>
  <c r="BX30" i="79"/>
  <c r="BX42" i="79" s="1"/>
  <c r="BU30" i="79"/>
  <c r="BR30" i="79"/>
  <c r="BO30" i="79"/>
  <c r="BL30" i="79"/>
  <c r="BI30" i="79"/>
  <c r="BF30" i="79"/>
  <c r="BC30" i="79"/>
  <c r="AZ30" i="79"/>
  <c r="AU30" i="79"/>
  <c r="EK30" i="79" s="1"/>
  <c r="AR30" i="79"/>
  <c r="AT30" i="79" s="1"/>
  <c r="AQ30" i="79"/>
  <c r="AO30" i="79"/>
  <c r="AN30" i="79"/>
  <c r="AL30" i="79"/>
  <c r="AI30" i="79"/>
  <c r="AK30" i="79" s="1"/>
  <c r="AB30" i="79"/>
  <c r="Y30" i="79"/>
  <c r="V30" i="79"/>
  <c r="S30" i="79"/>
  <c r="EH30" i="79" s="1"/>
  <c r="P30" i="79"/>
  <c r="M30" i="79"/>
  <c r="J30" i="79"/>
  <c r="G30" i="79"/>
  <c r="EL29" i="79"/>
  <c r="EK29" i="79"/>
  <c r="EN29" i="79" s="1"/>
  <c r="EG29" i="79"/>
  <c r="EI29" i="79" s="1"/>
  <c r="EB29" i="79"/>
  <c r="DW29" i="79"/>
  <c r="DT29" i="79"/>
  <c r="EM29" i="79" s="1"/>
  <c r="DQ29" i="79"/>
  <c r="DN29" i="79"/>
  <c r="DK29" i="79"/>
  <c r="DK42" i="79" s="1"/>
  <c r="DH29" i="79"/>
  <c r="DE29" i="79"/>
  <c r="DB29" i="79"/>
  <c r="CY29" i="79"/>
  <c r="CV29" i="79"/>
  <c r="CS29" i="79"/>
  <c r="CP29" i="79"/>
  <c r="CM29" i="79"/>
  <c r="CJ29" i="79"/>
  <c r="CG29" i="79"/>
  <c r="CD29" i="79"/>
  <c r="CA29" i="79"/>
  <c r="BX29" i="79"/>
  <c r="BU29" i="79"/>
  <c r="BR29" i="79"/>
  <c r="BO29" i="79"/>
  <c r="BL29" i="79"/>
  <c r="BI29" i="79"/>
  <c r="BF29" i="79"/>
  <c r="BC29" i="79"/>
  <c r="AZ29" i="79"/>
  <c r="AW29" i="79"/>
  <c r="AU29" i="79"/>
  <c r="AT29" i="79"/>
  <c r="AR29" i="79"/>
  <c r="AO29" i="79"/>
  <c r="AQ29" i="79" s="1"/>
  <c r="AL29" i="79"/>
  <c r="AN29" i="79" s="1"/>
  <c r="AI29" i="79"/>
  <c r="AK29" i="79" s="1"/>
  <c r="AB29" i="79"/>
  <c r="Y29" i="79"/>
  <c r="V29" i="79"/>
  <c r="S29" i="79"/>
  <c r="EH29" i="79" s="1"/>
  <c r="P29" i="79"/>
  <c r="M29" i="79"/>
  <c r="J29" i="79"/>
  <c r="G29" i="79"/>
  <c r="D29" i="79"/>
  <c r="EL28" i="79"/>
  <c r="EG28" i="79"/>
  <c r="EI28" i="79" s="1"/>
  <c r="DW28" i="79"/>
  <c r="DT28" i="79"/>
  <c r="DQ28" i="79"/>
  <c r="DN28" i="79"/>
  <c r="DK28" i="79"/>
  <c r="DH28" i="79"/>
  <c r="DE28" i="79"/>
  <c r="DB28" i="79"/>
  <c r="CY28" i="79"/>
  <c r="CV28" i="79"/>
  <c r="CS28" i="79"/>
  <c r="CP28" i="79"/>
  <c r="CM28" i="79"/>
  <c r="CJ28" i="79"/>
  <c r="CG28" i="79"/>
  <c r="CD28" i="79"/>
  <c r="CA28" i="79"/>
  <c r="BX28" i="79"/>
  <c r="BU28" i="79"/>
  <c r="BR28" i="79"/>
  <c r="BO28" i="79"/>
  <c r="BL28" i="79"/>
  <c r="BI28" i="79"/>
  <c r="BF28" i="79"/>
  <c r="BC28" i="79"/>
  <c r="AZ28" i="79"/>
  <c r="AU28" i="79"/>
  <c r="AT28" i="79"/>
  <c r="AR28" i="79"/>
  <c r="AQ28" i="79"/>
  <c r="AO28" i="79"/>
  <c r="AL28" i="79"/>
  <c r="AN28" i="79" s="1"/>
  <c r="AI28" i="79"/>
  <c r="AK28" i="79" s="1"/>
  <c r="AB28" i="79"/>
  <c r="Y28" i="79"/>
  <c r="V28" i="79"/>
  <c r="S28" i="79"/>
  <c r="P28" i="79"/>
  <c r="M28" i="79"/>
  <c r="J28" i="79"/>
  <c r="G28" i="79"/>
  <c r="D28" i="79"/>
  <c r="EB28" i="79"/>
  <c r="EL27" i="79"/>
  <c r="EI27" i="79"/>
  <c r="EG27" i="79"/>
  <c r="EB27" i="79"/>
  <c r="DW27" i="79"/>
  <c r="DT27" i="79"/>
  <c r="DQ27" i="79"/>
  <c r="DN27" i="79"/>
  <c r="DK27" i="79"/>
  <c r="DH27" i="79"/>
  <c r="DE27" i="79"/>
  <c r="DB27" i="79"/>
  <c r="CY27" i="79"/>
  <c r="CV27" i="79"/>
  <c r="CS27" i="79"/>
  <c r="CP27" i="79"/>
  <c r="CM27" i="79"/>
  <c r="CJ27" i="79"/>
  <c r="CG27" i="79"/>
  <c r="CD27" i="79"/>
  <c r="CA27" i="79"/>
  <c r="BX27" i="79"/>
  <c r="BU27" i="79"/>
  <c r="BR27" i="79"/>
  <c r="BO27" i="79"/>
  <c r="BL27" i="79"/>
  <c r="BI27" i="79"/>
  <c r="BF27" i="79"/>
  <c r="BC27" i="79"/>
  <c r="AZ27" i="79"/>
  <c r="AW27" i="79"/>
  <c r="AU27" i="79"/>
  <c r="AR27" i="79"/>
  <c r="AT27" i="79" s="1"/>
  <c r="AO27" i="79"/>
  <c r="AQ27" i="79" s="1"/>
  <c r="AL27" i="79"/>
  <c r="AN27" i="79" s="1"/>
  <c r="AI27" i="79"/>
  <c r="AK27" i="79" s="1"/>
  <c r="AB27" i="79"/>
  <c r="Y27" i="79"/>
  <c r="V27" i="79"/>
  <c r="S27" i="79"/>
  <c r="P27" i="79"/>
  <c r="M27" i="79"/>
  <c r="J27" i="79"/>
  <c r="G27" i="79"/>
  <c r="D27" i="79"/>
  <c r="ED27" i="79" s="1"/>
  <c r="EL26" i="79"/>
  <c r="EG26" i="79"/>
  <c r="EI26" i="79" s="1"/>
  <c r="DW26" i="79"/>
  <c r="DT26" i="79"/>
  <c r="DQ26" i="79"/>
  <c r="DN26" i="79"/>
  <c r="DK26" i="79"/>
  <c r="DH26" i="79"/>
  <c r="DE26" i="79"/>
  <c r="DB26" i="79"/>
  <c r="CY26" i="79"/>
  <c r="CV26" i="79"/>
  <c r="CS26" i="79"/>
  <c r="CP26" i="79"/>
  <c r="CM26" i="79"/>
  <c r="CJ26" i="79"/>
  <c r="CG26" i="79"/>
  <c r="CD26" i="79"/>
  <c r="CA26" i="79"/>
  <c r="BX26" i="79"/>
  <c r="BU26" i="79"/>
  <c r="BR26" i="79"/>
  <c r="BO26" i="79"/>
  <c r="BL26" i="79"/>
  <c r="BI26" i="79"/>
  <c r="BF26" i="79"/>
  <c r="BC26" i="79"/>
  <c r="AZ26" i="79"/>
  <c r="AW26" i="79"/>
  <c r="AU26" i="79"/>
  <c r="AT26" i="79"/>
  <c r="AR26" i="79"/>
  <c r="AO26" i="79"/>
  <c r="EK26" i="79" s="1"/>
  <c r="AN26" i="79"/>
  <c r="AL26" i="79"/>
  <c r="AK26" i="79"/>
  <c r="AB26" i="79"/>
  <c r="Y26" i="79"/>
  <c r="V26" i="79"/>
  <c r="S26" i="79"/>
  <c r="EH26" i="79" s="1"/>
  <c r="P26" i="79"/>
  <c r="M26" i="79"/>
  <c r="J26" i="79"/>
  <c r="G26" i="79"/>
  <c r="D26" i="79"/>
  <c r="EL25" i="79"/>
  <c r="EG25" i="79"/>
  <c r="EI25" i="79" s="1"/>
  <c r="DW25" i="79"/>
  <c r="DT25" i="79"/>
  <c r="DQ25" i="79"/>
  <c r="DN25" i="79"/>
  <c r="DK25" i="79"/>
  <c r="DH25" i="79"/>
  <c r="DE25" i="79"/>
  <c r="DB25" i="79"/>
  <c r="CY25" i="79"/>
  <c r="CV25" i="79"/>
  <c r="CS25" i="79"/>
  <c r="CP25" i="79"/>
  <c r="CM25" i="79"/>
  <c r="CJ25" i="79"/>
  <c r="CG25" i="79"/>
  <c r="CD25" i="79"/>
  <c r="CA25" i="79"/>
  <c r="BX25" i="79"/>
  <c r="BU25" i="79"/>
  <c r="BR25" i="79"/>
  <c r="BO25" i="79"/>
  <c r="BL25" i="79"/>
  <c r="BI25" i="79"/>
  <c r="BF25" i="79"/>
  <c r="BC25" i="79"/>
  <c r="AZ25" i="79"/>
  <c r="AW25" i="79"/>
  <c r="AU25" i="79"/>
  <c r="AT25" i="79"/>
  <c r="AR25" i="79"/>
  <c r="AO25" i="79"/>
  <c r="AL25" i="79"/>
  <c r="AN25" i="79" s="1"/>
  <c r="AI25" i="79"/>
  <c r="AK25" i="79" s="1"/>
  <c r="AB25" i="79"/>
  <c r="Y25" i="79"/>
  <c r="V25" i="79"/>
  <c r="S25" i="79"/>
  <c r="P25" i="79"/>
  <c r="M25" i="79"/>
  <c r="J25" i="79"/>
  <c r="J42" i="79" s="1"/>
  <c r="G25" i="79"/>
  <c r="D25" i="79"/>
  <c r="EL24" i="79"/>
  <c r="EG24" i="79"/>
  <c r="EI24" i="79" s="1"/>
  <c r="EB24" i="79"/>
  <c r="EE24" i="79" s="1"/>
  <c r="DW24" i="79"/>
  <c r="DT24" i="79"/>
  <c r="DQ24" i="79"/>
  <c r="DN24" i="79"/>
  <c r="DK24" i="79"/>
  <c r="DH24" i="79"/>
  <c r="DE24" i="79"/>
  <c r="DB24" i="79"/>
  <c r="CY24" i="79"/>
  <c r="CV24" i="79"/>
  <c r="CS24" i="79"/>
  <c r="CP24" i="79"/>
  <c r="CM24" i="79"/>
  <c r="CJ24" i="79"/>
  <c r="CG24" i="79"/>
  <c r="CD24" i="79"/>
  <c r="CA24" i="79"/>
  <c r="BX24" i="79"/>
  <c r="BU24" i="79"/>
  <c r="BR24" i="79"/>
  <c r="BO24" i="79"/>
  <c r="BL24" i="79"/>
  <c r="BI24" i="79"/>
  <c r="BF24" i="79"/>
  <c r="BC24" i="79"/>
  <c r="AZ24" i="79"/>
  <c r="AW24" i="79"/>
  <c r="AT24" i="79"/>
  <c r="AR24" i="79"/>
  <c r="EK24" i="79" s="1"/>
  <c r="AO24" i="79"/>
  <c r="AQ24" i="79" s="1"/>
  <c r="AL24" i="79"/>
  <c r="AN24" i="79" s="1"/>
  <c r="AK24" i="79"/>
  <c r="AI24" i="79"/>
  <c r="EH24" i="79"/>
  <c r="AB24" i="79"/>
  <c r="Y24" i="79"/>
  <c r="V24" i="79"/>
  <c r="S24" i="79"/>
  <c r="P24" i="79"/>
  <c r="M24" i="79"/>
  <c r="J24" i="79"/>
  <c r="G24" i="79"/>
  <c r="D24" i="79"/>
  <c r="ED24" i="79" s="1"/>
  <c r="EL23" i="79"/>
  <c r="EG23" i="79"/>
  <c r="EI23" i="79" s="1"/>
  <c r="EB23" i="79"/>
  <c r="EE23" i="79" s="1"/>
  <c r="DW23" i="79"/>
  <c r="DT23" i="79"/>
  <c r="DQ23" i="79"/>
  <c r="DN23" i="79"/>
  <c r="DK23" i="79"/>
  <c r="DH23" i="79"/>
  <c r="DE23" i="79"/>
  <c r="DB23" i="79"/>
  <c r="DB42" i="79" s="1"/>
  <c r="CY23" i="79"/>
  <c r="CY42" i="79" s="1"/>
  <c r="CV23" i="79"/>
  <c r="CS23" i="79"/>
  <c r="CP23" i="79"/>
  <c r="CM23" i="79"/>
  <c r="CJ23" i="79"/>
  <c r="CG23" i="79"/>
  <c r="CD23" i="79"/>
  <c r="CA23" i="79"/>
  <c r="BX23" i="79"/>
  <c r="BU23" i="79"/>
  <c r="BR23" i="79"/>
  <c r="BO23" i="79"/>
  <c r="BL23" i="79"/>
  <c r="BI23" i="79"/>
  <c r="BF23" i="79"/>
  <c r="BC23" i="79"/>
  <c r="AZ23" i="79"/>
  <c r="AW23" i="79"/>
  <c r="AT23" i="79"/>
  <c r="AR23" i="79"/>
  <c r="AO23" i="79"/>
  <c r="AQ23" i="79" s="1"/>
  <c r="AL23" i="79"/>
  <c r="AN23" i="79" s="1"/>
  <c r="AK23" i="79"/>
  <c r="AB23" i="79"/>
  <c r="EH23" i="79" s="1"/>
  <c r="Y23" i="79"/>
  <c r="V23" i="79"/>
  <c r="S23" i="79"/>
  <c r="P23" i="79"/>
  <c r="M23" i="79"/>
  <c r="J23" i="79"/>
  <c r="G23" i="79"/>
  <c r="G42" i="79" s="1"/>
  <c r="D23" i="79"/>
  <c r="ED23" i="79" s="1"/>
  <c r="EL22" i="79"/>
  <c r="EG22" i="79"/>
  <c r="DW22" i="79"/>
  <c r="DT22" i="79"/>
  <c r="DQ22" i="79"/>
  <c r="DN22" i="79"/>
  <c r="DK22" i="79"/>
  <c r="DH22" i="79"/>
  <c r="DE22" i="79"/>
  <c r="DB22" i="79"/>
  <c r="CY22" i="79"/>
  <c r="CV22" i="79"/>
  <c r="CS22" i="79"/>
  <c r="CP22" i="79"/>
  <c r="CM22" i="79"/>
  <c r="CJ22" i="79"/>
  <c r="CG22" i="79"/>
  <c r="CD22" i="79"/>
  <c r="CA22" i="79"/>
  <c r="BX22" i="79"/>
  <c r="BU22" i="79"/>
  <c r="BR22" i="79"/>
  <c r="BO22" i="79"/>
  <c r="BL22" i="79"/>
  <c r="BI22" i="79"/>
  <c r="BF22" i="79"/>
  <c r="BC22" i="79"/>
  <c r="AZ22" i="79"/>
  <c r="AW22" i="79"/>
  <c r="AR22" i="79"/>
  <c r="AT22" i="79" s="1"/>
  <c r="AO22" i="79"/>
  <c r="AQ22" i="79" s="1"/>
  <c r="AL22" i="79"/>
  <c r="AN22" i="79" s="1"/>
  <c r="AK22" i="79"/>
  <c r="AB22" i="79"/>
  <c r="Y22" i="79"/>
  <c r="V22" i="79"/>
  <c r="EH22" i="79" s="1"/>
  <c r="S22" i="79"/>
  <c r="P22" i="79"/>
  <c r="M22" i="79"/>
  <c r="J22" i="79"/>
  <c r="G22" i="79"/>
  <c r="D22" i="79"/>
  <c r="ED22" i="79" s="1"/>
  <c r="EL21" i="79"/>
  <c r="EI21" i="79"/>
  <c r="EG21" i="79"/>
  <c r="EB21" i="79"/>
  <c r="EC21" i="79" s="1"/>
  <c r="DW21" i="79"/>
  <c r="DT21" i="79"/>
  <c r="DQ21" i="79"/>
  <c r="DN21" i="79"/>
  <c r="DK21" i="79"/>
  <c r="DH21" i="79"/>
  <c r="DE21" i="79"/>
  <c r="DB21" i="79"/>
  <c r="CY21" i="79"/>
  <c r="CV21" i="79"/>
  <c r="EM21" i="79" s="1"/>
  <c r="CS21" i="79"/>
  <c r="CP21" i="79"/>
  <c r="CM21" i="79"/>
  <c r="CJ21" i="79"/>
  <c r="CG21" i="79"/>
  <c r="CD21" i="79"/>
  <c r="CA21" i="79"/>
  <c r="BX21" i="79"/>
  <c r="BU21" i="79"/>
  <c r="BR21" i="79"/>
  <c r="BO21" i="79"/>
  <c r="BL21" i="79"/>
  <c r="BI21" i="79"/>
  <c r="BF21" i="79"/>
  <c r="BC21" i="79"/>
  <c r="AZ21" i="79"/>
  <c r="AW21" i="79"/>
  <c r="AT21" i="79"/>
  <c r="AR21" i="79"/>
  <c r="EK21" i="79" s="1"/>
  <c r="EN21" i="79" s="1"/>
  <c r="AQ21" i="79"/>
  <c r="AO21" i="79"/>
  <c r="AL21" i="79"/>
  <c r="AN21" i="79" s="1"/>
  <c r="AK21" i="79"/>
  <c r="AB21" i="79"/>
  <c r="Y21" i="79"/>
  <c r="ED21" i="79" s="1"/>
  <c r="V21" i="79"/>
  <c r="S21" i="79"/>
  <c r="P21" i="79"/>
  <c r="M21" i="79"/>
  <c r="J21" i="79"/>
  <c r="G21" i="79"/>
  <c r="D21" i="79"/>
  <c r="EL20" i="79"/>
  <c r="EG20" i="79"/>
  <c r="EI20" i="79" s="1"/>
  <c r="DW20" i="79"/>
  <c r="DT20" i="79"/>
  <c r="DQ20" i="79"/>
  <c r="DN20" i="79"/>
  <c r="DK20" i="79"/>
  <c r="DH20" i="79"/>
  <c r="DE20" i="79"/>
  <c r="DB20" i="79"/>
  <c r="CY20" i="79"/>
  <c r="CV20" i="79"/>
  <c r="CS20" i="79"/>
  <c r="CP20" i="79"/>
  <c r="CM20" i="79"/>
  <c r="CJ20" i="79"/>
  <c r="CG20" i="79"/>
  <c r="CD20" i="79"/>
  <c r="CA20" i="79"/>
  <c r="BX20" i="79"/>
  <c r="BU20" i="79"/>
  <c r="BR20" i="79"/>
  <c r="BO20" i="79"/>
  <c r="BL20" i="79"/>
  <c r="BI20" i="79"/>
  <c r="BF20" i="79"/>
  <c r="BC20" i="79"/>
  <c r="AZ20" i="79"/>
  <c r="AW20" i="79"/>
  <c r="AT20" i="79"/>
  <c r="AR20" i="79"/>
  <c r="AO20" i="79"/>
  <c r="AQ20" i="79" s="1"/>
  <c r="AL20" i="79"/>
  <c r="AN20" i="79" s="1"/>
  <c r="AI20" i="79"/>
  <c r="AK20" i="79" s="1"/>
  <c r="EM20" i="79" s="1"/>
  <c r="AB20" i="79"/>
  <c r="Y20" i="79"/>
  <c r="V20" i="79"/>
  <c r="S20" i="79"/>
  <c r="P20" i="79"/>
  <c r="M20" i="79"/>
  <c r="J20" i="79"/>
  <c r="G20" i="79"/>
  <c r="D20" i="79"/>
  <c r="EL19" i="79"/>
  <c r="EG19" i="79"/>
  <c r="EI19" i="79" s="1"/>
  <c r="EB19" i="79"/>
  <c r="DW19" i="79"/>
  <c r="DT19" i="79"/>
  <c r="EM19" i="79" s="1"/>
  <c r="DQ19" i="79"/>
  <c r="DN19" i="79"/>
  <c r="DK19" i="79"/>
  <c r="DH19" i="79"/>
  <c r="DE19" i="79"/>
  <c r="DB19" i="79"/>
  <c r="CY19" i="79"/>
  <c r="CV19" i="79"/>
  <c r="CS19" i="79"/>
  <c r="CP19" i="79"/>
  <c r="CM19" i="79"/>
  <c r="CJ19" i="79"/>
  <c r="CG19" i="79"/>
  <c r="CD19" i="79"/>
  <c r="CA19" i="79"/>
  <c r="BX19" i="79"/>
  <c r="BU19" i="79"/>
  <c r="BR19" i="79"/>
  <c r="BO19" i="79"/>
  <c r="BL19" i="79"/>
  <c r="BI19" i="79"/>
  <c r="BF19" i="79"/>
  <c r="BC19" i="79"/>
  <c r="AZ19" i="79"/>
  <c r="AW19" i="79"/>
  <c r="AT19" i="79"/>
  <c r="AR19" i="79"/>
  <c r="EK19" i="79" s="1"/>
  <c r="EN19" i="79" s="1"/>
  <c r="AO19" i="79"/>
  <c r="AQ19" i="79" s="1"/>
  <c r="AL19" i="79"/>
  <c r="AN19" i="79" s="1"/>
  <c r="AI19" i="79"/>
  <c r="AK19" i="79" s="1"/>
  <c r="AB19" i="79"/>
  <c r="Y19" i="79"/>
  <c r="V19" i="79"/>
  <c r="EH19" i="79" s="1"/>
  <c r="S19" i="79"/>
  <c r="P19" i="79"/>
  <c r="M19" i="79"/>
  <c r="J19" i="79"/>
  <c r="G19" i="79"/>
  <c r="D19" i="79"/>
  <c r="EL18" i="79"/>
  <c r="EG18" i="79"/>
  <c r="EI18" i="79" s="1"/>
  <c r="EB18" i="79"/>
  <c r="DW18" i="79"/>
  <c r="DT18" i="79"/>
  <c r="EM18" i="79" s="1"/>
  <c r="DQ18" i="79"/>
  <c r="DN18" i="79"/>
  <c r="DK18" i="79"/>
  <c r="DH18" i="79"/>
  <c r="DE18" i="79"/>
  <c r="DB18" i="79"/>
  <c r="CY18" i="79"/>
  <c r="CV18" i="79"/>
  <c r="CS18" i="79"/>
  <c r="CP18" i="79"/>
  <c r="CM18" i="79"/>
  <c r="CJ18" i="79"/>
  <c r="CG18" i="79"/>
  <c r="CD18" i="79"/>
  <c r="CA18" i="79"/>
  <c r="BX18" i="79"/>
  <c r="BU18" i="79"/>
  <c r="BR18" i="79"/>
  <c r="BO18" i="79"/>
  <c r="BL18" i="79"/>
  <c r="BI18" i="79"/>
  <c r="BF18" i="79"/>
  <c r="BC18" i="79"/>
  <c r="AZ18" i="79"/>
  <c r="AW18" i="79"/>
  <c r="AT18" i="79"/>
  <c r="AR18" i="79"/>
  <c r="AO18" i="79"/>
  <c r="AQ18" i="79" s="1"/>
  <c r="AL18" i="79"/>
  <c r="AN18" i="79" s="1"/>
  <c r="AI18" i="79"/>
  <c r="AK18" i="79" s="1"/>
  <c r="AB18" i="79"/>
  <c r="Y18" i="79"/>
  <c r="V18" i="79"/>
  <c r="EH18" i="79" s="1"/>
  <c r="S18" i="79"/>
  <c r="P18" i="79"/>
  <c r="M18" i="79"/>
  <c r="J18" i="79"/>
  <c r="G18" i="79"/>
  <c r="D18" i="79"/>
  <c r="EL17" i="79"/>
  <c r="EG17" i="79"/>
  <c r="EI17" i="79" s="1"/>
  <c r="EB17" i="79"/>
  <c r="DW17" i="79"/>
  <c r="DT17" i="79"/>
  <c r="DQ17" i="79"/>
  <c r="DN17" i="79"/>
  <c r="DK17" i="79"/>
  <c r="DH17" i="79"/>
  <c r="DE17" i="79"/>
  <c r="DB17" i="79"/>
  <c r="CY17" i="79"/>
  <c r="CV17" i="79"/>
  <c r="CS17" i="79"/>
  <c r="EM17" i="79" s="1"/>
  <c r="CP17" i="79"/>
  <c r="CM17" i="79"/>
  <c r="CJ17" i="79"/>
  <c r="CG17" i="79"/>
  <c r="CD17" i="79"/>
  <c r="CA17" i="79"/>
  <c r="BX17" i="79"/>
  <c r="BU17" i="79"/>
  <c r="BR17" i="79"/>
  <c r="BO17" i="79"/>
  <c r="BL17" i="79"/>
  <c r="BI17" i="79"/>
  <c r="BF17" i="79"/>
  <c r="BC17" i="79"/>
  <c r="AZ17" i="79"/>
  <c r="AW17" i="79"/>
  <c r="AT17" i="79"/>
  <c r="AR17" i="79"/>
  <c r="AO17" i="79"/>
  <c r="AQ17" i="79" s="1"/>
  <c r="AL17" i="79"/>
  <c r="AN17" i="79" s="1"/>
  <c r="AI17" i="79"/>
  <c r="AK17" i="79" s="1"/>
  <c r="AB17" i="79"/>
  <c r="Y17" i="79"/>
  <c r="V17" i="79"/>
  <c r="S17" i="79"/>
  <c r="P17" i="79"/>
  <c r="M17" i="79"/>
  <c r="J17" i="79"/>
  <c r="G17" i="79"/>
  <c r="D17" i="79"/>
  <c r="EL16" i="79"/>
  <c r="EG16" i="79"/>
  <c r="EI16" i="79" s="1"/>
  <c r="DW16" i="79"/>
  <c r="DT16" i="79"/>
  <c r="DQ16" i="79"/>
  <c r="DN16" i="79"/>
  <c r="DK16" i="79"/>
  <c r="DH16" i="79"/>
  <c r="DE16" i="79"/>
  <c r="DB16" i="79"/>
  <c r="CY16" i="79"/>
  <c r="CV16" i="79"/>
  <c r="CS16" i="79"/>
  <c r="CP16" i="79"/>
  <c r="CM16" i="79"/>
  <c r="CJ16" i="79"/>
  <c r="CG16" i="79"/>
  <c r="CD16" i="79"/>
  <c r="CA16" i="79"/>
  <c r="BX16" i="79"/>
  <c r="BU16" i="79"/>
  <c r="BR16" i="79"/>
  <c r="BO16" i="79"/>
  <c r="BL16" i="79"/>
  <c r="BI16" i="79"/>
  <c r="BF16" i="79"/>
  <c r="BC16" i="79"/>
  <c r="AZ16" i="79"/>
  <c r="AW16" i="79"/>
  <c r="AT16" i="79"/>
  <c r="AR16" i="79"/>
  <c r="AO16" i="79"/>
  <c r="AQ16" i="79" s="1"/>
  <c r="AL16" i="79"/>
  <c r="AN16" i="79" s="1"/>
  <c r="AI16" i="79"/>
  <c r="AK16" i="79" s="1"/>
  <c r="EM16" i="79" s="1"/>
  <c r="AB16" i="79"/>
  <c r="Y16" i="79"/>
  <c r="V16" i="79"/>
  <c r="S16" i="79"/>
  <c r="P16" i="79"/>
  <c r="M16" i="79"/>
  <c r="J16" i="79"/>
  <c r="G16" i="79"/>
  <c r="D16" i="79"/>
  <c r="EL15" i="79"/>
  <c r="EG15" i="79"/>
  <c r="EI15" i="79" s="1"/>
  <c r="EB15" i="79"/>
  <c r="DW15" i="79"/>
  <c r="DT15" i="79"/>
  <c r="EM15" i="79" s="1"/>
  <c r="DQ15" i="79"/>
  <c r="DN15" i="79"/>
  <c r="DK15" i="79"/>
  <c r="DH15" i="79"/>
  <c r="DE15" i="79"/>
  <c r="DB15" i="79"/>
  <c r="CY15" i="79"/>
  <c r="CV15" i="79"/>
  <c r="CS15" i="79"/>
  <c r="CP15" i="79"/>
  <c r="CM15" i="79"/>
  <c r="CJ15" i="79"/>
  <c r="CG15" i="79"/>
  <c r="CD15" i="79"/>
  <c r="CA15" i="79"/>
  <c r="BX15" i="79"/>
  <c r="BU15" i="79"/>
  <c r="BR15" i="79"/>
  <c r="BO15" i="79"/>
  <c r="BL15" i="79"/>
  <c r="BI15" i="79"/>
  <c r="BF15" i="79"/>
  <c r="BC15" i="79"/>
  <c r="AZ15" i="79"/>
  <c r="AW15" i="79"/>
  <c r="AT15" i="79"/>
  <c r="AR15" i="79"/>
  <c r="EK15" i="79" s="1"/>
  <c r="EN15" i="79" s="1"/>
  <c r="AO15" i="79"/>
  <c r="AQ15" i="79" s="1"/>
  <c r="AL15" i="79"/>
  <c r="AN15" i="79" s="1"/>
  <c r="AI15" i="79"/>
  <c r="AK15" i="79" s="1"/>
  <c r="AB15" i="79"/>
  <c r="Y15" i="79"/>
  <c r="V15" i="79"/>
  <c r="EH15" i="79" s="1"/>
  <c r="S15" i="79"/>
  <c r="P15" i="79"/>
  <c r="M15" i="79"/>
  <c r="J15" i="79"/>
  <c r="G15" i="79"/>
  <c r="D15" i="79"/>
  <c r="EL14" i="79"/>
  <c r="EG14" i="79"/>
  <c r="EI14" i="79" s="1"/>
  <c r="EB14" i="79"/>
  <c r="DW14" i="79"/>
  <c r="DT14" i="79"/>
  <c r="EM14" i="79" s="1"/>
  <c r="DQ14" i="79"/>
  <c r="DN14" i="79"/>
  <c r="DK14" i="79"/>
  <c r="DH14" i="79"/>
  <c r="DE14" i="79"/>
  <c r="DB14" i="79"/>
  <c r="CY14" i="79"/>
  <c r="CV14" i="79"/>
  <c r="CS14" i="79"/>
  <c r="CP14" i="79"/>
  <c r="CM14" i="79"/>
  <c r="CJ14" i="79"/>
  <c r="CG14" i="79"/>
  <c r="CD14" i="79"/>
  <c r="CA14" i="79"/>
  <c r="BX14" i="79"/>
  <c r="BU14" i="79"/>
  <c r="BR14" i="79"/>
  <c r="BO14" i="79"/>
  <c r="BL14" i="79"/>
  <c r="BI14" i="79"/>
  <c r="BF14" i="79"/>
  <c r="BC14" i="79"/>
  <c r="AZ14" i="79"/>
  <c r="AW14" i="79"/>
  <c r="AT14" i="79"/>
  <c r="AR14" i="79"/>
  <c r="AO14" i="79"/>
  <c r="AQ14" i="79" s="1"/>
  <c r="AL14" i="79"/>
  <c r="AN14" i="79" s="1"/>
  <c r="AI14" i="79"/>
  <c r="AK14" i="79" s="1"/>
  <c r="AB14" i="79"/>
  <c r="Y14" i="79"/>
  <c r="V14" i="79"/>
  <c r="EH14" i="79" s="1"/>
  <c r="S14" i="79"/>
  <c r="P14" i="79"/>
  <c r="M14" i="79"/>
  <c r="J14" i="79"/>
  <c r="G14" i="79"/>
  <c r="D14" i="79"/>
  <c r="EL13" i="79"/>
  <c r="EG13" i="79"/>
  <c r="EI13" i="79" s="1"/>
  <c r="EB13" i="79"/>
  <c r="DW13" i="79"/>
  <c r="DT13" i="79"/>
  <c r="DQ13" i="79"/>
  <c r="DN13" i="79"/>
  <c r="DK13" i="79"/>
  <c r="DH13" i="79"/>
  <c r="DE13" i="79"/>
  <c r="DB13" i="79"/>
  <c r="CY13" i="79"/>
  <c r="CV13" i="79"/>
  <c r="CS13" i="79"/>
  <c r="EM13" i="79" s="1"/>
  <c r="CP13" i="79"/>
  <c r="CM13" i="79"/>
  <c r="CJ13" i="79"/>
  <c r="CG13" i="79"/>
  <c r="CD13" i="79"/>
  <c r="CA13" i="79"/>
  <c r="BX13" i="79"/>
  <c r="BU13" i="79"/>
  <c r="BR13" i="79"/>
  <c r="BO13" i="79"/>
  <c r="BL13" i="79"/>
  <c r="BI13" i="79"/>
  <c r="BF13" i="79"/>
  <c r="BC13" i="79"/>
  <c r="AZ13" i="79"/>
  <c r="AW13" i="79"/>
  <c r="AT13" i="79"/>
  <c r="AR13" i="79"/>
  <c r="AO13" i="79"/>
  <c r="AQ13" i="79" s="1"/>
  <c r="AL13" i="79"/>
  <c r="AN13" i="79" s="1"/>
  <c r="AI13" i="79"/>
  <c r="AK13" i="79" s="1"/>
  <c r="AE42" i="79"/>
  <c r="AB13" i="79"/>
  <c r="Y13" i="79"/>
  <c r="V13" i="79"/>
  <c r="S13" i="79"/>
  <c r="P13" i="79"/>
  <c r="M13" i="79"/>
  <c r="J13" i="79"/>
  <c r="G13" i="79"/>
  <c r="D13" i="79"/>
  <c r="EL12" i="79"/>
  <c r="EG12" i="79"/>
  <c r="EI12" i="79" s="1"/>
  <c r="DW12" i="79"/>
  <c r="DT12" i="79"/>
  <c r="DQ12" i="79"/>
  <c r="DN12" i="79"/>
  <c r="DK12" i="79"/>
  <c r="DH12" i="79"/>
  <c r="DE12" i="79"/>
  <c r="DB12" i="79"/>
  <c r="CY12" i="79"/>
  <c r="CV12" i="79"/>
  <c r="CS12" i="79"/>
  <c r="CP12" i="79"/>
  <c r="CM12" i="79"/>
  <c r="CJ12" i="79"/>
  <c r="CG12" i="79"/>
  <c r="CD12" i="79"/>
  <c r="CA12" i="79"/>
  <c r="BX12" i="79"/>
  <c r="BU12" i="79"/>
  <c r="BR12" i="79"/>
  <c r="BO12" i="79"/>
  <c r="BL12" i="79"/>
  <c r="BI12" i="79"/>
  <c r="BF12" i="79"/>
  <c r="BC12" i="79"/>
  <c r="AZ12" i="79"/>
  <c r="AW12" i="79"/>
  <c r="AT12" i="79"/>
  <c r="AR12" i="79"/>
  <c r="AO12" i="79"/>
  <c r="AQ12" i="79" s="1"/>
  <c r="AL12" i="79"/>
  <c r="AN12" i="79" s="1"/>
  <c r="AI12" i="79"/>
  <c r="AK12" i="79" s="1"/>
  <c r="EM12" i="79" s="1"/>
  <c r="AB12" i="79"/>
  <c r="Y12" i="79"/>
  <c r="V12" i="79"/>
  <c r="S12" i="79"/>
  <c r="P12" i="79"/>
  <c r="M12" i="79"/>
  <c r="J12" i="79"/>
  <c r="G12" i="79"/>
  <c r="D12" i="79"/>
  <c r="A12" i="79"/>
  <c r="A13" i="79" s="1"/>
  <c r="A14" i="79" s="1"/>
  <c r="A15" i="79" s="1"/>
  <c r="A16" i="79" s="1"/>
  <c r="A17" i="79" s="1"/>
  <c r="A18" i="79" s="1"/>
  <c r="A19" i="79" s="1"/>
  <c r="A20" i="79" s="1"/>
  <c r="A21" i="79" s="1"/>
  <c r="A22" i="79" s="1"/>
  <c r="A23" i="79" s="1"/>
  <c r="A24" i="79" s="1"/>
  <c r="A25" i="79" s="1"/>
  <c r="A26" i="79" s="1"/>
  <c r="A27" i="79" s="1"/>
  <c r="A28" i="79" s="1"/>
  <c r="A29" i="79" s="1"/>
  <c r="A30" i="79" s="1"/>
  <c r="A31" i="79" s="1"/>
  <c r="A32" i="79" s="1"/>
  <c r="A33" i="79" s="1"/>
  <c r="A34" i="79" s="1"/>
  <c r="A35" i="79" s="1"/>
  <c r="A36" i="79" s="1"/>
  <c r="A37" i="79" s="1"/>
  <c r="A38" i="79" s="1"/>
  <c r="A39" i="79" s="1"/>
  <c r="A40" i="79" s="1"/>
  <c r="A41" i="79" s="1"/>
  <c r="EL11" i="79"/>
  <c r="EG11" i="79"/>
  <c r="EI11" i="79" s="1"/>
  <c r="EB11" i="79"/>
  <c r="EC11" i="79" s="1"/>
  <c r="DW11" i="79"/>
  <c r="DT11" i="79"/>
  <c r="DQ11" i="79"/>
  <c r="DN11" i="79"/>
  <c r="DN42" i="79" s="1"/>
  <c r="DK11" i="79"/>
  <c r="DH11" i="79"/>
  <c r="DE11" i="79"/>
  <c r="DB11" i="79"/>
  <c r="CY11" i="79"/>
  <c r="CV11" i="79"/>
  <c r="CS11" i="79"/>
  <c r="CP11" i="79"/>
  <c r="CM11" i="79"/>
  <c r="CJ11" i="79"/>
  <c r="CG11" i="79"/>
  <c r="CD11" i="79"/>
  <c r="CA11" i="79"/>
  <c r="BX11" i="79"/>
  <c r="BU11" i="79"/>
  <c r="BR11" i="79"/>
  <c r="BO11" i="79"/>
  <c r="BL11" i="79"/>
  <c r="BI11" i="79"/>
  <c r="BF11" i="79"/>
  <c r="BC11" i="79"/>
  <c r="AZ11" i="79"/>
  <c r="AW11" i="79"/>
  <c r="AT11" i="79"/>
  <c r="AR11" i="79"/>
  <c r="EK11" i="79" s="1"/>
  <c r="AO11" i="79"/>
  <c r="AQ11" i="79" s="1"/>
  <c r="AL11" i="79"/>
  <c r="AN11" i="79" s="1"/>
  <c r="AI11" i="79"/>
  <c r="AK11" i="79" s="1"/>
  <c r="AH42" i="79"/>
  <c r="AB11" i="79"/>
  <c r="Y11" i="79"/>
  <c r="V11" i="79"/>
  <c r="S11" i="79"/>
  <c r="P11" i="79"/>
  <c r="M11" i="79"/>
  <c r="J11" i="79"/>
  <c r="G11" i="79"/>
  <c r="D11" i="79"/>
  <c r="EI3" i="79"/>
  <c r="EI4" i="79" s="1"/>
  <c r="EI2" i="79"/>
  <c r="EM33" i="79" l="1"/>
  <c r="EM28" i="79"/>
  <c r="EN31" i="79"/>
  <c r="ED28" i="79"/>
  <c r="EE28" i="79" s="1"/>
  <c r="AK42" i="79"/>
  <c r="EN26" i="79"/>
  <c r="EM32" i="79"/>
  <c r="EN32" i="79" s="1"/>
  <c r="AN42" i="79"/>
  <c r="EC37" i="79"/>
  <c r="ED25" i="79"/>
  <c r="AQ42" i="79"/>
  <c r="AT42" i="79"/>
  <c r="EC13" i="79"/>
  <c r="EN38" i="79"/>
  <c r="EM27" i="79"/>
  <c r="ED12" i="79"/>
  <c r="EB25" i="79"/>
  <c r="M42" i="79"/>
  <c r="EE29" i="79"/>
  <c r="EC29" i="79"/>
  <c r="EB33" i="79"/>
  <c r="CJ42" i="79"/>
  <c r="EC35" i="79"/>
  <c r="BC42" i="79"/>
  <c r="AW32" i="79"/>
  <c r="ED32" i="79" s="1"/>
  <c r="BF42" i="79"/>
  <c r="EE15" i="79"/>
  <c r="EE19" i="79"/>
  <c r="AB42" i="79"/>
  <c r="BI42" i="79"/>
  <c r="ED14" i="79"/>
  <c r="EE14" i="79" s="1"/>
  <c r="EK17" i="79"/>
  <c r="EN17" i="79" s="1"/>
  <c r="ED18" i="79"/>
  <c r="EE18" i="79" s="1"/>
  <c r="EC19" i="79"/>
  <c r="EK23" i="79"/>
  <c r="EC23" i="79" s="1"/>
  <c r="EC24" i="79"/>
  <c r="EK28" i="79"/>
  <c r="EN28" i="79" s="1"/>
  <c r="EK33" i="79"/>
  <c r="EN33" i="79" s="1"/>
  <c r="AW37" i="79"/>
  <c r="EM37" i="79" s="1"/>
  <c r="EN37" i="79" s="1"/>
  <c r="EK39" i="79"/>
  <c r="EN39" i="79" s="1"/>
  <c r="BL42" i="79"/>
  <c r="CV42" i="79"/>
  <c r="EH12" i="79"/>
  <c r="EH16" i="79"/>
  <c r="EH20" i="79"/>
  <c r="EB26" i="79"/>
  <c r="EH28" i="79"/>
  <c r="AW28" i="79"/>
  <c r="EK36" i="79"/>
  <c r="AW41" i="79"/>
  <c r="EM41" i="79" s="1"/>
  <c r="EN41" i="79" s="1"/>
  <c r="DE42" i="79"/>
  <c r="EC36" i="79"/>
  <c r="ED16" i="79"/>
  <c r="ED20" i="79"/>
  <c r="EE27" i="79"/>
  <c r="ED35" i="79"/>
  <c r="EE35" i="79" s="1"/>
  <c r="DT42" i="79"/>
  <c r="ED17" i="79"/>
  <c r="EE17" i="79" s="1"/>
  <c r="EK20" i="79"/>
  <c r="EN20" i="79" s="1"/>
  <c r="EM24" i="79"/>
  <c r="EN24" i="79" s="1"/>
  <c r="CM42" i="79"/>
  <c r="AW34" i="79"/>
  <c r="ED34" i="79" s="1"/>
  <c r="Y42" i="79"/>
  <c r="CP42" i="79"/>
  <c r="EK25" i="79"/>
  <c r="CS42" i="79"/>
  <c r="EK13" i="79"/>
  <c r="EN13" i="79" s="1"/>
  <c r="EB12" i="79"/>
  <c r="EB16" i="79"/>
  <c r="EB20" i="79"/>
  <c r="EH25" i="79"/>
  <c r="ED36" i="79"/>
  <c r="EE36" i="79" s="1"/>
  <c r="D39" i="79"/>
  <c r="ED39" i="79" s="1"/>
  <c r="EB39" i="79"/>
  <c r="EH41" i="79"/>
  <c r="AT36" i="79"/>
  <c r="EM36" i="79" s="1"/>
  <c r="CD42" i="79"/>
  <c r="EE38" i="79"/>
  <c r="EC38" i="79"/>
  <c r="DQ42" i="79"/>
  <c r="AZ42" i="79"/>
  <c r="EK12" i="79"/>
  <c r="EN12" i="79" s="1"/>
  <c r="EK16" i="79"/>
  <c r="EN16" i="79" s="1"/>
  <c r="DW42" i="79"/>
  <c r="ED33" i="79"/>
  <c r="ED38" i="79"/>
  <c r="EE11" i="79"/>
  <c r="EB22" i="79"/>
  <c r="EM26" i="79"/>
  <c r="ED29" i="79"/>
  <c r="AW30" i="79"/>
  <c r="EM30" i="79" s="1"/>
  <c r="EN30" i="79" s="1"/>
  <c r="AW40" i="79"/>
  <c r="EM40" i="79" s="1"/>
  <c r="EN40" i="79" s="1"/>
  <c r="EC15" i="79"/>
  <c r="ED11" i="79"/>
  <c r="EM11" i="79"/>
  <c r="EK14" i="79"/>
  <c r="EN14" i="79" s="1"/>
  <c r="ED15" i="79"/>
  <c r="EK18" i="79"/>
  <c r="EN18" i="79" s="1"/>
  <c r="ED19" i="79"/>
  <c r="EH21" i="79"/>
  <c r="EI5" i="79"/>
  <c r="EM23" i="79"/>
  <c r="EK27" i="79"/>
  <c r="EN27" i="79" s="1"/>
  <c r="EB30" i="79"/>
  <c r="D30" i="79"/>
  <c r="ED30" i="79" s="1"/>
  <c r="EH31" i="79"/>
  <c r="EE21" i="79"/>
  <c r="P42" i="79"/>
  <c r="CG42" i="79"/>
  <c r="ED41" i="79"/>
  <c r="S42" i="79"/>
  <c r="ED13" i="79"/>
  <c r="EE13" i="79" s="1"/>
  <c r="EM22" i="79"/>
  <c r="ED31" i="79"/>
  <c r="V42" i="79"/>
  <c r="EH11" i="79"/>
  <c r="EH13" i="79"/>
  <c r="EH17" i="79"/>
  <c r="EM25" i="79"/>
  <c r="EH27" i="79"/>
  <c r="EH38" i="79"/>
  <c r="EB41" i="79"/>
  <c r="EB40" i="79"/>
  <c r="EB31" i="79"/>
  <c r="AQ25" i="79"/>
  <c r="AQ26" i="79"/>
  <c r="ED26" i="79" s="1"/>
  <c r="EB32" i="79"/>
  <c r="EI22" i="79"/>
  <c r="EB34" i="79"/>
  <c r="EK22" i="79"/>
  <c r="EN22" i="79" s="1"/>
  <c r="EE40" i="79" l="1"/>
  <c r="EC40" i="79"/>
  <c r="EE39" i="79"/>
  <c r="EC39" i="79"/>
  <c r="EE2" i="79"/>
  <c r="EQ2" i="79" s="1"/>
  <c r="G4" i="79" s="1"/>
  <c r="EE41" i="79"/>
  <c r="EC41" i="79"/>
  <c r="AW42" i="79"/>
  <c r="EE22" i="79"/>
  <c r="EC22" i="79"/>
  <c r="EE25" i="79"/>
  <c r="EC25" i="79"/>
  <c r="EE34" i="79"/>
  <c r="EC34" i="79"/>
  <c r="ED37" i="79"/>
  <c r="EE37" i="79" s="1"/>
  <c r="EE12" i="79"/>
  <c r="EC12" i="79"/>
  <c r="EE3" i="79"/>
  <c r="EC18" i="79"/>
  <c r="EC27" i="79"/>
  <c r="D42" i="79"/>
  <c r="EM34" i="79"/>
  <c r="EN34" i="79" s="1"/>
  <c r="EC28" i="79"/>
  <c r="EE32" i="79"/>
  <c r="EC32" i="79"/>
  <c r="EN5" i="79"/>
  <c r="EE20" i="79"/>
  <c r="EC20" i="79"/>
  <c r="EE16" i="79"/>
  <c r="EC16" i="79"/>
  <c r="EN36" i="79"/>
  <c r="ED40" i="79"/>
  <c r="EN3" i="79"/>
  <c r="EN23" i="79"/>
  <c r="EM42" i="79"/>
  <c r="EE26" i="79"/>
  <c r="EC26" i="79"/>
  <c r="EE33" i="79"/>
  <c r="EC33" i="79"/>
  <c r="EE30" i="79"/>
  <c r="EC30" i="79"/>
  <c r="EH42" i="79"/>
  <c r="EE5" i="79"/>
  <c r="G7" i="79" s="1"/>
  <c r="EN25" i="79"/>
  <c r="EE31" i="79"/>
  <c r="EC31" i="79"/>
  <c r="EC14" i="79"/>
  <c r="EN11" i="79"/>
  <c r="EC17" i="79"/>
  <c r="EN4" i="79" l="1"/>
  <c r="G5" i="79"/>
  <c r="EE4" i="79"/>
  <c r="G6" i="79" s="1"/>
  <c r="ED42" i="79"/>
  <c r="S41" i="78"/>
  <c r="EL40" i="78"/>
  <c r="EI40" i="78"/>
  <c r="EG40" i="78"/>
  <c r="EI2" i="78" s="1"/>
  <c r="DW40" i="78"/>
  <c r="DT40" i="78"/>
  <c r="DQ40" i="78"/>
  <c r="DN40" i="78"/>
  <c r="DK40" i="78"/>
  <c r="DH40" i="78"/>
  <c r="DE40" i="78"/>
  <c r="DB40" i="78"/>
  <c r="CY40" i="78"/>
  <c r="CV40" i="78"/>
  <c r="CS40" i="78"/>
  <c r="CP40" i="78"/>
  <c r="CM40" i="78"/>
  <c r="CJ40" i="78"/>
  <c r="CG40" i="78"/>
  <c r="CD40" i="78"/>
  <c r="CA40" i="78"/>
  <c r="BX40" i="78"/>
  <c r="BU40" i="78"/>
  <c r="BR40" i="78"/>
  <c r="BO40" i="78"/>
  <c r="BL40" i="78"/>
  <c r="BI40" i="78"/>
  <c r="BF40" i="78"/>
  <c r="BC40" i="78"/>
  <c r="AZ40" i="78"/>
  <c r="AW40" i="78"/>
  <c r="AT40" i="78"/>
  <c r="AO40" i="78"/>
  <c r="AL40" i="78"/>
  <c r="AK40" i="78"/>
  <c r="AI40" i="78"/>
  <c r="AB40" i="78"/>
  <c r="Y40" i="78"/>
  <c r="V40" i="78"/>
  <c r="S40" i="78"/>
  <c r="P40" i="78"/>
  <c r="M40" i="78"/>
  <c r="J40" i="78"/>
  <c r="G40" i="78"/>
  <c r="D40" i="78"/>
  <c r="EL39" i="78"/>
  <c r="EH39" i="78"/>
  <c r="EG39" i="78"/>
  <c r="EI39" i="78" s="1"/>
  <c r="DW39" i="78"/>
  <c r="DT39" i="78"/>
  <c r="DQ39" i="78"/>
  <c r="DN39" i="78"/>
  <c r="DK39" i="78"/>
  <c r="DH39" i="78"/>
  <c r="DE39" i="78"/>
  <c r="DB39" i="78"/>
  <c r="CY39" i="78"/>
  <c r="CV39" i="78"/>
  <c r="CS39" i="78"/>
  <c r="CP39" i="78"/>
  <c r="CM39" i="78"/>
  <c r="CJ39" i="78"/>
  <c r="CG39" i="78"/>
  <c r="CD39" i="78"/>
  <c r="CA39" i="78"/>
  <c r="BX39" i="78"/>
  <c r="BU39" i="78"/>
  <c r="BR39" i="78"/>
  <c r="BO39" i="78"/>
  <c r="BL39" i="78"/>
  <c r="BI39" i="78"/>
  <c r="BF39" i="78"/>
  <c r="BC39" i="78"/>
  <c r="AZ39" i="78"/>
  <c r="AW39" i="78"/>
  <c r="AT39" i="78"/>
  <c r="AQ39" i="78"/>
  <c r="AO39" i="78"/>
  <c r="AL39" i="78"/>
  <c r="AN39" i="78" s="1"/>
  <c r="AK39" i="78"/>
  <c r="AI39" i="78"/>
  <c r="AB39" i="78"/>
  <c r="Y39" i="78"/>
  <c r="V39" i="78"/>
  <c r="S39" i="78"/>
  <c r="P39" i="78"/>
  <c r="M39" i="78"/>
  <c r="J39" i="78"/>
  <c r="G39" i="78"/>
  <c r="D39" i="78"/>
  <c r="EB39" i="78"/>
  <c r="EL38" i="78"/>
  <c r="EI38" i="78"/>
  <c r="EG38" i="78"/>
  <c r="DW38" i="78"/>
  <c r="DT38" i="78"/>
  <c r="DQ38" i="78"/>
  <c r="DN38" i="78"/>
  <c r="DK38" i="78"/>
  <c r="DH38" i="78"/>
  <c r="DE38" i="78"/>
  <c r="DB38" i="78"/>
  <c r="CY38" i="78"/>
  <c r="CV38" i="78"/>
  <c r="CS38" i="78"/>
  <c r="CP38" i="78"/>
  <c r="CM38" i="78"/>
  <c r="CJ38" i="78"/>
  <c r="CG38" i="78"/>
  <c r="CD38" i="78"/>
  <c r="CA38" i="78"/>
  <c r="BX38" i="78"/>
  <c r="BU38" i="78"/>
  <c r="BR38" i="78"/>
  <c r="BO38" i="78"/>
  <c r="BL38" i="78"/>
  <c r="BI38" i="78"/>
  <c r="BF38" i="78"/>
  <c r="BC38" i="78"/>
  <c r="AZ38" i="78"/>
  <c r="AW38" i="78"/>
  <c r="AT38" i="78"/>
  <c r="AQ38" i="78"/>
  <c r="AO38" i="78"/>
  <c r="AL38" i="78"/>
  <c r="AN38" i="78" s="1"/>
  <c r="AI38" i="78"/>
  <c r="AK38" i="78" s="1"/>
  <c r="AB38" i="78"/>
  <c r="Y38" i="78"/>
  <c r="V38" i="78"/>
  <c r="S38" i="78"/>
  <c r="P38" i="78"/>
  <c r="M38" i="78"/>
  <c r="J38" i="78"/>
  <c r="G38" i="78"/>
  <c r="EB38" i="78"/>
  <c r="EL37" i="78"/>
  <c r="EI37" i="78"/>
  <c r="EH37" i="78"/>
  <c r="EG37" i="78"/>
  <c r="DW37" i="78"/>
  <c r="DT37" i="78"/>
  <c r="DQ37" i="78"/>
  <c r="DN37" i="78"/>
  <c r="DK37" i="78"/>
  <c r="DH37" i="78"/>
  <c r="DE37" i="78"/>
  <c r="DB37" i="78"/>
  <c r="CY37" i="78"/>
  <c r="CV37" i="78"/>
  <c r="CS37" i="78"/>
  <c r="CP37" i="78"/>
  <c r="CM37" i="78"/>
  <c r="CJ37" i="78"/>
  <c r="CG37" i="78"/>
  <c r="CD37" i="78"/>
  <c r="CA37" i="78"/>
  <c r="BX37" i="78"/>
  <c r="BU37" i="78"/>
  <c r="BR37" i="78"/>
  <c r="BO37" i="78"/>
  <c r="BL37" i="78"/>
  <c r="BI37" i="78"/>
  <c r="BF37" i="78"/>
  <c r="BC37" i="78"/>
  <c r="AZ37" i="78"/>
  <c r="AW37" i="78"/>
  <c r="AT37" i="78"/>
  <c r="AO37" i="78"/>
  <c r="EB37" i="78" s="1"/>
  <c r="AN37" i="78"/>
  <c r="AL37" i="78"/>
  <c r="AI37" i="78"/>
  <c r="AK37" i="78" s="1"/>
  <c r="AB37" i="78"/>
  <c r="Y37" i="78"/>
  <c r="V37" i="78"/>
  <c r="S37" i="78"/>
  <c r="P37" i="78"/>
  <c r="M37" i="78"/>
  <c r="J37" i="78"/>
  <c r="G37" i="78"/>
  <c r="D37" i="78"/>
  <c r="EL36" i="78"/>
  <c r="EI36" i="78"/>
  <c r="EH36" i="78"/>
  <c r="EG36" i="78"/>
  <c r="DW36" i="78"/>
  <c r="DT36" i="78"/>
  <c r="DQ36" i="78"/>
  <c r="DN36" i="78"/>
  <c r="DK36" i="78"/>
  <c r="DH36" i="78"/>
  <c r="DE36" i="78"/>
  <c r="DB36" i="78"/>
  <c r="CY36" i="78"/>
  <c r="CV36" i="78"/>
  <c r="CS36" i="78"/>
  <c r="CP36" i="78"/>
  <c r="CM36" i="78"/>
  <c r="CJ36" i="78"/>
  <c r="CG36" i="78"/>
  <c r="CD36" i="78"/>
  <c r="CA36" i="78"/>
  <c r="BX36" i="78"/>
  <c r="BU36" i="78"/>
  <c r="BR36" i="78"/>
  <c r="BO36" i="78"/>
  <c r="BL36" i="78"/>
  <c r="BI36" i="78"/>
  <c r="BF36" i="78"/>
  <c r="BC36" i="78"/>
  <c r="AZ36" i="78"/>
  <c r="AW36" i="78"/>
  <c r="AT36" i="78"/>
  <c r="AO36" i="78"/>
  <c r="AL36" i="78"/>
  <c r="AN36" i="78" s="1"/>
  <c r="AI36" i="78"/>
  <c r="AK36" i="78" s="1"/>
  <c r="AB36" i="78"/>
  <c r="Y36" i="78"/>
  <c r="V36" i="78"/>
  <c r="S36" i="78"/>
  <c r="P36" i="78"/>
  <c r="M36" i="78"/>
  <c r="J36" i="78"/>
  <c r="G36" i="78"/>
  <c r="EL35" i="78"/>
  <c r="EG35" i="78"/>
  <c r="EI35" i="78" s="1"/>
  <c r="DW35" i="78"/>
  <c r="DT35" i="78"/>
  <c r="DQ35" i="78"/>
  <c r="DN35" i="78"/>
  <c r="DK35" i="78"/>
  <c r="DH35" i="78"/>
  <c r="DE35" i="78"/>
  <c r="DB35" i="78"/>
  <c r="CY35" i="78"/>
  <c r="CV35" i="78"/>
  <c r="CS35" i="78"/>
  <c r="CP35" i="78"/>
  <c r="CM35" i="78"/>
  <c r="CJ35" i="78"/>
  <c r="CG35" i="78"/>
  <c r="CD35" i="78"/>
  <c r="CA35" i="78"/>
  <c r="BX35" i="78"/>
  <c r="BU35" i="78"/>
  <c r="BR35" i="78"/>
  <c r="BO35" i="78"/>
  <c r="BL35" i="78"/>
  <c r="BI35" i="78"/>
  <c r="BF35" i="78"/>
  <c r="BC35" i="78"/>
  <c r="AZ35" i="78"/>
  <c r="AW35" i="78"/>
  <c r="AT35" i="78"/>
  <c r="AO35" i="78"/>
  <c r="AL35" i="78"/>
  <c r="EB35" i="78" s="1"/>
  <c r="AK35" i="78"/>
  <c r="AB35" i="78"/>
  <c r="EH35" i="78" s="1"/>
  <c r="Y35" i="78"/>
  <c r="V35" i="78"/>
  <c r="S35" i="78"/>
  <c r="P35" i="78"/>
  <c r="M35" i="78"/>
  <c r="J35" i="78"/>
  <c r="G35" i="78"/>
  <c r="D35" i="78"/>
  <c r="EL34" i="78"/>
  <c r="EG34" i="78"/>
  <c r="EI34" i="78" s="1"/>
  <c r="DW34" i="78"/>
  <c r="DT34" i="78"/>
  <c r="DQ34" i="78"/>
  <c r="DN34" i="78"/>
  <c r="DK34" i="78"/>
  <c r="DH34" i="78"/>
  <c r="DE34" i="78"/>
  <c r="DB34" i="78"/>
  <c r="CY34" i="78"/>
  <c r="CV34" i="78"/>
  <c r="CS34" i="78"/>
  <c r="CP34" i="78"/>
  <c r="CM34" i="78"/>
  <c r="CJ34" i="78"/>
  <c r="CG34" i="78"/>
  <c r="CD34" i="78"/>
  <c r="CA34" i="78"/>
  <c r="BX34" i="78"/>
  <c r="BU34" i="78"/>
  <c r="BR34" i="78"/>
  <c r="BO34" i="78"/>
  <c r="BL34" i="78"/>
  <c r="BI34" i="78"/>
  <c r="BF34" i="78"/>
  <c r="BC34" i="78"/>
  <c r="AZ34" i="78"/>
  <c r="AW34" i="78"/>
  <c r="AT34" i="78"/>
  <c r="AQ34" i="78"/>
  <c r="AO34" i="78"/>
  <c r="AL34" i="78"/>
  <c r="AI34" i="78"/>
  <c r="AK34" i="78" s="1"/>
  <c r="AB34" i="78"/>
  <c r="Y34" i="78"/>
  <c r="V34" i="78"/>
  <c r="S34" i="78"/>
  <c r="P34" i="78"/>
  <c r="M34" i="78"/>
  <c r="J34" i="78"/>
  <c r="G34" i="78"/>
  <c r="EL33" i="78"/>
  <c r="EG33" i="78"/>
  <c r="EI33" i="78" s="1"/>
  <c r="EB33" i="78"/>
  <c r="DW33" i="78"/>
  <c r="DT33" i="78"/>
  <c r="DQ33" i="78"/>
  <c r="DN33" i="78"/>
  <c r="DK33" i="78"/>
  <c r="DH33" i="78"/>
  <c r="DE33" i="78"/>
  <c r="DB33" i="78"/>
  <c r="CY33" i="78"/>
  <c r="CV33" i="78"/>
  <c r="CS33" i="78"/>
  <c r="CP33" i="78"/>
  <c r="CM33" i="78"/>
  <c r="CJ33" i="78"/>
  <c r="CG33" i="78"/>
  <c r="CD33" i="78"/>
  <c r="CA33" i="78"/>
  <c r="BX33" i="78"/>
  <c r="BU33" i="78"/>
  <c r="BR33" i="78"/>
  <c r="BO33" i="78"/>
  <c r="BL33" i="78"/>
  <c r="BI33" i="78"/>
  <c r="BF33" i="78"/>
  <c r="BC33" i="78"/>
  <c r="AZ33" i="78"/>
  <c r="AW33" i="78"/>
  <c r="AT33" i="78"/>
  <c r="AQ33" i="78"/>
  <c r="AN33" i="78"/>
  <c r="AL33" i="78"/>
  <c r="AI33" i="78"/>
  <c r="AK33" i="78" s="1"/>
  <c r="AB33" i="78"/>
  <c r="Y33" i="78"/>
  <c r="V33" i="78"/>
  <c r="S33" i="78"/>
  <c r="P33" i="78"/>
  <c r="M33" i="78"/>
  <c r="ED33" i="78" s="1"/>
  <c r="J33" i="78"/>
  <c r="G33" i="78"/>
  <c r="D33" i="78"/>
  <c r="EL32" i="78"/>
  <c r="EK32" i="78"/>
  <c r="EI32" i="78"/>
  <c r="EG32" i="78"/>
  <c r="DW32" i="78"/>
  <c r="DT32" i="78"/>
  <c r="DQ32" i="78"/>
  <c r="DN32" i="78"/>
  <c r="DK32" i="78"/>
  <c r="DH32" i="78"/>
  <c r="DE32" i="78"/>
  <c r="DB32" i="78"/>
  <c r="CY32" i="78"/>
  <c r="CV32" i="78"/>
  <c r="CS32" i="78"/>
  <c r="CP32" i="78"/>
  <c r="CM32" i="78"/>
  <c r="CJ32" i="78"/>
  <c r="CG32" i="78"/>
  <c r="CD32" i="78"/>
  <c r="CA32" i="78"/>
  <c r="BX32" i="78"/>
  <c r="BU32" i="78"/>
  <c r="BR32" i="78"/>
  <c r="BO32" i="78"/>
  <c r="BL32" i="78"/>
  <c r="BI32" i="78"/>
  <c r="BF32" i="78"/>
  <c r="BC32" i="78"/>
  <c r="AZ32" i="78"/>
  <c r="AW32" i="78"/>
  <c r="AT32" i="78"/>
  <c r="AQ32" i="78"/>
  <c r="AN32" i="78"/>
  <c r="AL32" i="78"/>
  <c r="EB32" i="78" s="1"/>
  <c r="AK32" i="78"/>
  <c r="AI32" i="78"/>
  <c r="AB32" i="78"/>
  <c r="EH32" i="78" s="1"/>
  <c r="Y32" i="78"/>
  <c r="V32" i="78"/>
  <c r="S32" i="78"/>
  <c r="P32" i="78"/>
  <c r="M32" i="78"/>
  <c r="J32" i="78"/>
  <c r="G32" i="78"/>
  <c r="D32" i="78"/>
  <c r="EL31" i="78"/>
  <c r="EG31" i="78"/>
  <c r="EI31" i="78" s="1"/>
  <c r="DW31" i="78"/>
  <c r="DT31" i="78"/>
  <c r="DQ31" i="78"/>
  <c r="DN31" i="78"/>
  <c r="DK31" i="78"/>
  <c r="DH31" i="78"/>
  <c r="DE31" i="78"/>
  <c r="DB31" i="78"/>
  <c r="CY31" i="78"/>
  <c r="CV31" i="78"/>
  <c r="CS31" i="78"/>
  <c r="CP31" i="78"/>
  <c r="CM31" i="78"/>
  <c r="CJ31" i="78"/>
  <c r="CG31" i="78"/>
  <c r="CD31" i="78"/>
  <c r="CA31" i="78"/>
  <c r="BX31" i="78"/>
  <c r="BU31" i="78"/>
  <c r="BR31" i="78"/>
  <c r="BO31" i="78"/>
  <c r="BL31" i="78"/>
  <c r="BI31" i="78"/>
  <c r="BF31" i="78"/>
  <c r="BC31" i="78"/>
  <c r="AZ31" i="78"/>
  <c r="AW31" i="78"/>
  <c r="AT31" i="78"/>
  <c r="AQ31" i="78"/>
  <c r="AL31" i="78"/>
  <c r="AI31" i="78"/>
  <c r="AK31" i="78" s="1"/>
  <c r="AB31" i="78"/>
  <c r="Y31" i="78"/>
  <c r="V31" i="78"/>
  <c r="EH31" i="78" s="1"/>
  <c r="S31" i="78"/>
  <c r="P31" i="78"/>
  <c r="M31" i="78"/>
  <c r="J31" i="78"/>
  <c r="G31" i="78"/>
  <c r="D31" i="78"/>
  <c r="EL30" i="78"/>
  <c r="EK30" i="78"/>
  <c r="EI30" i="78"/>
  <c r="EG30" i="78"/>
  <c r="EC30" i="78"/>
  <c r="DW30" i="78"/>
  <c r="DT30" i="78"/>
  <c r="DQ30" i="78"/>
  <c r="DN30" i="78"/>
  <c r="DK30" i="78"/>
  <c r="EM30" i="78" s="1"/>
  <c r="DH30" i="78"/>
  <c r="DE30" i="78"/>
  <c r="DB30" i="78"/>
  <c r="CY30" i="78"/>
  <c r="CV30" i="78"/>
  <c r="CS30" i="78"/>
  <c r="CP30" i="78"/>
  <c r="CM30" i="78"/>
  <c r="CJ30" i="78"/>
  <c r="CG30" i="78"/>
  <c r="CD30" i="78"/>
  <c r="CA30" i="78"/>
  <c r="BX30" i="78"/>
  <c r="BU30" i="78"/>
  <c r="BR30" i="78"/>
  <c r="BO30" i="78"/>
  <c r="BL30" i="78"/>
  <c r="BI30" i="78"/>
  <c r="BF30" i="78"/>
  <c r="BC30" i="78"/>
  <c r="AZ30" i="78"/>
  <c r="AW30" i="78"/>
  <c r="AT30" i="78"/>
  <c r="AQ30" i="78"/>
  <c r="AN30" i="78"/>
  <c r="AL30" i="78"/>
  <c r="AK30" i="78"/>
  <c r="AI30" i="78"/>
  <c r="ED30" i="78"/>
  <c r="AB30" i="78"/>
  <c r="Y30" i="78"/>
  <c r="V30" i="78"/>
  <c r="S30" i="78"/>
  <c r="P30" i="78"/>
  <c r="M30" i="78"/>
  <c r="J30" i="78"/>
  <c r="G30" i="78"/>
  <c r="D30" i="78"/>
  <c r="EB30" i="78"/>
  <c r="EL29" i="78"/>
  <c r="EK29" i="78"/>
  <c r="EG29" i="78"/>
  <c r="EI29" i="78" s="1"/>
  <c r="EB29" i="78"/>
  <c r="EC29" i="78" s="1"/>
  <c r="DW29" i="78"/>
  <c r="DT29" i="78"/>
  <c r="DQ29" i="78"/>
  <c r="DN29" i="78"/>
  <c r="DK29" i="78"/>
  <c r="DH29" i="78"/>
  <c r="DE29" i="78"/>
  <c r="DB29" i="78"/>
  <c r="CY29" i="78"/>
  <c r="CV29" i="78"/>
  <c r="CS29" i="78"/>
  <c r="CP29" i="78"/>
  <c r="CM29" i="78"/>
  <c r="CJ29" i="78"/>
  <c r="CG29" i="78"/>
  <c r="CD29" i="78"/>
  <c r="CA29" i="78"/>
  <c r="BX29" i="78"/>
  <c r="BU29" i="78"/>
  <c r="BR29" i="78"/>
  <c r="BO29" i="78"/>
  <c r="BL29" i="78"/>
  <c r="BI29" i="78"/>
  <c r="BF29" i="78"/>
  <c r="BC29" i="78"/>
  <c r="AZ29" i="78"/>
  <c r="AW29" i="78"/>
  <c r="AT29" i="78"/>
  <c r="AQ29" i="78"/>
  <c r="AN29" i="78"/>
  <c r="AL29" i="78"/>
  <c r="AK29" i="78"/>
  <c r="AI29" i="78"/>
  <c r="AB29" i="78"/>
  <c r="Y29" i="78"/>
  <c r="EH29" i="78" s="1"/>
  <c r="V29" i="78"/>
  <c r="S29" i="78"/>
  <c r="P29" i="78"/>
  <c r="M29" i="78"/>
  <c r="J29" i="78"/>
  <c r="G29" i="78"/>
  <c r="D29" i="78"/>
  <c r="EL28" i="78"/>
  <c r="EG28" i="78"/>
  <c r="EI28" i="78" s="1"/>
  <c r="DW28" i="78"/>
  <c r="DT28" i="78"/>
  <c r="DQ28" i="78"/>
  <c r="DN28" i="78"/>
  <c r="DK28" i="78"/>
  <c r="DH28" i="78"/>
  <c r="DE28" i="78"/>
  <c r="DB28" i="78"/>
  <c r="CY28" i="78"/>
  <c r="CV28" i="78"/>
  <c r="CS28" i="78"/>
  <c r="CP28" i="78"/>
  <c r="CM28" i="78"/>
  <c r="CJ28" i="78"/>
  <c r="CG28" i="78"/>
  <c r="CD28" i="78"/>
  <c r="CA28" i="78"/>
  <c r="BX28" i="78"/>
  <c r="BU28" i="78"/>
  <c r="BR28" i="78"/>
  <c r="BO28" i="78"/>
  <c r="BL28" i="78"/>
  <c r="BI28" i="78"/>
  <c r="BF28" i="78"/>
  <c r="BC28" i="78"/>
  <c r="AZ28" i="78"/>
  <c r="AW28" i="78"/>
  <c r="AT28" i="78"/>
  <c r="AQ28" i="78"/>
  <c r="AL28" i="78"/>
  <c r="AI28" i="78"/>
  <c r="AK28" i="78" s="1"/>
  <c r="AB28" i="78"/>
  <c r="Y28" i="78"/>
  <c r="V28" i="78"/>
  <c r="S28" i="78"/>
  <c r="P28" i="78"/>
  <c r="M28" i="78"/>
  <c r="J28" i="78"/>
  <c r="G28" i="78"/>
  <c r="EM27" i="78"/>
  <c r="EL27" i="78"/>
  <c r="EG27" i="78"/>
  <c r="EI27" i="78" s="1"/>
  <c r="EB27" i="78"/>
  <c r="DW27" i="78"/>
  <c r="DT27" i="78"/>
  <c r="DQ27" i="78"/>
  <c r="DN27" i="78"/>
  <c r="DK27" i="78"/>
  <c r="DH27" i="78"/>
  <c r="DE27" i="78"/>
  <c r="DB27" i="78"/>
  <c r="CY27" i="78"/>
  <c r="CV27" i="78"/>
  <c r="CS27" i="78"/>
  <c r="CP27" i="78"/>
  <c r="CM27" i="78"/>
  <c r="CJ27" i="78"/>
  <c r="CG27" i="78"/>
  <c r="CD27" i="78"/>
  <c r="CA27" i="78"/>
  <c r="BX27" i="78"/>
  <c r="BU27" i="78"/>
  <c r="BR27" i="78"/>
  <c r="BO27" i="78"/>
  <c r="BL27" i="78"/>
  <c r="BI27" i="78"/>
  <c r="BF27" i="78"/>
  <c r="BC27" i="78"/>
  <c r="AZ27" i="78"/>
  <c r="AW27" i="78"/>
  <c r="AT27" i="78"/>
  <c r="AQ27" i="78"/>
  <c r="AN27" i="78"/>
  <c r="AL27" i="78"/>
  <c r="AI27" i="78"/>
  <c r="AK27" i="78" s="1"/>
  <c r="AB27" i="78"/>
  <c r="ED27" i="78" s="1"/>
  <c r="Y27" i="78"/>
  <c r="V27" i="78"/>
  <c r="S27" i="78"/>
  <c r="P27" i="78"/>
  <c r="M27" i="78"/>
  <c r="J27" i="78"/>
  <c r="G27" i="78"/>
  <c r="D27" i="78"/>
  <c r="EL26" i="78"/>
  <c r="EK26" i="78"/>
  <c r="EI26" i="78"/>
  <c r="EG26" i="78"/>
  <c r="DW26" i="78"/>
  <c r="DT26" i="78"/>
  <c r="DQ26" i="78"/>
  <c r="DN26" i="78"/>
  <c r="DK26" i="78"/>
  <c r="DH26" i="78"/>
  <c r="DE26" i="78"/>
  <c r="DB26" i="78"/>
  <c r="CY26" i="78"/>
  <c r="CV26" i="78"/>
  <c r="CS26" i="78"/>
  <c r="CP26" i="78"/>
  <c r="CM26" i="78"/>
  <c r="CJ26" i="78"/>
  <c r="CG26" i="78"/>
  <c r="CD26" i="78"/>
  <c r="CA26" i="78"/>
  <c r="BX26" i="78"/>
  <c r="BU26" i="78"/>
  <c r="BR26" i="78"/>
  <c r="BO26" i="78"/>
  <c r="BL26" i="78"/>
  <c r="BI26" i="78"/>
  <c r="BF26" i="78"/>
  <c r="BC26" i="78"/>
  <c r="AZ26" i="78"/>
  <c r="AW26" i="78"/>
  <c r="AT26" i="78"/>
  <c r="AQ26" i="78"/>
  <c r="AL26" i="78"/>
  <c r="EB26" i="78" s="1"/>
  <c r="AK26" i="78"/>
  <c r="AI26" i="78"/>
  <c r="AB26" i="78"/>
  <c r="Y26" i="78"/>
  <c r="V26" i="78"/>
  <c r="S26" i="78"/>
  <c r="P26" i="78"/>
  <c r="M26" i="78"/>
  <c r="J26" i="78"/>
  <c r="G26" i="78"/>
  <c r="D26" i="78"/>
  <c r="EL25" i="78"/>
  <c r="EG25" i="78"/>
  <c r="EI25" i="78" s="1"/>
  <c r="DW25" i="78"/>
  <c r="DT25" i="78"/>
  <c r="DQ25" i="78"/>
  <c r="DN25" i="78"/>
  <c r="DK25" i="78"/>
  <c r="DH25" i="78"/>
  <c r="DE25" i="78"/>
  <c r="DB25" i="78"/>
  <c r="CY25" i="78"/>
  <c r="CV25" i="78"/>
  <c r="CS25" i="78"/>
  <c r="CP25" i="78"/>
  <c r="CM25" i="78"/>
  <c r="CJ25" i="78"/>
  <c r="CG25" i="78"/>
  <c r="CD25" i="78"/>
  <c r="CA25" i="78"/>
  <c r="BX25" i="78"/>
  <c r="BU25" i="78"/>
  <c r="BR25" i="78"/>
  <c r="BO25" i="78"/>
  <c r="BL25" i="78"/>
  <c r="BI25" i="78"/>
  <c r="BF25" i="78"/>
  <c r="BC25" i="78"/>
  <c r="AZ25" i="78"/>
  <c r="AW25" i="78"/>
  <c r="AT25" i="78"/>
  <c r="AQ25" i="78"/>
  <c r="AL25" i="78"/>
  <c r="AI25" i="78"/>
  <c r="AK25" i="78" s="1"/>
  <c r="AB25" i="78"/>
  <c r="Y25" i="78"/>
  <c r="V25" i="78"/>
  <c r="EH25" i="78" s="1"/>
  <c r="S25" i="78"/>
  <c r="P25" i="78"/>
  <c r="M25" i="78"/>
  <c r="J25" i="78"/>
  <c r="G25" i="78"/>
  <c r="D25" i="78"/>
  <c r="EL24" i="78"/>
  <c r="EK24" i="78"/>
  <c r="EC24" i="78" s="1"/>
  <c r="EI24" i="78"/>
  <c r="EG24" i="78"/>
  <c r="DW24" i="78"/>
  <c r="DT24" i="78"/>
  <c r="DQ24" i="78"/>
  <c r="DN24" i="78"/>
  <c r="DK24" i="78"/>
  <c r="DH24" i="78"/>
  <c r="DE24" i="78"/>
  <c r="DB24" i="78"/>
  <c r="CY24" i="78"/>
  <c r="CV24" i="78"/>
  <c r="CS24" i="78"/>
  <c r="CP24" i="78"/>
  <c r="CM24" i="78"/>
  <c r="CJ24" i="78"/>
  <c r="CG24" i="78"/>
  <c r="CD24" i="78"/>
  <c r="CA24" i="78"/>
  <c r="BX24" i="78"/>
  <c r="BU24" i="78"/>
  <c r="BR24" i="78"/>
  <c r="BO24" i="78"/>
  <c r="BL24" i="78"/>
  <c r="BI24" i="78"/>
  <c r="BF24" i="78"/>
  <c r="BC24" i="78"/>
  <c r="AZ24" i="78"/>
  <c r="AW24" i="78"/>
  <c r="AT24" i="78"/>
  <c r="AQ24" i="78"/>
  <c r="AN24" i="78"/>
  <c r="AL24" i="78"/>
  <c r="AK24" i="78"/>
  <c r="AI24" i="78"/>
  <c r="ED24" i="78"/>
  <c r="AB24" i="78"/>
  <c r="Y24" i="78"/>
  <c r="V24" i="78"/>
  <c r="S24" i="78"/>
  <c r="P24" i="78"/>
  <c r="M24" i="78"/>
  <c r="J24" i="78"/>
  <c r="G24" i="78"/>
  <c r="D24" i="78"/>
  <c r="EB24" i="78"/>
  <c r="EL23" i="78"/>
  <c r="EK23" i="78"/>
  <c r="EG23" i="78"/>
  <c r="EI23" i="78" s="1"/>
  <c r="EB23" i="78"/>
  <c r="DW23" i="78"/>
  <c r="DT23" i="78"/>
  <c r="DQ23" i="78"/>
  <c r="DN23" i="78"/>
  <c r="DK23" i="78"/>
  <c r="DH23" i="78"/>
  <c r="DE23" i="78"/>
  <c r="DB23" i="78"/>
  <c r="CY23" i="78"/>
  <c r="CV23" i="78"/>
  <c r="CS23" i="78"/>
  <c r="CP23" i="78"/>
  <c r="CM23" i="78"/>
  <c r="CJ23" i="78"/>
  <c r="CG23" i="78"/>
  <c r="CD23" i="78"/>
  <c r="CA23" i="78"/>
  <c r="BX23" i="78"/>
  <c r="BU23" i="78"/>
  <c r="BR23" i="78"/>
  <c r="BO23" i="78"/>
  <c r="BL23" i="78"/>
  <c r="BI23" i="78"/>
  <c r="BF23" i="78"/>
  <c r="BC23" i="78"/>
  <c r="AZ23" i="78"/>
  <c r="AW23" i="78"/>
  <c r="AT23" i="78"/>
  <c r="AQ23" i="78"/>
  <c r="AN23" i="78"/>
  <c r="AL23" i="78"/>
  <c r="AK23" i="78"/>
  <c r="AI23" i="78"/>
  <c r="AB23" i="78"/>
  <c r="Y23" i="78"/>
  <c r="EH23" i="78" s="1"/>
  <c r="V23" i="78"/>
  <c r="S23" i="78"/>
  <c r="P23" i="78"/>
  <c r="M23" i="78"/>
  <c r="J23" i="78"/>
  <c r="G23" i="78"/>
  <c r="D23" i="78"/>
  <c r="EL22" i="78"/>
  <c r="EG22" i="78"/>
  <c r="EI22" i="78" s="1"/>
  <c r="DW22" i="78"/>
  <c r="DT22" i="78"/>
  <c r="DQ22" i="78"/>
  <c r="DN22" i="78"/>
  <c r="DK22" i="78"/>
  <c r="DH22" i="78"/>
  <c r="DE22" i="78"/>
  <c r="DB22" i="78"/>
  <c r="CY22" i="78"/>
  <c r="CV22" i="78"/>
  <c r="CS22" i="78"/>
  <c r="CP22" i="78"/>
  <c r="CM22" i="78"/>
  <c r="CJ22" i="78"/>
  <c r="CG22" i="78"/>
  <c r="CD22" i="78"/>
  <c r="CA22" i="78"/>
  <c r="BX22" i="78"/>
  <c r="BU22" i="78"/>
  <c r="BR22" i="78"/>
  <c r="BO22" i="78"/>
  <c r="BL22" i="78"/>
  <c r="BI22" i="78"/>
  <c r="BF22" i="78"/>
  <c r="BC22" i="78"/>
  <c r="AZ22" i="78"/>
  <c r="AW22" i="78"/>
  <c r="AT22" i="78"/>
  <c r="AQ22" i="78"/>
  <c r="AL22" i="78"/>
  <c r="AI22" i="78"/>
  <c r="AK22" i="78" s="1"/>
  <c r="AB22" i="78"/>
  <c r="Y22" i="78"/>
  <c r="V22" i="78"/>
  <c r="S22" i="78"/>
  <c r="P22" i="78"/>
  <c r="M22" i="78"/>
  <c r="J22" i="78"/>
  <c r="G22" i="78"/>
  <c r="EM21" i="78"/>
  <c r="EL21" i="78"/>
  <c r="EG21" i="78"/>
  <c r="EI21" i="78" s="1"/>
  <c r="EB21" i="78"/>
  <c r="DW21" i="78"/>
  <c r="DT21" i="78"/>
  <c r="DQ21" i="78"/>
  <c r="DN21" i="78"/>
  <c r="DK21" i="78"/>
  <c r="DH21" i="78"/>
  <c r="DE21" i="78"/>
  <c r="DB21" i="78"/>
  <c r="CY21" i="78"/>
  <c r="CV21" i="78"/>
  <c r="CS21" i="78"/>
  <c r="CP21" i="78"/>
  <c r="CM21" i="78"/>
  <c r="CJ21" i="78"/>
  <c r="CG21" i="78"/>
  <c r="CD21" i="78"/>
  <c r="CA21" i="78"/>
  <c r="BX21" i="78"/>
  <c r="BU21" i="78"/>
  <c r="BR21" i="78"/>
  <c r="BO21" i="78"/>
  <c r="BL21" i="78"/>
  <c r="BI21" i="78"/>
  <c r="BF21" i="78"/>
  <c r="BC21" i="78"/>
  <c r="AZ21" i="78"/>
  <c r="AW21" i="78"/>
  <c r="AT21" i="78"/>
  <c r="AQ21" i="78"/>
  <c r="AN21" i="78"/>
  <c r="AL21" i="78"/>
  <c r="AI21" i="78"/>
  <c r="AK21" i="78" s="1"/>
  <c r="AB21" i="78"/>
  <c r="Y21" i="78"/>
  <c r="V21" i="78"/>
  <c r="S21" i="78"/>
  <c r="P21" i="78"/>
  <c r="M21" i="78"/>
  <c r="ED21" i="78" s="1"/>
  <c r="J21" i="78"/>
  <c r="G21" i="78"/>
  <c r="D21" i="78"/>
  <c r="EL20" i="78"/>
  <c r="EK20" i="78"/>
  <c r="EI20" i="78"/>
  <c r="EG20" i="78"/>
  <c r="DW20" i="78"/>
  <c r="DT20" i="78"/>
  <c r="DQ20" i="78"/>
  <c r="DN20" i="78"/>
  <c r="DK20" i="78"/>
  <c r="DH20" i="78"/>
  <c r="DE20" i="78"/>
  <c r="DB20" i="78"/>
  <c r="CY20" i="78"/>
  <c r="CV20" i="78"/>
  <c r="CS20" i="78"/>
  <c r="CP20" i="78"/>
  <c r="CM20" i="78"/>
  <c r="CJ20" i="78"/>
  <c r="CG20" i="78"/>
  <c r="CD20" i="78"/>
  <c r="CA20" i="78"/>
  <c r="BX20" i="78"/>
  <c r="BU20" i="78"/>
  <c r="BR20" i="78"/>
  <c r="BO20" i="78"/>
  <c r="BL20" i="78"/>
  <c r="BI20" i="78"/>
  <c r="BF20" i="78"/>
  <c r="BC20" i="78"/>
  <c r="AZ20" i="78"/>
  <c r="AW20" i="78"/>
  <c r="AT20" i="78"/>
  <c r="AQ20" i="78"/>
  <c r="AN20" i="78"/>
  <c r="AL20" i="78"/>
  <c r="EB20" i="78" s="1"/>
  <c r="AK20" i="78"/>
  <c r="AI20" i="78"/>
  <c r="AB20" i="78"/>
  <c r="EH20" i="78" s="1"/>
  <c r="Y20" i="78"/>
  <c r="V20" i="78"/>
  <c r="S20" i="78"/>
  <c r="P20" i="78"/>
  <c r="M20" i="78"/>
  <c r="J20" i="78"/>
  <c r="G20" i="78"/>
  <c r="D20" i="78"/>
  <c r="EL19" i="78"/>
  <c r="EG19" i="78"/>
  <c r="EI19" i="78" s="1"/>
  <c r="DW19" i="78"/>
  <c r="DT19" i="78"/>
  <c r="DQ19" i="78"/>
  <c r="DN19" i="78"/>
  <c r="DK19" i="78"/>
  <c r="DH19" i="78"/>
  <c r="DE19" i="78"/>
  <c r="DB19" i="78"/>
  <c r="CY19" i="78"/>
  <c r="CV19" i="78"/>
  <c r="CS19" i="78"/>
  <c r="CP19" i="78"/>
  <c r="CM19" i="78"/>
  <c r="CJ19" i="78"/>
  <c r="CJ41" i="78" s="1"/>
  <c r="CG19" i="78"/>
  <c r="CD19" i="78"/>
  <c r="CA19" i="78"/>
  <c r="BX19" i="78"/>
  <c r="BU19" i="78"/>
  <c r="BR19" i="78"/>
  <c r="BO19" i="78"/>
  <c r="BL19" i="78"/>
  <c r="BI19" i="78"/>
  <c r="BF19" i="78"/>
  <c r="BC19" i="78"/>
  <c r="AZ19" i="78"/>
  <c r="AW19" i="78"/>
  <c r="AT19" i="78"/>
  <c r="AQ19" i="78"/>
  <c r="AL19" i="78"/>
  <c r="AI19" i="78"/>
  <c r="AK19" i="78" s="1"/>
  <c r="AB19" i="78"/>
  <c r="Y19" i="78"/>
  <c r="Y41" i="78" s="1"/>
  <c r="V19" i="78"/>
  <c r="EH19" i="78" s="1"/>
  <c r="S19" i="78"/>
  <c r="P19" i="78"/>
  <c r="M19" i="78"/>
  <c r="J19" i="78"/>
  <c r="G19" i="78"/>
  <c r="D19" i="78"/>
  <c r="EL18" i="78"/>
  <c r="EK18" i="78"/>
  <c r="EI18" i="78"/>
  <c r="EG18" i="78"/>
  <c r="DW18" i="78"/>
  <c r="DT18" i="78"/>
  <c r="DQ18" i="78"/>
  <c r="DN18" i="78"/>
  <c r="DK18" i="78"/>
  <c r="DH18" i="78"/>
  <c r="EM18" i="78" s="1"/>
  <c r="DE18" i="78"/>
  <c r="DB18" i="78"/>
  <c r="CY18" i="78"/>
  <c r="CV18" i="78"/>
  <c r="CS18" i="78"/>
  <c r="CP18" i="78"/>
  <c r="CM18" i="78"/>
  <c r="CJ18" i="78"/>
  <c r="CG18" i="78"/>
  <c r="CD18" i="78"/>
  <c r="CA18" i="78"/>
  <c r="BX18" i="78"/>
  <c r="BU18" i="78"/>
  <c r="BR18" i="78"/>
  <c r="BO18" i="78"/>
  <c r="BL18" i="78"/>
  <c r="BI18" i="78"/>
  <c r="BF18" i="78"/>
  <c r="BC18" i="78"/>
  <c r="AZ18" i="78"/>
  <c r="AW18" i="78"/>
  <c r="AT18" i="78"/>
  <c r="AQ18" i="78"/>
  <c r="AN18" i="78"/>
  <c r="AL18" i="78"/>
  <c r="AK18" i="78"/>
  <c r="AI18" i="78"/>
  <c r="ED18" i="78"/>
  <c r="AB18" i="78"/>
  <c r="Y18" i="78"/>
  <c r="V18" i="78"/>
  <c r="S18" i="78"/>
  <c r="P18" i="78"/>
  <c r="M18" i="78"/>
  <c r="J18" i="78"/>
  <c r="G18" i="78"/>
  <c r="D18" i="78"/>
  <c r="EB18" i="78"/>
  <c r="EL17" i="78"/>
  <c r="EK17" i="78"/>
  <c r="EG17" i="78"/>
  <c r="EI17" i="78" s="1"/>
  <c r="DW17" i="78"/>
  <c r="DT17" i="78"/>
  <c r="DQ17" i="78"/>
  <c r="DN17" i="78"/>
  <c r="DK17" i="78"/>
  <c r="DH17" i="78"/>
  <c r="DE17" i="78"/>
  <c r="DB17" i="78"/>
  <c r="CY17" i="78"/>
  <c r="CV17" i="78"/>
  <c r="CS17" i="78"/>
  <c r="CP17" i="78"/>
  <c r="CM17" i="78"/>
  <c r="CJ17" i="78"/>
  <c r="CG17" i="78"/>
  <c r="CD17" i="78"/>
  <c r="CA17" i="78"/>
  <c r="BX17" i="78"/>
  <c r="BU17" i="78"/>
  <c r="BR17" i="78"/>
  <c r="BO17" i="78"/>
  <c r="BL17" i="78"/>
  <c r="BI17" i="78"/>
  <c r="BF17" i="78"/>
  <c r="BC17" i="78"/>
  <c r="AZ17" i="78"/>
  <c r="AW17" i="78"/>
  <c r="AT17" i="78"/>
  <c r="AQ17" i="78"/>
  <c r="AN17" i="78"/>
  <c r="AL17" i="78"/>
  <c r="AK17" i="78"/>
  <c r="AI17" i="78"/>
  <c r="AB17" i="78"/>
  <c r="Y17" i="78"/>
  <c r="V17" i="78"/>
  <c r="S17" i="78"/>
  <c r="P17" i="78"/>
  <c r="M17" i="78"/>
  <c r="J17" i="78"/>
  <c r="ED17" i="78" s="1"/>
  <c r="G17" i="78"/>
  <c r="D17" i="78"/>
  <c r="EL16" i="78"/>
  <c r="EG16" i="78"/>
  <c r="EI16" i="78" s="1"/>
  <c r="DW16" i="78"/>
  <c r="DT16" i="78"/>
  <c r="DQ16" i="78"/>
  <c r="DN16" i="78"/>
  <c r="DK16" i="78"/>
  <c r="DH16" i="78"/>
  <c r="DE16" i="78"/>
  <c r="DB16" i="78"/>
  <c r="CY16" i="78"/>
  <c r="CV16" i="78"/>
  <c r="CS16" i="78"/>
  <c r="CP16" i="78"/>
  <c r="CM16" i="78"/>
  <c r="CJ16" i="78"/>
  <c r="CG16" i="78"/>
  <c r="CD16" i="78"/>
  <c r="CA16" i="78"/>
  <c r="BX16" i="78"/>
  <c r="BU16" i="78"/>
  <c r="BR16" i="78"/>
  <c r="BO16" i="78"/>
  <c r="BL16" i="78"/>
  <c r="BI16" i="78"/>
  <c r="BF16" i="78"/>
  <c r="BC16" i="78"/>
  <c r="AZ16" i="78"/>
  <c r="AW16" i="78"/>
  <c r="AT16" i="78"/>
  <c r="AQ16" i="78"/>
  <c r="AL16" i="78"/>
  <c r="AI16" i="78"/>
  <c r="AK16" i="78" s="1"/>
  <c r="AB16" i="78"/>
  <c r="Y16" i="78"/>
  <c r="V16" i="78"/>
  <c r="S16" i="78"/>
  <c r="EH16" i="78" s="1"/>
  <c r="P16" i="78"/>
  <c r="M16" i="78"/>
  <c r="J16" i="78"/>
  <c r="G16" i="78"/>
  <c r="EL15" i="78"/>
  <c r="EG15" i="78"/>
  <c r="EI15" i="78" s="1"/>
  <c r="EB15" i="78"/>
  <c r="DW15" i="78"/>
  <c r="DT15" i="78"/>
  <c r="DQ15" i="78"/>
  <c r="EM15" i="78" s="1"/>
  <c r="DN15" i="78"/>
  <c r="DK15" i="78"/>
  <c r="DH15" i="78"/>
  <c r="DE15" i="78"/>
  <c r="DB15" i="78"/>
  <c r="CY15" i="78"/>
  <c r="CV15" i="78"/>
  <c r="CS15" i="78"/>
  <c r="CP15" i="78"/>
  <c r="CM15" i="78"/>
  <c r="CJ15" i="78"/>
  <c r="CG15" i="78"/>
  <c r="CD15" i="78"/>
  <c r="CA15" i="78"/>
  <c r="BX15" i="78"/>
  <c r="BU15" i="78"/>
  <c r="BR15" i="78"/>
  <c r="BO15" i="78"/>
  <c r="BL15" i="78"/>
  <c r="BI15" i="78"/>
  <c r="BF15" i="78"/>
  <c r="BC15" i="78"/>
  <c r="AZ15" i="78"/>
  <c r="AW15" i="78"/>
  <c r="AT15" i="78"/>
  <c r="AQ15" i="78"/>
  <c r="AN15" i="78"/>
  <c r="AL15" i="78"/>
  <c r="AI15" i="78"/>
  <c r="AK15" i="78" s="1"/>
  <c r="AB15" i="78"/>
  <c r="Y15" i="78"/>
  <c r="V15" i="78"/>
  <c r="S15" i="78"/>
  <c r="P15" i="78"/>
  <c r="M15" i="78"/>
  <c r="ED15" i="78" s="1"/>
  <c r="EE15" i="78" s="1"/>
  <c r="J15" i="78"/>
  <c r="G15" i="78"/>
  <c r="D15" i="78"/>
  <c r="EL14" i="78"/>
  <c r="EI14" i="78"/>
  <c r="EG14" i="78"/>
  <c r="EB14" i="78"/>
  <c r="DW14" i="78"/>
  <c r="DT14" i="78"/>
  <c r="DQ14" i="78"/>
  <c r="DN14" i="78"/>
  <c r="DK14" i="78"/>
  <c r="DH14" i="78"/>
  <c r="DE14" i="78"/>
  <c r="DB14" i="78"/>
  <c r="CY14" i="78"/>
  <c r="CV14" i="78"/>
  <c r="CS14" i="78"/>
  <c r="CP14" i="78"/>
  <c r="CM14" i="78"/>
  <c r="CJ14" i="78"/>
  <c r="CG14" i="78"/>
  <c r="CD14" i="78"/>
  <c r="CA14" i="78"/>
  <c r="BX14" i="78"/>
  <c r="BU14" i="78"/>
  <c r="BR14" i="78"/>
  <c r="BO14" i="78"/>
  <c r="BL14" i="78"/>
  <c r="BI14" i="78"/>
  <c r="BF14" i="78"/>
  <c r="BC14" i="78"/>
  <c r="AZ14" i="78"/>
  <c r="AW14" i="78"/>
  <c r="AT14" i="78"/>
  <c r="AQ14" i="78"/>
  <c r="AL14" i="78"/>
  <c r="EK14" i="78" s="1"/>
  <c r="AK14" i="78"/>
  <c r="AI14" i="78"/>
  <c r="AB14" i="78"/>
  <c r="EH14" i="78" s="1"/>
  <c r="Y14" i="78"/>
  <c r="V14" i="78"/>
  <c r="S14" i="78"/>
  <c r="P14" i="78"/>
  <c r="M14" i="78"/>
  <c r="J14" i="78"/>
  <c r="G14" i="78"/>
  <c r="D14" i="78"/>
  <c r="EL13" i="78"/>
  <c r="EG13" i="78"/>
  <c r="EI13" i="78" s="1"/>
  <c r="DW13" i="78"/>
  <c r="DT13" i="78"/>
  <c r="DT41" i="78" s="1"/>
  <c r="DQ13" i="78"/>
  <c r="DN13" i="78"/>
  <c r="DK13" i="78"/>
  <c r="DH13" i="78"/>
  <c r="DE13" i="78"/>
  <c r="DE41" i="78" s="1"/>
  <c r="DB13" i="78"/>
  <c r="CY13" i="78"/>
  <c r="CY41" i="78" s="1"/>
  <c r="CV13" i="78"/>
  <c r="CS13" i="78"/>
  <c r="CP13" i="78"/>
  <c r="CM13" i="78"/>
  <c r="CJ13" i="78"/>
  <c r="CG13" i="78"/>
  <c r="CD13" i="78"/>
  <c r="CA13" i="78"/>
  <c r="BX13" i="78"/>
  <c r="BU13" i="78"/>
  <c r="BU41" i="78" s="1"/>
  <c r="BR13" i="78"/>
  <c r="BO13" i="78"/>
  <c r="BO41" i="78" s="1"/>
  <c r="BL13" i="78"/>
  <c r="BI13" i="78"/>
  <c r="BF13" i="78"/>
  <c r="BC13" i="78"/>
  <c r="AZ13" i="78"/>
  <c r="AW13" i="78"/>
  <c r="AT13" i="78"/>
  <c r="AQ13" i="78"/>
  <c r="AL13" i="78"/>
  <c r="AI13" i="78"/>
  <c r="AK13" i="78" s="1"/>
  <c r="AB13" i="78"/>
  <c r="Y13" i="78"/>
  <c r="V13" i="78"/>
  <c r="EH13" i="78" s="1"/>
  <c r="S13" i="78"/>
  <c r="P13" i="78"/>
  <c r="M13" i="78"/>
  <c r="J13" i="78"/>
  <c r="G13" i="78"/>
  <c r="D13" i="78"/>
  <c r="EL12" i="78"/>
  <c r="EK12" i="78"/>
  <c r="EI12" i="78"/>
  <c r="EG12" i="78"/>
  <c r="EC12" i="78"/>
  <c r="DW12" i="78"/>
  <c r="DT12" i="78"/>
  <c r="DQ12" i="78"/>
  <c r="DN12" i="78"/>
  <c r="DK12" i="78"/>
  <c r="DH12" i="78"/>
  <c r="EM12" i="78" s="1"/>
  <c r="DE12" i="78"/>
  <c r="DB12" i="78"/>
  <c r="CY12" i="78"/>
  <c r="CV12" i="78"/>
  <c r="CS12" i="78"/>
  <c r="CP12" i="78"/>
  <c r="CM12" i="78"/>
  <c r="CJ12" i="78"/>
  <c r="CG12" i="78"/>
  <c r="CD12" i="78"/>
  <c r="CA12" i="78"/>
  <c r="BX12" i="78"/>
  <c r="BU12" i="78"/>
  <c r="BR12" i="78"/>
  <c r="BO12" i="78"/>
  <c r="BL12" i="78"/>
  <c r="BI12" i="78"/>
  <c r="BF12" i="78"/>
  <c r="BC12" i="78"/>
  <c r="AZ12" i="78"/>
  <c r="AW12" i="78"/>
  <c r="AT12" i="78"/>
  <c r="AQ12" i="78"/>
  <c r="AN12" i="78"/>
  <c r="AL12" i="78"/>
  <c r="AK12" i="78"/>
  <c r="AI12" i="78"/>
  <c r="AB12" i="78"/>
  <c r="Y12" i="78"/>
  <c r="V12" i="78"/>
  <c r="S12" i="78"/>
  <c r="P12" i="78"/>
  <c r="M12" i="78"/>
  <c r="J12" i="78"/>
  <c r="ED12" i="78" s="1"/>
  <c r="G12" i="78"/>
  <c r="D12" i="78"/>
  <c r="EB12" i="78"/>
  <c r="EL11" i="78"/>
  <c r="EK11" i="78"/>
  <c r="EG11" i="78"/>
  <c r="EB11" i="78"/>
  <c r="EC11" i="78" s="1"/>
  <c r="DW11" i="78"/>
  <c r="DW41" i="78" s="1"/>
  <c r="DT11" i="78"/>
  <c r="DQ11" i="78"/>
  <c r="DN11" i="78"/>
  <c r="DK11" i="78"/>
  <c r="DH11" i="78"/>
  <c r="DE11" i="78"/>
  <c r="DB11" i="78"/>
  <c r="DB41" i="78" s="1"/>
  <c r="CY11" i="78"/>
  <c r="CV11" i="78"/>
  <c r="CS11" i="78"/>
  <c r="CP11" i="78"/>
  <c r="CM11" i="78"/>
  <c r="CM41" i="78" s="1"/>
  <c r="CJ11" i="78"/>
  <c r="CG11" i="78"/>
  <c r="CD11" i="78"/>
  <c r="CA11" i="78"/>
  <c r="BX11" i="78"/>
  <c r="BU11" i="78"/>
  <c r="BR11" i="78"/>
  <c r="BR41" i="78" s="1"/>
  <c r="BO11" i="78"/>
  <c r="BL11" i="78"/>
  <c r="BI11" i="78"/>
  <c r="BI41" i="78" s="1"/>
  <c r="BF11" i="78"/>
  <c r="BF41" i="78" s="1"/>
  <c r="BC11" i="78"/>
  <c r="BC41" i="78" s="1"/>
  <c r="AZ11" i="78"/>
  <c r="AW11" i="78"/>
  <c r="AT11" i="78"/>
  <c r="AQ11" i="78"/>
  <c r="AN11" i="78"/>
  <c r="AI11" i="78"/>
  <c r="AK11" i="78" s="1"/>
  <c r="AB11" i="78"/>
  <c r="Y11" i="78"/>
  <c r="V11" i="78"/>
  <c r="EH11" i="78" s="1"/>
  <c r="S11" i="78"/>
  <c r="P11" i="78"/>
  <c r="M11" i="78"/>
  <c r="J11" i="78"/>
  <c r="G11" i="78"/>
  <c r="D11" i="78"/>
  <c r="A12" i="78"/>
  <c r="A13" i="78" s="1"/>
  <c r="A14" i="78" s="1"/>
  <c r="A15" i="78" s="1"/>
  <c r="A16" i="78" s="1"/>
  <c r="A17" i="78" s="1"/>
  <c r="A18" i="78" s="1"/>
  <c r="A19" i="78" s="1"/>
  <c r="A20" i="78" s="1"/>
  <c r="A21" i="78" s="1"/>
  <c r="A22" i="78" s="1"/>
  <c r="A23" i="78" s="1"/>
  <c r="A24" i="78" s="1"/>
  <c r="A25" i="78" s="1"/>
  <c r="A26" i="78" s="1"/>
  <c r="A27" i="78" s="1"/>
  <c r="A28" i="78" s="1"/>
  <c r="A29" i="78" s="1"/>
  <c r="A30" i="78" s="1"/>
  <c r="A31" i="78" s="1"/>
  <c r="A32" i="78" s="1"/>
  <c r="A33" i="78" s="1"/>
  <c r="A34" i="78" s="1"/>
  <c r="A35" i="78" s="1"/>
  <c r="A36" i="78" s="1"/>
  <c r="A37" i="78" s="1"/>
  <c r="A38" i="78" s="1"/>
  <c r="A39" i="78" s="1"/>
  <c r="A40" i="78" s="1"/>
  <c r="EM28" i="78" l="1"/>
  <c r="EC21" i="78"/>
  <c r="EM31" i="78"/>
  <c r="EC33" i="78"/>
  <c r="EC32" i="78"/>
  <c r="EN20" i="78"/>
  <c r="EC26" i="78"/>
  <c r="EE20" i="78"/>
  <c r="EC20" i="78"/>
  <c r="EM25" i="78"/>
  <c r="EE38" i="78"/>
  <c r="EN11" i="78"/>
  <c r="AK41" i="78"/>
  <c r="AN14" i="78"/>
  <c r="EE18" i="78"/>
  <c r="EM24" i="78"/>
  <c r="ED25" i="78"/>
  <c r="EK25" i="78"/>
  <c r="EB25" i="78"/>
  <c r="V41" i="78"/>
  <c r="D41" i="78"/>
  <c r="BX41" i="78"/>
  <c r="DH41" i="78"/>
  <c r="AZ41" i="78"/>
  <c r="EE23" i="78"/>
  <c r="AN25" i="78"/>
  <c r="EE27" i="78"/>
  <c r="EE30" i="78"/>
  <c r="EB34" i="78"/>
  <c r="D34" i="78"/>
  <c r="EH38" i="78"/>
  <c r="EM38" i="78"/>
  <c r="EB40" i="78"/>
  <c r="AN40" i="78"/>
  <c r="AN41" i="78" s="1"/>
  <c r="G41" i="78"/>
  <c r="CA41" i="78"/>
  <c r="DK41" i="78"/>
  <c r="EE12" i="78"/>
  <c r="AH41" i="78"/>
  <c r="EN18" i="78"/>
  <c r="D22" i="78"/>
  <c r="EB22" i="78"/>
  <c r="EC23" i="78"/>
  <c r="EC27" i="78"/>
  <c r="EH28" i="78"/>
  <c r="D36" i="78"/>
  <c r="EB36" i="78"/>
  <c r="J41" i="78"/>
  <c r="AT41" i="78"/>
  <c r="CD41" i="78"/>
  <c r="DN41" i="78"/>
  <c r="EK22" i="78"/>
  <c r="AN22" i="78"/>
  <c r="EM22" i="78" s="1"/>
  <c r="EN30" i="78"/>
  <c r="EM39" i="78"/>
  <c r="M41" i="78"/>
  <c r="EN12" i="78"/>
  <c r="EH17" i="78"/>
  <c r="ED23" i="78"/>
  <c r="AN26" i="78"/>
  <c r="EI3" i="78"/>
  <c r="EI4" i="78" s="1"/>
  <c r="EB17" i="78"/>
  <c r="EM33" i="78"/>
  <c r="EH40" i="78"/>
  <c r="EE14" i="78"/>
  <c r="EK19" i="78"/>
  <c r="EB19" i="78"/>
  <c r="EK31" i="78"/>
  <c r="EB31" i="78"/>
  <c r="CP41" i="78"/>
  <c r="EK16" i="78"/>
  <c r="AN16" i="78"/>
  <c r="EM16" i="78" s="1"/>
  <c r="AN19" i="78"/>
  <c r="EM19" i="78" s="1"/>
  <c r="P41" i="78"/>
  <c r="EK13" i="78"/>
  <c r="EN13" i="78" s="1"/>
  <c r="EB13" i="78"/>
  <c r="EE3" i="78" s="1"/>
  <c r="EM36" i="78"/>
  <c r="D38" i="78"/>
  <c r="ED38" i="78" s="1"/>
  <c r="AB41" i="78"/>
  <c r="BL41" i="78"/>
  <c r="CV41" i="78"/>
  <c r="ED11" i="78"/>
  <c r="AN13" i="78"/>
  <c r="EM13" i="78" s="1"/>
  <c r="EN17" i="78"/>
  <c r="EN24" i="78"/>
  <c r="EK28" i="78"/>
  <c r="EN28" i="78" s="1"/>
  <c r="AN28" i="78"/>
  <c r="D16" i="78"/>
  <c r="EB16" i="78"/>
  <c r="EC38" i="78"/>
  <c r="EC14" i="78"/>
  <c r="EE21" i="78"/>
  <c r="EE24" i="78"/>
  <c r="AN31" i="78"/>
  <c r="ED31" i="78" s="1"/>
  <c r="EE33" i="78"/>
  <c r="CS41" i="78"/>
  <c r="EH22" i="78"/>
  <c r="D28" i="78"/>
  <c r="ED28" i="78" s="1"/>
  <c r="EB28" i="78"/>
  <c r="AE41" i="78"/>
  <c r="EC18" i="78"/>
  <c r="EH26" i="78"/>
  <c r="ED29" i="78"/>
  <c r="EE29" i="78" s="1"/>
  <c r="ED39" i="78"/>
  <c r="EE39" i="78" s="1"/>
  <c r="EH34" i="78"/>
  <c r="EK39" i="78"/>
  <c r="EI5" i="78"/>
  <c r="EK33" i="78"/>
  <c r="EN33" i="78" s="1"/>
  <c r="EH12" i="78"/>
  <c r="EH41" i="78" s="1"/>
  <c r="EM14" i="78"/>
  <c r="EN14" i="78" s="1"/>
  <c r="EK15" i="78"/>
  <c r="EH18" i="78"/>
  <c r="EM20" i="78"/>
  <c r="EK21" i="78"/>
  <c r="EN21" i="78" s="1"/>
  <c r="EH24" i="78"/>
  <c r="EM26" i="78"/>
  <c r="EN26" i="78" s="1"/>
  <c r="EK27" i="78"/>
  <c r="EN27" i="78" s="1"/>
  <c r="EH30" i="78"/>
  <c r="EM32" i="78"/>
  <c r="EN32" i="78" s="1"/>
  <c r="AN35" i="78"/>
  <c r="ED35" i="78" s="1"/>
  <c r="EE35" i="78" s="1"/>
  <c r="AQ37" i="78"/>
  <c r="EM37" i="78" s="1"/>
  <c r="EK37" i="78"/>
  <c r="EI11" i="78"/>
  <c r="EK35" i="78"/>
  <c r="AW41" i="78"/>
  <c r="CG41" i="78"/>
  <c r="DQ41" i="78"/>
  <c r="ED14" i="78"/>
  <c r="EH15" i="78"/>
  <c r="ED20" i="78"/>
  <c r="EH21" i="78"/>
  <c r="ED26" i="78"/>
  <c r="EE26" i="78" s="1"/>
  <c r="EH27" i="78"/>
  <c r="ED32" i="78"/>
  <c r="EE32" i="78" s="1"/>
  <c r="EH33" i="78"/>
  <c r="EK36" i="78"/>
  <c r="EN36" i="78" s="1"/>
  <c r="AQ36" i="78"/>
  <c r="EK38" i="78"/>
  <c r="EM11" i="78"/>
  <c r="EM17" i="78"/>
  <c r="EM23" i="78"/>
  <c r="EN23" i="78" s="1"/>
  <c r="EM29" i="78"/>
  <c r="EN29" i="78" s="1"/>
  <c r="EK34" i="78"/>
  <c r="EK40" i="78"/>
  <c r="AQ40" i="78"/>
  <c r="EM40" i="78" s="1"/>
  <c r="AN34" i="78"/>
  <c r="EM34" i="78" s="1"/>
  <c r="AQ35" i="78"/>
  <c r="EM35" i="78" s="1"/>
  <c r="G5" i="78" l="1"/>
  <c r="EN3" i="78"/>
  <c r="EN4" i="78" s="1"/>
  <c r="ED40" i="78"/>
  <c r="EE40" i="78" s="1"/>
  <c r="EE17" i="78"/>
  <c r="EC17" i="78"/>
  <c r="EN39" i="78"/>
  <c r="EN16" i="78"/>
  <c r="EN25" i="78"/>
  <c r="EC19" i="78"/>
  <c r="EE19" i="78"/>
  <c r="EN15" i="78"/>
  <c r="EC15" i="78"/>
  <c r="EN37" i="78"/>
  <c r="EC34" i="78"/>
  <c r="EE34" i="78"/>
  <c r="EN35" i="78"/>
  <c r="EC35" i="78"/>
  <c r="EC13" i="78"/>
  <c r="EN19" i="78"/>
  <c r="EC40" i="78"/>
  <c r="EE2" i="78"/>
  <c r="EQ2" i="78" s="1"/>
  <c r="G4" i="78" s="1"/>
  <c r="EC28" i="78"/>
  <c r="EE28" i="78"/>
  <c r="EN5" i="78"/>
  <c r="EC22" i="78"/>
  <c r="ED37" i="78"/>
  <c r="EE37" i="78" s="1"/>
  <c r="EN2" i="78"/>
  <c r="EP2" i="78" s="1"/>
  <c r="EN40" i="78"/>
  <c r="EE5" i="78"/>
  <c r="G7" i="78" s="1"/>
  <c r="ED22" i="78"/>
  <c r="EE22" i="78" s="1"/>
  <c r="ED34" i="78"/>
  <c r="EN34" i="78"/>
  <c r="ED13" i="78"/>
  <c r="EE4" i="78" s="1"/>
  <c r="G6" i="78" s="1"/>
  <c r="EE11" i="78"/>
  <c r="EN22" i="78"/>
  <c r="EC25" i="78"/>
  <c r="EE25" i="78"/>
  <c r="EC37" i="78"/>
  <c r="ED19" i="78"/>
  <c r="EC16" i="78"/>
  <c r="EE16" i="78"/>
  <c r="EC39" i="78"/>
  <c r="EM41" i="78"/>
  <c r="ED16" i="78"/>
  <c r="EC31" i="78"/>
  <c r="EE31" i="78"/>
  <c r="EN38" i="78"/>
  <c r="EN31" i="78"/>
  <c r="EC36" i="78"/>
  <c r="AQ41" i="78"/>
  <c r="ED36" i="78"/>
  <c r="EE36" i="78" s="1"/>
  <c r="ED41" i="78" l="1"/>
  <c r="EE13" i="78"/>
  <c r="AN42" i="77"/>
  <c r="EL41" i="77"/>
  <c r="EK41" i="77"/>
  <c r="EG41" i="77"/>
  <c r="EI41" i="77" s="1"/>
  <c r="DW41" i="77"/>
  <c r="DT41" i="77"/>
  <c r="EM41" i="77" s="1"/>
  <c r="EN41" i="77" s="1"/>
  <c r="DQ41" i="77"/>
  <c r="DN41" i="77"/>
  <c r="DK41" i="77"/>
  <c r="DH41" i="77"/>
  <c r="DE41" i="77"/>
  <c r="DB41" i="77"/>
  <c r="CY41" i="77"/>
  <c r="CV41" i="77"/>
  <c r="CS41" i="77"/>
  <c r="CP41" i="77"/>
  <c r="CM41" i="77"/>
  <c r="CJ41" i="77"/>
  <c r="CG41" i="77"/>
  <c r="CD41" i="77"/>
  <c r="CA41" i="77"/>
  <c r="BX41" i="77"/>
  <c r="BU41" i="77"/>
  <c r="BR41" i="77"/>
  <c r="BO41" i="77"/>
  <c r="BL41" i="77"/>
  <c r="BI41" i="77"/>
  <c r="BF41" i="77"/>
  <c r="BC41" i="77"/>
  <c r="AZ41" i="77"/>
  <c r="AW41" i="77"/>
  <c r="AT41" i="77"/>
  <c r="AQ41" i="77"/>
  <c r="AN41" i="77"/>
  <c r="AK41" i="77"/>
  <c r="AB41" i="77"/>
  <c r="Y41" i="77"/>
  <c r="V41" i="77"/>
  <c r="S41" i="77"/>
  <c r="EH41" i="77" s="1"/>
  <c r="P41" i="77"/>
  <c r="M41" i="77"/>
  <c r="J41" i="77"/>
  <c r="G41" i="77"/>
  <c r="EL40" i="77"/>
  <c r="EG40" i="77"/>
  <c r="EI2" i="77" s="1"/>
  <c r="EB40" i="77"/>
  <c r="DW40" i="77"/>
  <c r="DT40" i="77"/>
  <c r="DQ40" i="77"/>
  <c r="DN40" i="77"/>
  <c r="DK40" i="77"/>
  <c r="DH40" i="77"/>
  <c r="DE40" i="77"/>
  <c r="DB40" i="77"/>
  <c r="CY40" i="77"/>
  <c r="CV40" i="77"/>
  <c r="CS40" i="77"/>
  <c r="CP40" i="77"/>
  <c r="CM40" i="77"/>
  <c r="CJ40" i="77"/>
  <c r="CG40" i="77"/>
  <c r="CD40" i="77"/>
  <c r="CA40" i="77"/>
  <c r="BX40" i="77"/>
  <c r="BU40" i="77"/>
  <c r="BR40" i="77"/>
  <c r="BO40" i="77"/>
  <c r="BL40" i="77"/>
  <c r="BI40" i="77"/>
  <c r="BF40" i="77"/>
  <c r="BC40" i="77"/>
  <c r="AZ40" i="77"/>
  <c r="AW40" i="77"/>
  <c r="AT40" i="77"/>
  <c r="AQ40" i="77"/>
  <c r="AN40" i="77"/>
  <c r="AI40" i="77"/>
  <c r="AK40" i="77" s="1"/>
  <c r="AB40" i="77"/>
  <c r="Y40" i="77"/>
  <c r="EH40" i="77" s="1"/>
  <c r="V40" i="77"/>
  <c r="S40" i="77"/>
  <c r="P40" i="77"/>
  <c r="M40" i="77"/>
  <c r="J40" i="77"/>
  <c r="G40" i="77"/>
  <c r="D40" i="77"/>
  <c r="EL39" i="77"/>
  <c r="EG39" i="77"/>
  <c r="EI39" i="77" s="1"/>
  <c r="DW39" i="77"/>
  <c r="DT39" i="77"/>
  <c r="DQ39" i="77"/>
  <c r="DN39" i="77"/>
  <c r="DK39" i="77"/>
  <c r="DH39" i="77"/>
  <c r="DE39" i="77"/>
  <c r="DB39" i="77"/>
  <c r="CY39" i="77"/>
  <c r="CV39" i="77"/>
  <c r="CS39" i="77"/>
  <c r="CP39" i="77"/>
  <c r="CM39" i="77"/>
  <c r="CJ39" i="77"/>
  <c r="CG39" i="77"/>
  <c r="CD39" i="77"/>
  <c r="CA39" i="77"/>
  <c r="BX39" i="77"/>
  <c r="BU39" i="77"/>
  <c r="BR39" i="77"/>
  <c r="BO39" i="77"/>
  <c r="BL39" i="77"/>
  <c r="BI39" i="77"/>
  <c r="BF39" i="77"/>
  <c r="BC39" i="77"/>
  <c r="AZ39" i="77"/>
  <c r="AW39" i="77"/>
  <c r="AT39" i="77"/>
  <c r="AQ39" i="77"/>
  <c r="AN39" i="77"/>
  <c r="AI39" i="77"/>
  <c r="AB39" i="77"/>
  <c r="EH39" i="77" s="1"/>
  <c r="Y39" i="77"/>
  <c r="V39" i="77"/>
  <c r="S39" i="77"/>
  <c r="P39" i="77"/>
  <c r="M39" i="77"/>
  <c r="J39" i="77"/>
  <c r="G39" i="77"/>
  <c r="EL38" i="77"/>
  <c r="EK38" i="77"/>
  <c r="EI38" i="77"/>
  <c r="EG38" i="77"/>
  <c r="EC38" i="77"/>
  <c r="EB38" i="77"/>
  <c r="DW38" i="77"/>
  <c r="DT38" i="77"/>
  <c r="DQ38" i="77"/>
  <c r="DN38" i="77"/>
  <c r="DK38" i="77"/>
  <c r="DH38" i="77"/>
  <c r="DE38" i="77"/>
  <c r="DB38" i="77"/>
  <c r="CY38" i="77"/>
  <c r="CV38" i="77"/>
  <c r="CS38" i="77"/>
  <c r="CP38" i="77"/>
  <c r="CM38" i="77"/>
  <c r="CJ38" i="77"/>
  <c r="CG38" i="77"/>
  <c r="CD38" i="77"/>
  <c r="CA38" i="77"/>
  <c r="BX38" i="77"/>
  <c r="BU38" i="77"/>
  <c r="BR38" i="77"/>
  <c r="BO38" i="77"/>
  <c r="BL38" i="77"/>
  <c r="BI38" i="77"/>
  <c r="BF38" i="77"/>
  <c r="BC38" i="77"/>
  <c r="AZ38" i="77"/>
  <c r="AW38" i="77"/>
  <c r="AT38" i="77"/>
  <c r="AQ38" i="77"/>
  <c r="AN38" i="77"/>
  <c r="AI38" i="77"/>
  <c r="AK38" i="77" s="1"/>
  <c r="AB38" i="77"/>
  <c r="Y38" i="77"/>
  <c r="V38" i="77"/>
  <c r="S38" i="77"/>
  <c r="P38" i="77"/>
  <c r="M38" i="77"/>
  <c r="J38" i="77"/>
  <c r="G38" i="77"/>
  <c r="D38" i="77"/>
  <c r="ED38" i="77" s="1"/>
  <c r="EL37" i="77"/>
  <c r="EK37" i="77"/>
  <c r="EG37" i="77"/>
  <c r="EI37" i="77" s="1"/>
  <c r="DW37" i="77"/>
  <c r="DT37" i="77"/>
  <c r="EM37" i="77" s="1"/>
  <c r="DQ37" i="77"/>
  <c r="DN37" i="77"/>
  <c r="DK37" i="77"/>
  <c r="DH37" i="77"/>
  <c r="DE37" i="77"/>
  <c r="DB37" i="77"/>
  <c r="CY37" i="77"/>
  <c r="CV37" i="77"/>
  <c r="CS37" i="77"/>
  <c r="CP37" i="77"/>
  <c r="CM37" i="77"/>
  <c r="CJ37" i="77"/>
  <c r="CG37" i="77"/>
  <c r="CD37" i="77"/>
  <c r="CA37" i="77"/>
  <c r="BX37" i="77"/>
  <c r="BU37" i="77"/>
  <c r="BR37" i="77"/>
  <c r="BO37" i="77"/>
  <c r="BL37" i="77"/>
  <c r="BI37" i="77"/>
  <c r="BF37" i="77"/>
  <c r="BC37" i="77"/>
  <c r="AZ37" i="77"/>
  <c r="AW37" i="77"/>
  <c r="AT37" i="77"/>
  <c r="AQ37" i="77"/>
  <c r="AN37" i="77"/>
  <c r="AI37" i="77"/>
  <c r="AK37" i="77" s="1"/>
  <c r="AB37" i="77"/>
  <c r="Y37" i="77"/>
  <c r="V37" i="77"/>
  <c r="S37" i="77"/>
  <c r="EH37" i="77" s="1"/>
  <c r="P37" i="77"/>
  <c r="M37" i="77"/>
  <c r="J37" i="77"/>
  <c r="G37" i="77"/>
  <c r="EL36" i="77"/>
  <c r="EI36" i="77"/>
  <c r="EG36" i="77"/>
  <c r="EB36" i="77"/>
  <c r="DW36" i="77"/>
  <c r="DT36" i="77"/>
  <c r="DQ36" i="77"/>
  <c r="DN36" i="77"/>
  <c r="DK36" i="77"/>
  <c r="DH36" i="77"/>
  <c r="DE36" i="77"/>
  <c r="DB36" i="77"/>
  <c r="CY36" i="77"/>
  <c r="CV36" i="77"/>
  <c r="CS36" i="77"/>
  <c r="CP36" i="77"/>
  <c r="CM36" i="77"/>
  <c r="CJ36" i="77"/>
  <c r="CG36" i="77"/>
  <c r="CD36" i="77"/>
  <c r="CA36" i="77"/>
  <c r="BX36" i="77"/>
  <c r="BU36" i="77"/>
  <c r="BR36" i="77"/>
  <c r="BO36" i="77"/>
  <c r="BL36" i="77"/>
  <c r="BI36" i="77"/>
  <c r="BF36" i="77"/>
  <c r="BC36" i="77"/>
  <c r="AZ36" i="77"/>
  <c r="AW36" i="77"/>
  <c r="AT36" i="77"/>
  <c r="AQ36" i="77"/>
  <c r="AN36" i="77"/>
  <c r="AI36" i="77"/>
  <c r="AK36" i="77" s="1"/>
  <c r="AB36" i="77"/>
  <c r="Y36" i="77"/>
  <c r="EH36" i="77" s="1"/>
  <c r="V36" i="77"/>
  <c r="S36" i="77"/>
  <c r="P36" i="77"/>
  <c r="M36" i="77"/>
  <c r="J36" i="77"/>
  <c r="G36" i="77"/>
  <c r="D36" i="77"/>
  <c r="EL35" i="77"/>
  <c r="EG35" i="77"/>
  <c r="EI35" i="77" s="1"/>
  <c r="DW35" i="77"/>
  <c r="DT35" i="77"/>
  <c r="DQ35" i="77"/>
  <c r="DN35" i="77"/>
  <c r="DK35" i="77"/>
  <c r="DH35" i="77"/>
  <c r="DE35" i="77"/>
  <c r="DB35" i="77"/>
  <c r="CY35" i="77"/>
  <c r="CV35" i="77"/>
  <c r="CS35" i="77"/>
  <c r="CP35" i="77"/>
  <c r="CM35" i="77"/>
  <c r="CJ35" i="77"/>
  <c r="CG35" i="77"/>
  <c r="CD35" i="77"/>
  <c r="CA35" i="77"/>
  <c r="BX35" i="77"/>
  <c r="BU35" i="77"/>
  <c r="BR35" i="77"/>
  <c r="BO35" i="77"/>
  <c r="BL35" i="77"/>
  <c r="BI35" i="77"/>
  <c r="BF35" i="77"/>
  <c r="BC35" i="77"/>
  <c r="AZ35" i="77"/>
  <c r="AW35" i="77"/>
  <c r="AT35" i="77"/>
  <c r="AQ35" i="77"/>
  <c r="AN35" i="77"/>
  <c r="AI35" i="77"/>
  <c r="AB35" i="77"/>
  <c r="EH35" i="77" s="1"/>
  <c r="Y35" i="77"/>
  <c r="V35" i="77"/>
  <c r="S35" i="77"/>
  <c r="P35" i="77"/>
  <c r="M35" i="77"/>
  <c r="J35" i="77"/>
  <c r="G35" i="77"/>
  <c r="EL34" i="77"/>
  <c r="EK34" i="77"/>
  <c r="EI34" i="77"/>
  <c r="EG34" i="77"/>
  <c r="EC34" i="77"/>
  <c r="EB34" i="77"/>
  <c r="DW34" i="77"/>
  <c r="DT34" i="77"/>
  <c r="DQ34" i="77"/>
  <c r="DN34" i="77"/>
  <c r="DK34" i="77"/>
  <c r="DH34" i="77"/>
  <c r="DE34" i="77"/>
  <c r="DB34" i="77"/>
  <c r="CY34" i="77"/>
  <c r="CV34" i="77"/>
  <c r="CS34" i="77"/>
  <c r="CP34" i="77"/>
  <c r="CM34" i="77"/>
  <c r="CJ34" i="77"/>
  <c r="CG34" i="77"/>
  <c r="CD34" i="77"/>
  <c r="CA34" i="77"/>
  <c r="BX34" i="77"/>
  <c r="BU34" i="77"/>
  <c r="BR34" i="77"/>
  <c r="BO34" i="77"/>
  <c r="BL34" i="77"/>
  <c r="BI34" i="77"/>
  <c r="BF34" i="77"/>
  <c r="BC34" i="77"/>
  <c r="AZ34" i="77"/>
  <c r="AW34" i="77"/>
  <c r="AT34" i="77"/>
  <c r="AQ34" i="77"/>
  <c r="AN34" i="77"/>
  <c r="AI34" i="77"/>
  <c r="AK34" i="77" s="1"/>
  <c r="AB34" i="77"/>
  <c r="Y34" i="77"/>
  <c r="V34" i="77"/>
  <c r="S34" i="77"/>
  <c r="P34" i="77"/>
  <c r="M34" i="77"/>
  <c r="J34" i="77"/>
  <c r="G34" i="77"/>
  <c r="D34" i="77"/>
  <c r="EL33" i="77"/>
  <c r="EK33" i="77"/>
  <c r="EN33" i="77" s="1"/>
  <c r="EG33" i="77"/>
  <c r="EI33" i="77" s="1"/>
  <c r="DW33" i="77"/>
  <c r="DT33" i="77"/>
  <c r="DQ33" i="77"/>
  <c r="DN33" i="77"/>
  <c r="DK33" i="77"/>
  <c r="DH33" i="77"/>
  <c r="DE33" i="77"/>
  <c r="DB33" i="77"/>
  <c r="CY33" i="77"/>
  <c r="EM33" i="77" s="1"/>
  <c r="CV33" i="77"/>
  <c r="CS33" i="77"/>
  <c r="CP33" i="77"/>
  <c r="CM33" i="77"/>
  <c r="CJ33" i="77"/>
  <c r="CG33" i="77"/>
  <c r="CD33" i="77"/>
  <c r="CA33" i="77"/>
  <c r="BX33" i="77"/>
  <c r="BU33" i="77"/>
  <c r="BR33" i="77"/>
  <c r="BO33" i="77"/>
  <c r="BL33" i="77"/>
  <c r="BI33" i="77"/>
  <c r="BF33" i="77"/>
  <c r="BC33" i="77"/>
  <c r="AZ33" i="77"/>
  <c r="AW33" i="77"/>
  <c r="AT33" i="77"/>
  <c r="AQ33" i="77"/>
  <c r="AN33" i="77"/>
  <c r="AI33" i="77"/>
  <c r="AK33" i="77" s="1"/>
  <c r="AB33" i="77"/>
  <c r="Y33" i="77"/>
  <c r="V33" i="77"/>
  <c r="S33" i="77"/>
  <c r="P33" i="77"/>
  <c r="M33" i="77"/>
  <c r="J33" i="77"/>
  <c r="G33" i="77"/>
  <c r="EL32" i="77"/>
  <c r="EK32" i="77"/>
  <c r="EI32" i="77"/>
  <c r="EG32" i="77"/>
  <c r="DW32" i="77"/>
  <c r="DT32" i="77"/>
  <c r="DQ32" i="77"/>
  <c r="DN32" i="77"/>
  <c r="DK32" i="77"/>
  <c r="DH32" i="77"/>
  <c r="DE32" i="77"/>
  <c r="DB32" i="77"/>
  <c r="CY32" i="77"/>
  <c r="CV32" i="77"/>
  <c r="CS32" i="77"/>
  <c r="CP32" i="77"/>
  <c r="CM32" i="77"/>
  <c r="CJ32" i="77"/>
  <c r="CG32" i="77"/>
  <c r="CD32" i="77"/>
  <c r="CA32" i="77"/>
  <c r="BX32" i="77"/>
  <c r="BU32" i="77"/>
  <c r="BR32" i="77"/>
  <c r="BO32" i="77"/>
  <c r="BL32" i="77"/>
  <c r="BI32" i="77"/>
  <c r="BF32" i="77"/>
  <c r="BC32" i="77"/>
  <c r="AZ32" i="77"/>
  <c r="AW32" i="77"/>
  <c r="AT32" i="77"/>
  <c r="AQ32" i="77"/>
  <c r="AN32" i="77"/>
  <c r="AI32" i="77"/>
  <c r="EB32" i="77" s="1"/>
  <c r="AB32" i="77"/>
  <c r="Y32" i="77"/>
  <c r="EH32" i="77" s="1"/>
  <c r="V32" i="77"/>
  <c r="S32" i="77"/>
  <c r="P32" i="77"/>
  <c r="M32" i="77"/>
  <c r="J32" i="77"/>
  <c r="G32" i="77"/>
  <c r="D32" i="77"/>
  <c r="EL31" i="77"/>
  <c r="EG31" i="77"/>
  <c r="EI31" i="77" s="1"/>
  <c r="DW31" i="77"/>
  <c r="DT31" i="77"/>
  <c r="DQ31" i="77"/>
  <c r="DN31" i="77"/>
  <c r="DK31" i="77"/>
  <c r="DH31" i="77"/>
  <c r="DE31" i="77"/>
  <c r="DB31" i="77"/>
  <c r="CY31" i="77"/>
  <c r="CV31" i="77"/>
  <c r="CS31" i="77"/>
  <c r="CP31" i="77"/>
  <c r="CM31" i="77"/>
  <c r="CJ31" i="77"/>
  <c r="CG31" i="77"/>
  <c r="CD31" i="77"/>
  <c r="CA31" i="77"/>
  <c r="BX31" i="77"/>
  <c r="BU31" i="77"/>
  <c r="BR31" i="77"/>
  <c r="BO31" i="77"/>
  <c r="BL31" i="77"/>
  <c r="BI31" i="77"/>
  <c r="BF31" i="77"/>
  <c r="BC31" i="77"/>
  <c r="AZ31" i="77"/>
  <c r="AW31" i="77"/>
  <c r="AT31" i="77"/>
  <c r="AQ31" i="77"/>
  <c r="AN31" i="77"/>
  <c r="AI31" i="77"/>
  <c r="AB31" i="77"/>
  <c r="EH31" i="77" s="1"/>
  <c r="Y31" i="77"/>
  <c r="V31" i="77"/>
  <c r="S31" i="77"/>
  <c r="P31" i="77"/>
  <c r="M31" i="77"/>
  <c r="J31" i="77"/>
  <c r="G31" i="77"/>
  <c r="EL30" i="77"/>
  <c r="EK30" i="77"/>
  <c r="EI30" i="77"/>
  <c r="EG30" i="77"/>
  <c r="EB30" i="77"/>
  <c r="DW30" i="77"/>
  <c r="DT30" i="77"/>
  <c r="EM30" i="77" s="1"/>
  <c r="EN30" i="77" s="1"/>
  <c r="DQ30" i="77"/>
  <c r="DN30" i="77"/>
  <c r="DK30" i="77"/>
  <c r="DH30" i="77"/>
  <c r="DE30" i="77"/>
  <c r="DB30" i="77"/>
  <c r="CY30" i="77"/>
  <c r="CV30" i="77"/>
  <c r="CS30" i="77"/>
  <c r="CP30" i="77"/>
  <c r="CM30" i="77"/>
  <c r="CJ30" i="77"/>
  <c r="CG30" i="77"/>
  <c r="CD30" i="77"/>
  <c r="CA30" i="77"/>
  <c r="BX30" i="77"/>
  <c r="BU30" i="77"/>
  <c r="BR30" i="77"/>
  <c r="BO30" i="77"/>
  <c r="BL30" i="77"/>
  <c r="BI30" i="77"/>
  <c r="BF30" i="77"/>
  <c r="BC30" i="77"/>
  <c r="AZ30" i="77"/>
  <c r="AW30" i="77"/>
  <c r="AT30" i="77"/>
  <c r="AQ30" i="77"/>
  <c r="AN30" i="77"/>
  <c r="AI30" i="77"/>
  <c r="AK30" i="77" s="1"/>
  <c r="AB30" i="77"/>
  <c r="Y30" i="77"/>
  <c r="V30" i="77"/>
  <c r="S30" i="77"/>
  <c r="EH30" i="77" s="1"/>
  <c r="P30" i="77"/>
  <c r="M30" i="77"/>
  <c r="J30" i="77"/>
  <c r="G30" i="77"/>
  <c r="D30" i="77"/>
  <c r="EL29" i="77"/>
  <c r="EK29" i="77"/>
  <c r="EN29" i="77" s="1"/>
  <c r="EG29" i="77"/>
  <c r="EI29" i="77" s="1"/>
  <c r="DW29" i="77"/>
  <c r="DT29" i="77"/>
  <c r="EM29" i="77" s="1"/>
  <c r="DQ29" i="77"/>
  <c r="DN29" i="77"/>
  <c r="DK29" i="77"/>
  <c r="DH29" i="77"/>
  <c r="DE29" i="77"/>
  <c r="DB29" i="77"/>
  <c r="CY29" i="77"/>
  <c r="CV29" i="77"/>
  <c r="CS29" i="77"/>
  <c r="CP29" i="77"/>
  <c r="CM29" i="77"/>
  <c r="CJ29" i="77"/>
  <c r="CG29" i="77"/>
  <c r="CD29" i="77"/>
  <c r="CA29" i="77"/>
  <c r="BX29" i="77"/>
  <c r="BU29" i="77"/>
  <c r="BR29" i="77"/>
  <c r="BO29" i="77"/>
  <c r="BL29" i="77"/>
  <c r="BI29" i="77"/>
  <c r="BF29" i="77"/>
  <c r="BC29" i="77"/>
  <c r="AZ29" i="77"/>
  <c r="AW29" i="77"/>
  <c r="AT29" i="77"/>
  <c r="AQ29" i="77"/>
  <c r="AN29" i="77"/>
  <c r="AI29" i="77"/>
  <c r="AK29" i="77" s="1"/>
  <c r="AB29" i="77"/>
  <c r="Y29" i="77"/>
  <c r="V29" i="77"/>
  <c r="S29" i="77"/>
  <c r="EH29" i="77" s="1"/>
  <c r="P29" i="77"/>
  <c r="M29" i="77"/>
  <c r="J29" i="77"/>
  <c r="G29" i="77"/>
  <c r="EL28" i="77"/>
  <c r="EG28" i="77"/>
  <c r="EI28" i="77" s="1"/>
  <c r="EB28" i="77"/>
  <c r="DW28" i="77"/>
  <c r="DT28" i="77"/>
  <c r="DQ28" i="77"/>
  <c r="DN28" i="77"/>
  <c r="DK28" i="77"/>
  <c r="DH28" i="77"/>
  <c r="DE28" i="77"/>
  <c r="DB28" i="77"/>
  <c r="CY28" i="77"/>
  <c r="CV28" i="77"/>
  <c r="CS28" i="77"/>
  <c r="CP28" i="77"/>
  <c r="CM28" i="77"/>
  <c r="CJ28" i="77"/>
  <c r="CG28" i="77"/>
  <c r="CD28" i="77"/>
  <c r="CA28" i="77"/>
  <c r="BX28" i="77"/>
  <c r="BU28" i="77"/>
  <c r="BR28" i="77"/>
  <c r="BO28" i="77"/>
  <c r="BL28" i="77"/>
  <c r="BI28" i="77"/>
  <c r="BF28" i="77"/>
  <c r="BC28" i="77"/>
  <c r="AZ28" i="77"/>
  <c r="AW28" i="77"/>
  <c r="AT28" i="77"/>
  <c r="AQ28" i="77"/>
  <c r="AN28" i="77"/>
  <c r="AI28" i="77"/>
  <c r="AK28" i="77" s="1"/>
  <c r="AB28" i="77"/>
  <c r="Y28" i="77"/>
  <c r="EH28" i="77" s="1"/>
  <c r="V28" i="77"/>
  <c r="S28" i="77"/>
  <c r="P28" i="77"/>
  <c r="M28" i="77"/>
  <c r="J28" i="77"/>
  <c r="G28" i="77"/>
  <c r="D28" i="77"/>
  <c r="EL27" i="77"/>
  <c r="EG27" i="77"/>
  <c r="EI27" i="77" s="1"/>
  <c r="DW27" i="77"/>
  <c r="DT27" i="77"/>
  <c r="DQ27" i="77"/>
  <c r="DN27" i="77"/>
  <c r="DK27" i="77"/>
  <c r="DH27" i="77"/>
  <c r="DE27" i="77"/>
  <c r="DB27" i="77"/>
  <c r="CY27" i="77"/>
  <c r="CV27" i="77"/>
  <c r="CS27" i="77"/>
  <c r="CP27" i="77"/>
  <c r="CM27" i="77"/>
  <c r="CJ27" i="77"/>
  <c r="CG27" i="77"/>
  <c r="CD27" i="77"/>
  <c r="CA27" i="77"/>
  <c r="BX27" i="77"/>
  <c r="BU27" i="77"/>
  <c r="BR27" i="77"/>
  <c r="BO27" i="77"/>
  <c r="BL27" i="77"/>
  <c r="BI27" i="77"/>
  <c r="BF27" i="77"/>
  <c r="BC27" i="77"/>
  <c r="AZ27" i="77"/>
  <c r="AW27" i="77"/>
  <c r="AT27" i="77"/>
  <c r="AQ27" i="77"/>
  <c r="AN27" i="77"/>
  <c r="AI27" i="77"/>
  <c r="AB27" i="77"/>
  <c r="Y27" i="77"/>
  <c r="V27" i="77"/>
  <c r="S27" i="77"/>
  <c r="P27" i="77"/>
  <c r="M27" i="77"/>
  <c r="J27" i="77"/>
  <c r="G27" i="77"/>
  <c r="EL26" i="77"/>
  <c r="EK26" i="77"/>
  <c r="EI26" i="77"/>
  <c r="EG26" i="77"/>
  <c r="EC26" i="77"/>
  <c r="EB26" i="77"/>
  <c r="DW26" i="77"/>
  <c r="DT26" i="77"/>
  <c r="DQ26" i="77"/>
  <c r="DN26" i="77"/>
  <c r="DK26" i="77"/>
  <c r="DH26" i="77"/>
  <c r="DE26" i="77"/>
  <c r="DB26" i="77"/>
  <c r="CY26" i="77"/>
  <c r="CV26" i="77"/>
  <c r="CS26" i="77"/>
  <c r="CP26" i="77"/>
  <c r="CM26" i="77"/>
  <c r="CJ26" i="77"/>
  <c r="CG26" i="77"/>
  <c r="CD26" i="77"/>
  <c r="CA26" i="77"/>
  <c r="BX26" i="77"/>
  <c r="BU26" i="77"/>
  <c r="BR26" i="77"/>
  <c r="BO26" i="77"/>
  <c r="BL26" i="77"/>
  <c r="BI26" i="77"/>
  <c r="BF26" i="77"/>
  <c r="BC26" i="77"/>
  <c r="AZ26" i="77"/>
  <c r="AW26" i="77"/>
  <c r="AT26" i="77"/>
  <c r="AQ26" i="77"/>
  <c r="AN26" i="77"/>
  <c r="AI26" i="77"/>
  <c r="AK26" i="77" s="1"/>
  <c r="AB26" i="77"/>
  <c r="Y26" i="77"/>
  <c r="V26" i="77"/>
  <c r="S26" i="77"/>
  <c r="P26" i="77"/>
  <c r="M26" i="77"/>
  <c r="J26" i="77"/>
  <c r="G26" i="77"/>
  <c r="D26" i="77"/>
  <c r="ED26" i="77" s="1"/>
  <c r="EL25" i="77"/>
  <c r="EK25" i="77"/>
  <c r="EG25" i="77"/>
  <c r="EI25" i="77" s="1"/>
  <c r="DW25" i="77"/>
  <c r="DT25" i="77"/>
  <c r="EM25" i="77" s="1"/>
  <c r="DQ25" i="77"/>
  <c r="DN25" i="77"/>
  <c r="DK25" i="77"/>
  <c r="DH25" i="77"/>
  <c r="DE25" i="77"/>
  <c r="DB25" i="77"/>
  <c r="CY25" i="77"/>
  <c r="CV25" i="77"/>
  <c r="CS25" i="77"/>
  <c r="CP25" i="77"/>
  <c r="CM25" i="77"/>
  <c r="CJ25" i="77"/>
  <c r="CG25" i="77"/>
  <c r="CD25" i="77"/>
  <c r="CA25" i="77"/>
  <c r="BX25" i="77"/>
  <c r="BU25" i="77"/>
  <c r="BR25" i="77"/>
  <c r="BO25" i="77"/>
  <c r="BL25" i="77"/>
  <c r="BI25" i="77"/>
  <c r="BF25" i="77"/>
  <c r="BC25" i="77"/>
  <c r="AZ25" i="77"/>
  <c r="AW25" i="77"/>
  <c r="AT25" i="77"/>
  <c r="AQ25" i="77"/>
  <c r="AN25" i="77"/>
  <c r="AI25" i="77"/>
  <c r="AK25" i="77" s="1"/>
  <c r="AB25" i="77"/>
  <c r="Y25" i="77"/>
  <c r="V25" i="77"/>
  <c r="S25" i="77"/>
  <c r="EH25" i="77" s="1"/>
  <c r="P25" i="77"/>
  <c r="M25" i="77"/>
  <c r="J25" i="77"/>
  <c r="G25" i="77"/>
  <c r="EL24" i="77"/>
  <c r="EI24" i="77"/>
  <c r="EG24" i="77"/>
  <c r="EB24" i="77"/>
  <c r="DW24" i="77"/>
  <c r="DT24" i="77"/>
  <c r="DQ24" i="77"/>
  <c r="DN24" i="77"/>
  <c r="DK24" i="77"/>
  <c r="DH24" i="77"/>
  <c r="DE24" i="77"/>
  <c r="DB24" i="77"/>
  <c r="CY24" i="77"/>
  <c r="CV24" i="77"/>
  <c r="CS24" i="77"/>
  <c r="CP24" i="77"/>
  <c r="CM24" i="77"/>
  <c r="CJ24" i="77"/>
  <c r="CG24" i="77"/>
  <c r="CD24" i="77"/>
  <c r="CA24" i="77"/>
  <c r="BX24" i="77"/>
  <c r="BU24" i="77"/>
  <c r="BR24" i="77"/>
  <c r="BO24" i="77"/>
  <c r="BL24" i="77"/>
  <c r="BI24" i="77"/>
  <c r="BF24" i="77"/>
  <c r="BC24" i="77"/>
  <c r="AZ24" i="77"/>
  <c r="AW24" i="77"/>
  <c r="AT24" i="77"/>
  <c r="AQ24" i="77"/>
  <c r="AN24" i="77"/>
  <c r="AI24" i="77"/>
  <c r="EK24" i="77" s="1"/>
  <c r="AB24" i="77"/>
  <c r="Y24" i="77"/>
  <c r="EH24" i="77" s="1"/>
  <c r="V24" i="77"/>
  <c r="S24" i="77"/>
  <c r="P24" i="77"/>
  <c r="M24" i="77"/>
  <c r="J24" i="77"/>
  <c r="G24" i="77"/>
  <c r="D24" i="77"/>
  <c r="EL23" i="77"/>
  <c r="EG23" i="77"/>
  <c r="EI23" i="77" s="1"/>
  <c r="DW23" i="77"/>
  <c r="DT23" i="77"/>
  <c r="DQ23" i="77"/>
  <c r="DN23" i="77"/>
  <c r="DK23" i="77"/>
  <c r="DH23" i="77"/>
  <c r="DE23" i="77"/>
  <c r="DB23" i="77"/>
  <c r="CY23" i="77"/>
  <c r="CV23" i="77"/>
  <c r="CS23" i="77"/>
  <c r="CP23" i="77"/>
  <c r="CM23" i="77"/>
  <c r="CJ23" i="77"/>
  <c r="CG23" i="77"/>
  <c r="CD23" i="77"/>
  <c r="CA23" i="77"/>
  <c r="BX23" i="77"/>
  <c r="BU23" i="77"/>
  <c r="BR23" i="77"/>
  <c r="BO23" i="77"/>
  <c r="BL23" i="77"/>
  <c r="BI23" i="77"/>
  <c r="BF23" i="77"/>
  <c r="BC23" i="77"/>
  <c r="AZ23" i="77"/>
  <c r="AW23" i="77"/>
  <c r="AT23" i="77"/>
  <c r="AQ23" i="77"/>
  <c r="AN23" i="77"/>
  <c r="AI23" i="77"/>
  <c r="EK23" i="77" s="1"/>
  <c r="AB23" i="77"/>
  <c r="EH23" i="77" s="1"/>
  <c r="Y23" i="77"/>
  <c r="V23" i="77"/>
  <c r="S23" i="77"/>
  <c r="P23" i="77"/>
  <c r="M23" i="77"/>
  <c r="J23" i="77"/>
  <c r="G23" i="77"/>
  <c r="EB23" i="77"/>
  <c r="EC23" i="77" s="1"/>
  <c r="EL22" i="77"/>
  <c r="EK22" i="77"/>
  <c r="EI22" i="77"/>
  <c r="EG22" i="77"/>
  <c r="EB22" i="77"/>
  <c r="DW22" i="77"/>
  <c r="DT22" i="77"/>
  <c r="DQ22" i="77"/>
  <c r="DN22" i="77"/>
  <c r="DK22" i="77"/>
  <c r="DH22" i="77"/>
  <c r="DE22" i="77"/>
  <c r="DB22" i="77"/>
  <c r="CY22" i="77"/>
  <c r="CV22" i="77"/>
  <c r="CS22" i="77"/>
  <c r="CP22" i="77"/>
  <c r="CM22" i="77"/>
  <c r="CJ22" i="77"/>
  <c r="CG22" i="77"/>
  <c r="CD22" i="77"/>
  <c r="CA22" i="77"/>
  <c r="BX22" i="77"/>
  <c r="BU22" i="77"/>
  <c r="BR22" i="77"/>
  <c r="BO22" i="77"/>
  <c r="BL22" i="77"/>
  <c r="BI22" i="77"/>
  <c r="BF22" i="77"/>
  <c r="BC22" i="77"/>
  <c r="AZ22" i="77"/>
  <c r="AW22" i="77"/>
  <c r="AT22" i="77"/>
  <c r="AQ22" i="77"/>
  <c r="AN22" i="77"/>
  <c r="AI22" i="77"/>
  <c r="AK22" i="77" s="1"/>
  <c r="AB22" i="77"/>
  <c r="Y22" i="77"/>
  <c r="V22" i="77"/>
  <c r="S22" i="77"/>
  <c r="EH22" i="77" s="1"/>
  <c r="P22" i="77"/>
  <c r="M22" i="77"/>
  <c r="J22" i="77"/>
  <c r="G22" i="77"/>
  <c r="D22" i="77"/>
  <c r="ED22" i="77" s="1"/>
  <c r="EL21" i="77"/>
  <c r="EG21" i="77"/>
  <c r="EI21" i="77" s="1"/>
  <c r="DW21" i="77"/>
  <c r="DT21" i="77"/>
  <c r="EM21" i="77" s="1"/>
  <c r="DQ21" i="77"/>
  <c r="DN21" i="77"/>
  <c r="DK21" i="77"/>
  <c r="DH21" i="77"/>
  <c r="DE21" i="77"/>
  <c r="DB21" i="77"/>
  <c r="CY21" i="77"/>
  <c r="CV21" i="77"/>
  <c r="CS21" i="77"/>
  <c r="CP21" i="77"/>
  <c r="CM21" i="77"/>
  <c r="CJ21" i="77"/>
  <c r="CG21" i="77"/>
  <c r="CD21" i="77"/>
  <c r="CA21" i="77"/>
  <c r="BX21" i="77"/>
  <c r="BU21" i="77"/>
  <c r="BR21" i="77"/>
  <c r="BO21" i="77"/>
  <c r="BL21" i="77"/>
  <c r="BI21" i="77"/>
  <c r="BF21" i="77"/>
  <c r="BC21" i="77"/>
  <c r="AZ21" i="77"/>
  <c r="AW21" i="77"/>
  <c r="AT21" i="77"/>
  <c r="AQ21" i="77"/>
  <c r="AN21" i="77"/>
  <c r="AI21" i="77"/>
  <c r="AK21" i="77" s="1"/>
  <c r="AB21" i="77"/>
  <c r="Y21" i="77"/>
  <c r="V21" i="77"/>
  <c r="S21" i="77"/>
  <c r="EH21" i="77" s="1"/>
  <c r="P21" i="77"/>
  <c r="M21" i="77"/>
  <c r="J21" i="77"/>
  <c r="G21" i="77"/>
  <c r="EL20" i="77"/>
  <c r="EG20" i="77"/>
  <c r="EI20" i="77" s="1"/>
  <c r="EB20" i="77"/>
  <c r="EC20" i="77" s="1"/>
  <c r="DW20" i="77"/>
  <c r="DT20" i="77"/>
  <c r="DQ20" i="77"/>
  <c r="DN20" i="77"/>
  <c r="DK20" i="77"/>
  <c r="DH20" i="77"/>
  <c r="DE20" i="77"/>
  <c r="DB20" i="77"/>
  <c r="CY20" i="77"/>
  <c r="CV20" i="77"/>
  <c r="CS20" i="77"/>
  <c r="CP20" i="77"/>
  <c r="CM20" i="77"/>
  <c r="CJ20" i="77"/>
  <c r="CG20" i="77"/>
  <c r="CD20" i="77"/>
  <c r="CA20" i="77"/>
  <c r="BX20" i="77"/>
  <c r="BU20" i="77"/>
  <c r="BR20" i="77"/>
  <c r="BO20" i="77"/>
  <c r="BL20" i="77"/>
  <c r="BI20" i="77"/>
  <c r="BF20" i="77"/>
  <c r="BC20" i="77"/>
  <c r="AZ20" i="77"/>
  <c r="AW20" i="77"/>
  <c r="AT20" i="77"/>
  <c r="AQ20" i="77"/>
  <c r="AN20" i="77"/>
  <c r="AI20" i="77"/>
  <c r="EK20" i="77" s="1"/>
  <c r="AB20" i="77"/>
  <c r="Y20" i="77"/>
  <c r="EH20" i="77" s="1"/>
  <c r="V20" i="77"/>
  <c r="S20" i="77"/>
  <c r="P20" i="77"/>
  <c r="M20" i="77"/>
  <c r="J20" i="77"/>
  <c r="G20" i="77"/>
  <c r="D20" i="77"/>
  <c r="EL19" i="77"/>
  <c r="EH19" i="77"/>
  <c r="EG19" i="77"/>
  <c r="EI19" i="77" s="1"/>
  <c r="DW19" i="77"/>
  <c r="DT19" i="77"/>
  <c r="DQ19" i="77"/>
  <c r="DN19" i="77"/>
  <c r="DK19" i="77"/>
  <c r="DH19" i="77"/>
  <c r="DE19" i="77"/>
  <c r="DB19" i="77"/>
  <c r="CY19" i="77"/>
  <c r="CV19" i="77"/>
  <c r="CS19" i="77"/>
  <c r="CP19" i="77"/>
  <c r="CM19" i="77"/>
  <c r="CJ19" i="77"/>
  <c r="CG19" i="77"/>
  <c r="CD19" i="77"/>
  <c r="CA19" i="77"/>
  <c r="BX19" i="77"/>
  <c r="BU19" i="77"/>
  <c r="BR19" i="77"/>
  <c r="BO19" i="77"/>
  <c r="BL19" i="77"/>
  <c r="BI19" i="77"/>
  <c r="BF19" i="77"/>
  <c r="BC19" i="77"/>
  <c r="AZ19" i="77"/>
  <c r="AW19" i="77"/>
  <c r="AT19" i="77"/>
  <c r="AQ19" i="77"/>
  <c r="AN19" i="77"/>
  <c r="AI19" i="77"/>
  <c r="EK19" i="77" s="1"/>
  <c r="AB19" i="77"/>
  <c r="Y19" i="77"/>
  <c r="V19" i="77"/>
  <c r="S19" i="77"/>
  <c r="P19" i="77"/>
  <c r="M19" i="77"/>
  <c r="J19" i="77"/>
  <c r="G19" i="77"/>
  <c r="D19" i="77"/>
  <c r="EL18" i="77"/>
  <c r="EK18" i="77"/>
  <c r="EI18" i="77"/>
  <c r="EG18" i="77"/>
  <c r="EB18" i="77"/>
  <c r="EC18" i="77" s="1"/>
  <c r="DW18" i="77"/>
  <c r="DT18" i="77"/>
  <c r="EM18" i="77" s="1"/>
  <c r="EN18" i="77" s="1"/>
  <c r="DQ18" i="77"/>
  <c r="DN18" i="77"/>
  <c r="DK18" i="77"/>
  <c r="DH18" i="77"/>
  <c r="DE18" i="77"/>
  <c r="DB18" i="77"/>
  <c r="CY18" i="77"/>
  <c r="CV18" i="77"/>
  <c r="CS18" i="77"/>
  <c r="CP18" i="77"/>
  <c r="CM18" i="77"/>
  <c r="CJ18" i="77"/>
  <c r="CG18" i="77"/>
  <c r="CD18" i="77"/>
  <c r="CA18" i="77"/>
  <c r="BX18" i="77"/>
  <c r="BU18" i="77"/>
  <c r="BR18" i="77"/>
  <c r="BO18" i="77"/>
  <c r="BL18" i="77"/>
  <c r="BI18" i="77"/>
  <c r="BF18" i="77"/>
  <c r="BC18" i="77"/>
  <c r="BC42" i="77" s="1"/>
  <c r="AZ18" i="77"/>
  <c r="AW18" i="77"/>
  <c r="AT18" i="77"/>
  <c r="AQ18" i="77"/>
  <c r="AN18" i="77"/>
  <c r="AI18" i="77"/>
  <c r="AK18" i="77" s="1"/>
  <c r="AB18" i="77"/>
  <c r="Y18" i="77"/>
  <c r="V18" i="77"/>
  <c r="S18" i="77"/>
  <c r="EH18" i="77" s="1"/>
  <c r="P18" i="77"/>
  <c r="M18" i="77"/>
  <c r="J18" i="77"/>
  <c r="G18" i="77"/>
  <c r="D18" i="77"/>
  <c r="EL17" i="77"/>
  <c r="EK17" i="77"/>
  <c r="EG17" i="77"/>
  <c r="EI17" i="77" s="1"/>
  <c r="DW17" i="77"/>
  <c r="DT17" i="77"/>
  <c r="DQ17" i="77"/>
  <c r="DN17" i="77"/>
  <c r="DK17" i="77"/>
  <c r="DH17" i="77"/>
  <c r="DE17" i="77"/>
  <c r="DB17" i="77"/>
  <c r="EM17" i="77" s="1"/>
  <c r="CY17" i="77"/>
  <c r="CV17" i="77"/>
  <c r="CS17" i="77"/>
  <c r="CP17" i="77"/>
  <c r="CM17" i="77"/>
  <c r="CJ17" i="77"/>
  <c r="CG17" i="77"/>
  <c r="CD17" i="77"/>
  <c r="CA17" i="77"/>
  <c r="BX17" i="77"/>
  <c r="BU17" i="77"/>
  <c r="BR17" i="77"/>
  <c r="BO17" i="77"/>
  <c r="BL17" i="77"/>
  <c r="BI17" i="77"/>
  <c r="BF17" i="77"/>
  <c r="BC17" i="77"/>
  <c r="AZ17" i="77"/>
  <c r="AW17" i="77"/>
  <c r="AT17" i="77"/>
  <c r="AQ17" i="77"/>
  <c r="AN17" i="77"/>
  <c r="AI17" i="77"/>
  <c r="AK17" i="77" s="1"/>
  <c r="AB17" i="77"/>
  <c r="Y17" i="77"/>
  <c r="V17" i="77"/>
  <c r="S17" i="77"/>
  <c r="P17" i="77"/>
  <c r="M17" i="77"/>
  <c r="J17" i="77"/>
  <c r="G17" i="77"/>
  <c r="EL16" i="77"/>
  <c r="EH16" i="77"/>
  <c r="EG16" i="77"/>
  <c r="EI16" i="77" s="1"/>
  <c r="DW16" i="77"/>
  <c r="DT16" i="77"/>
  <c r="DQ16" i="77"/>
  <c r="DN16" i="77"/>
  <c r="DK16" i="77"/>
  <c r="DH16" i="77"/>
  <c r="DE16" i="77"/>
  <c r="DB16" i="77"/>
  <c r="CY16" i="77"/>
  <c r="CV16" i="77"/>
  <c r="CS16" i="77"/>
  <c r="CP16" i="77"/>
  <c r="CM16" i="77"/>
  <c r="CJ16" i="77"/>
  <c r="CG16" i="77"/>
  <c r="CD16" i="77"/>
  <c r="CA16" i="77"/>
  <c r="BX16" i="77"/>
  <c r="BU16" i="77"/>
  <c r="BR16" i="77"/>
  <c r="BO16" i="77"/>
  <c r="BL16" i="77"/>
  <c r="BI16" i="77"/>
  <c r="BF16" i="77"/>
  <c r="BC16" i="77"/>
  <c r="AZ16" i="77"/>
  <c r="AW16" i="77"/>
  <c r="AT16" i="77"/>
  <c r="AQ16" i="77"/>
  <c r="AN16" i="77"/>
  <c r="AI16" i="77"/>
  <c r="AK16" i="77" s="1"/>
  <c r="AB16" i="77"/>
  <c r="Y16" i="77"/>
  <c r="V16" i="77"/>
  <c r="S16" i="77"/>
  <c r="P16" i="77"/>
  <c r="M16" i="77"/>
  <c r="J16" i="77"/>
  <c r="G16" i="77"/>
  <c r="D16" i="77"/>
  <c r="EL15" i="77"/>
  <c r="EG15" i="77"/>
  <c r="EI15" i="77" s="1"/>
  <c r="DW15" i="77"/>
  <c r="DT15" i="77"/>
  <c r="DQ15" i="77"/>
  <c r="DN15" i="77"/>
  <c r="DK15" i="77"/>
  <c r="DH15" i="77"/>
  <c r="DE15" i="77"/>
  <c r="DB15" i="77"/>
  <c r="CY15" i="77"/>
  <c r="CV15" i="77"/>
  <c r="CS15" i="77"/>
  <c r="CP15" i="77"/>
  <c r="CM15" i="77"/>
  <c r="CJ15" i="77"/>
  <c r="CG15" i="77"/>
  <c r="CD15" i="77"/>
  <c r="CA15" i="77"/>
  <c r="BX15" i="77"/>
  <c r="BU15" i="77"/>
  <c r="BR15" i="77"/>
  <c r="BO15" i="77"/>
  <c r="BL15" i="77"/>
  <c r="BI15" i="77"/>
  <c r="BF15" i="77"/>
  <c r="BC15" i="77"/>
  <c r="AZ15" i="77"/>
  <c r="AW15" i="77"/>
  <c r="AT15" i="77"/>
  <c r="AQ15" i="77"/>
  <c r="AN15" i="77"/>
  <c r="AI15" i="77"/>
  <c r="EK15" i="77" s="1"/>
  <c r="AB15" i="77"/>
  <c r="Y15" i="77"/>
  <c r="V15" i="77"/>
  <c r="S15" i="77"/>
  <c r="EH15" i="77" s="1"/>
  <c r="P15" i="77"/>
  <c r="M15" i="77"/>
  <c r="J15" i="77"/>
  <c r="G15" i="77"/>
  <c r="EB15" i="77"/>
  <c r="EL14" i="77"/>
  <c r="EK14" i="77"/>
  <c r="EI14" i="77"/>
  <c r="EG14" i="77"/>
  <c r="EC14" i="77"/>
  <c r="EB14" i="77"/>
  <c r="DW14" i="77"/>
  <c r="DT14" i="77"/>
  <c r="DQ14" i="77"/>
  <c r="DN14" i="77"/>
  <c r="DK14" i="77"/>
  <c r="DH14" i="77"/>
  <c r="DE14" i="77"/>
  <c r="DB14" i="77"/>
  <c r="CY14" i="77"/>
  <c r="CV14" i="77"/>
  <c r="CS14" i="77"/>
  <c r="CP14" i="77"/>
  <c r="CM14" i="77"/>
  <c r="CJ14" i="77"/>
  <c r="CG14" i="77"/>
  <c r="CD14" i="77"/>
  <c r="CA14" i="77"/>
  <c r="BX14" i="77"/>
  <c r="BU14" i="77"/>
  <c r="BR14" i="77"/>
  <c r="BO14" i="77"/>
  <c r="BL14" i="77"/>
  <c r="BI14" i="77"/>
  <c r="BF14" i="77"/>
  <c r="BC14" i="77"/>
  <c r="AZ14" i="77"/>
  <c r="AW14" i="77"/>
  <c r="AT14" i="77"/>
  <c r="AQ14" i="77"/>
  <c r="AN14" i="77"/>
  <c r="AI14" i="77"/>
  <c r="AK14" i="77" s="1"/>
  <c r="AB14" i="77"/>
  <c r="Y14" i="77"/>
  <c r="ED14" i="77" s="1"/>
  <c r="V14" i="77"/>
  <c r="S14" i="77"/>
  <c r="P14" i="77"/>
  <c r="M14" i="77"/>
  <c r="J14" i="77"/>
  <c r="G14" i="77"/>
  <c r="D14" i="77"/>
  <c r="A14" i="77"/>
  <c r="A15" i="77" s="1"/>
  <c r="A16" i="77" s="1"/>
  <c r="A17" i="77" s="1"/>
  <c r="A18" i="77" s="1"/>
  <c r="A19" i="77" s="1"/>
  <c r="A20" i="77" s="1"/>
  <c r="A21" i="77" s="1"/>
  <c r="A22" i="77" s="1"/>
  <c r="A23" i="77" s="1"/>
  <c r="A24" i="77" s="1"/>
  <c r="A25" i="77" s="1"/>
  <c r="A26" i="77" s="1"/>
  <c r="A27" i="77" s="1"/>
  <c r="A28" i="77" s="1"/>
  <c r="A29" i="77" s="1"/>
  <c r="A30" i="77" s="1"/>
  <c r="A31" i="77" s="1"/>
  <c r="A32" i="77" s="1"/>
  <c r="A33" i="77" s="1"/>
  <c r="A34" i="77" s="1"/>
  <c r="A35" i="77" s="1"/>
  <c r="A36" i="77" s="1"/>
  <c r="A37" i="77" s="1"/>
  <c r="A38" i="77" s="1"/>
  <c r="A39" i="77" s="1"/>
  <c r="A40" i="77" s="1"/>
  <c r="A41" i="77" s="1"/>
  <c r="EL13" i="77"/>
  <c r="EG13" i="77"/>
  <c r="EI13" i="77" s="1"/>
  <c r="DW13" i="77"/>
  <c r="DW42" i="77" s="1"/>
  <c r="DT13" i="77"/>
  <c r="DQ13" i="77"/>
  <c r="DN13" i="77"/>
  <c r="DK13" i="77"/>
  <c r="DH13" i="77"/>
  <c r="DE13" i="77"/>
  <c r="DB13" i="77"/>
  <c r="DB42" i="77" s="1"/>
  <c r="CY13" i="77"/>
  <c r="EM13" i="77" s="1"/>
  <c r="CV13" i="77"/>
  <c r="CS13" i="77"/>
  <c r="CP13" i="77"/>
  <c r="CM13" i="77"/>
  <c r="CM42" i="77" s="1"/>
  <c r="CJ13" i="77"/>
  <c r="CG13" i="77"/>
  <c r="CD13" i="77"/>
  <c r="CA13" i="77"/>
  <c r="BX13" i="77"/>
  <c r="BU13" i="77"/>
  <c r="BR13" i="77"/>
  <c r="BR42" i="77" s="1"/>
  <c r="BO13" i="77"/>
  <c r="BO42" i="77" s="1"/>
  <c r="BL13" i="77"/>
  <c r="BI13" i="77"/>
  <c r="BF13" i="77"/>
  <c r="BC13" i="77"/>
  <c r="AZ13" i="77"/>
  <c r="AW13" i="77"/>
  <c r="AT13" i="77"/>
  <c r="AQ13" i="77"/>
  <c r="AN13" i="77"/>
  <c r="AI13" i="77"/>
  <c r="AK13" i="77" s="1"/>
  <c r="AB13" i="77"/>
  <c r="Y13" i="77"/>
  <c r="V13" i="77"/>
  <c r="S13" i="77"/>
  <c r="P13" i="77"/>
  <c r="M13" i="77"/>
  <c r="J13" i="77"/>
  <c r="G13" i="77"/>
  <c r="EL12" i="77"/>
  <c r="EK12" i="77"/>
  <c r="EG12" i="77"/>
  <c r="EI12" i="77" s="1"/>
  <c r="DW12" i="77"/>
  <c r="DT12" i="77"/>
  <c r="DQ12" i="77"/>
  <c r="DN12" i="77"/>
  <c r="DK12" i="77"/>
  <c r="DH12" i="77"/>
  <c r="DH42" i="77" s="1"/>
  <c r="DE12" i="77"/>
  <c r="DE42" i="77" s="1"/>
  <c r="DB12" i="77"/>
  <c r="CY12" i="77"/>
  <c r="CV12" i="77"/>
  <c r="CS12" i="77"/>
  <c r="CP12" i="77"/>
  <c r="CM12" i="77"/>
  <c r="CJ12" i="77"/>
  <c r="CG12" i="77"/>
  <c r="CD12" i="77"/>
  <c r="CA12" i="77"/>
  <c r="BX12" i="77"/>
  <c r="BX42" i="77" s="1"/>
  <c r="BU12" i="77"/>
  <c r="BU42" i="77" s="1"/>
  <c r="BR12" i="77"/>
  <c r="BO12" i="77"/>
  <c r="BL12" i="77"/>
  <c r="BI12" i="77"/>
  <c r="BF12" i="77"/>
  <c r="BC12" i="77"/>
  <c r="AZ12" i="77"/>
  <c r="AW12" i="77"/>
  <c r="AT12" i="77"/>
  <c r="AQ12" i="77"/>
  <c r="AN12" i="77"/>
  <c r="AK12" i="77"/>
  <c r="AI12" i="77"/>
  <c r="EB12" i="77" s="1"/>
  <c r="AB12" i="77"/>
  <c r="EH12" i="77" s="1"/>
  <c r="Y12" i="77"/>
  <c r="V12" i="77"/>
  <c r="S12" i="77"/>
  <c r="P12" i="77"/>
  <c r="M12" i="77"/>
  <c r="J12" i="77"/>
  <c r="G12" i="77"/>
  <c r="D12" i="77"/>
  <c r="EL11" i="77"/>
  <c r="EG11" i="77"/>
  <c r="EI11" i="77" s="1"/>
  <c r="EC11" i="77"/>
  <c r="DW11" i="77"/>
  <c r="DT11" i="77"/>
  <c r="DT42" i="77" s="1"/>
  <c r="DQ11" i="77"/>
  <c r="DN11" i="77"/>
  <c r="DK11" i="77"/>
  <c r="DH11" i="77"/>
  <c r="DE11" i="77"/>
  <c r="DB11" i="77"/>
  <c r="CY11" i="77"/>
  <c r="CY42" i="77" s="1"/>
  <c r="CV11" i="77"/>
  <c r="CS11" i="77"/>
  <c r="CP11" i="77"/>
  <c r="CM11" i="77"/>
  <c r="CJ11" i="77"/>
  <c r="CJ42" i="77" s="1"/>
  <c r="CG11" i="77"/>
  <c r="CD11" i="77"/>
  <c r="CA11" i="77"/>
  <c r="BX11" i="77"/>
  <c r="BU11" i="77"/>
  <c r="BR11" i="77"/>
  <c r="BO11" i="77"/>
  <c r="BL11" i="77"/>
  <c r="BI11" i="77"/>
  <c r="BF11" i="77"/>
  <c r="BC11" i="77"/>
  <c r="AZ11" i="77"/>
  <c r="AZ42" i="77" s="1"/>
  <c r="AW11" i="77"/>
  <c r="AT11" i="77"/>
  <c r="AQ11" i="77"/>
  <c r="AN11" i="77"/>
  <c r="AI11" i="77"/>
  <c r="EK11" i="77" s="1"/>
  <c r="AH42" i="77"/>
  <c r="AE42" i="77"/>
  <c r="AB11" i="77"/>
  <c r="Y11" i="77"/>
  <c r="V11" i="77"/>
  <c r="S11" i="77"/>
  <c r="S42" i="77" s="1"/>
  <c r="P11" i="77"/>
  <c r="M11" i="77"/>
  <c r="J11" i="77"/>
  <c r="G11" i="77"/>
  <c r="EB11" i="77"/>
  <c r="A12" i="77"/>
  <c r="A13" i="77" s="1"/>
  <c r="EN2" i="77"/>
  <c r="EP2" i="77" s="1"/>
  <c r="ED16" i="77" l="1"/>
  <c r="EE15" i="77"/>
  <c r="EC32" i="77"/>
  <c r="EC12" i="77"/>
  <c r="EN17" i="77"/>
  <c r="ED28" i="77"/>
  <c r="ED36" i="77"/>
  <c r="EE36" i="77" s="1"/>
  <c r="ED32" i="77"/>
  <c r="EE32" i="77" s="1"/>
  <c r="EN37" i="77"/>
  <c r="EN14" i="77"/>
  <c r="ED19" i="77"/>
  <c r="ED40" i="77"/>
  <c r="EE40" i="77" s="1"/>
  <c r="EN25" i="77"/>
  <c r="EM15" i="77"/>
  <c r="EN15" i="77" s="1"/>
  <c r="G42" i="77"/>
  <c r="AK19" i="77"/>
  <c r="EM19" i="77" s="1"/>
  <c r="EN19" i="77" s="1"/>
  <c r="DK42" i="77"/>
  <c r="CS42" i="77"/>
  <c r="CD42" i="77"/>
  <c r="EK16" i="77"/>
  <c r="EN16" i="77" s="1"/>
  <c r="AK39" i="77"/>
  <c r="EM39" i="77" s="1"/>
  <c r="EK39" i="77"/>
  <c r="CV42" i="77"/>
  <c r="EI5" i="77"/>
  <c r="J42" i="77"/>
  <c r="AQ42" i="77"/>
  <c r="D13" i="77"/>
  <c r="ED13" i="77" s="1"/>
  <c r="EB13" i="77"/>
  <c r="AK32" i="77"/>
  <c r="EM32" i="77" s="1"/>
  <c r="EN32" i="77" s="1"/>
  <c r="EM36" i="77"/>
  <c r="BI42" i="77"/>
  <c r="AT42" i="77"/>
  <c r="EM22" i="77"/>
  <c r="EN22" i="77" s="1"/>
  <c r="EB27" i="77"/>
  <c r="D27" i="77"/>
  <c r="AK27" i="77"/>
  <c r="EM27" i="77" s="1"/>
  <c r="EK27" i="77"/>
  <c r="D33" i="77"/>
  <c r="ED33" i="77" s="1"/>
  <c r="EB33" i="77"/>
  <c r="EB39" i="77"/>
  <c r="D39" i="77"/>
  <c r="ED39" i="77" s="1"/>
  <c r="BL42" i="77"/>
  <c r="EM12" i="77"/>
  <c r="EN12" i="77" s="1"/>
  <c r="ED18" i="77"/>
  <c r="D23" i="77"/>
  <c r="AK23" i="77"/>
  <c r="EM23" i="77" s="1"/>
  <c r="EN23" i="77" s="1"/>
  <c r="EC30" i="77"/>
  <c r="ED34" i="77"/>
  <c r="EE34" i="77" s="1"/>
  <c r="EI40" i="77"/>
  <c r="EC15" i="77"/>
  <c r="D17" i="77"/>
  <c r="ED17" i="77" s="1"/>
  <c r="EB17" i="77"/>
  <c r="EK21" i="77"/>
  <c r="EN21" i="77" s="1"/>
  <c r="EE22" i="77"/>
  <c r="EC24" i="77"/>
  <c r="EM26" i="77"/>
  <c r="EN26" i="77" s="1"/>
  <c r="EK28" i="77"/>
  <c r="EN28" i="77" s="1"/>
  <c r="EM38" i="77"/>
  <c r="EN38" i="77" s="1"/>
  <c r="EK40" i="77"/>
  <c r="EN40" i="77" s="1"/>
  <c r="EH11" i="77"/>
  <c r="AK20" i="77"/>
  <c r="EM20" i="77" s="1"/>
  <c r="EN20" i="77" s="1"/>
  <c r="EC22" i="77"/>
  <c r="EH26" i="77"/>
  <c r="EH38" i="77"/>
  <c r="D11" i="77"/>
  <c r="AK11" i="77"/>
  <c r="BF42" i="77"/>
  <c r="CP42" i="77"/>
  <c r="EM16" i="77"/>
  <c r="EE26" i="77"/>
  <c r="D29" i="77"/>
  <c r="ED29" i="77" s="1"/>
  <c r="EB29" i="77"/>
  <c r="EB35" i="77"/>
  <c r="D35" i="77"/>
  <c r="ED35" i="77" s="1"/>
  <c r="EK35" i="77"/>
  <c r="AK35" i="77"/>
  <c r="EM35" i="77" s="1"/>
  <c r="EE38" i="77"/>
  <c r="D41" i="77"/>
  <c r="ED41" i="77" s="1"/>
  <c r="EB41" i="77"/>
  <c r="EE28" i="77"/>
  <c r="EC28" i="77"/>
  <c r="Y42" i="77"/>
  <c r="CA42" i="77"/>
  <c r="D21" i="77"/>
  <c r="ED21" i="77" s="1"/>
  <c r="EB21" i="77"/>
  <c r="EI3" i="77"/>
  <c r="EI4" i="77" s="1"/>
  <c r="AK24" i="77"/>
  <c r="ED24" i="77" s="1"/>
  <c r="EE24" i="77" s="1"/>
  <c r="EH27" i="77"/>
  <c r="EH33" i="77"/>
  <c r="EM34" i="77"/>
  <c r="EN34" i="77" s="1"/>
  <c r="EK36" i="77"/>
  <c r="EN36" i="77" s="1"/>
  <c r="M42" i="77"/>
  <c r="EH14" i="77"/>
  <c r="D15" i="77"/>
  <c r="ED15" i="77" s="1"/>
  <c r="AK15" i="77"/>
  <c r="EB16" i="77"/>
  <c r="EE3" i="77" s="1"/>
  <c r="EM28" i="77"/>
  <c r="EH34" i="77"/>
  <c r="EM40" i="77"/>
  <c r="ED12" i="77"/>
  <c r="EE12" i="77" s="1"/>
  <c r="EE18" i="77"/>
  <c r="AB42" i="77"/>
  <c r="DN42" i="77"/>
  <c r="EM11" i="77"/>
  <c r="EH13" i="77"/>
  <c r="ED30" i="77"/>
  <c r="EE30" i="77" s="1"/>
  <c r="V42" i="77"/>
  <c r="EM14" i="77"/>
  <c r="P42" i="77"/>
  <c r="AW42" i="77"/>
  <c r="CG42" i="77"/>
  <c r="DQ42" i="77"/>
  <c r="EK13" i="77"/>
  <c r="EN13" i="77" s="1"/>
  <c r="EE14" i="77"/>
  <c r="EH17" i="77"/>
  <c r="EB19" i="77"/>
  <c r="D25" i="77"/>
  <c r="ED25" i="77" s="1"/>
  <c r="EB25" i="77"/>
  <c r="EB31" i="77"/>
  <c r="D31" i="77"/>
  <c r="AK31" i="77"/>
  <c r="EM31" i="77" s="1"/>
  <c r="EK31" i="77"/>
  <c r="D37" i="77"/>
  <c r="ED37" i="77" s="1"/>
  <c r="EB37" i="77"/>
  <c r="G5" i="77" l="1"/>
  <c r="EN5" i="77"/>
  <c r="EC33" i="77"/>
  <c r="EE33" i="77"/>
  <c r="EC37" i="77"/>
  <c r="EE37" i="77"/>
  <c r="EN3" i="77"/>
  <c r="EN4" i="77" s="1"/>
  <c r="EN27" i="77"/>
  <c r="EE5" i="77"/>
  <c r="G7" i="77" s="1"/>
  <c r="EE41" i="77"/>
  <c r="EC41" i="77"/>
  <c r="EE2" i="77"/>
  <c r="EQ2" i="77" s="1"/>
  <c r="G4" i="77" s="1"/>
  <c r="EC36" i="77"/>
  <c r="EN31" i="77"/>
  <c r="AK42" i="77"/>
  <c r="ED27" i="77"/>
  <c r="EC40" i="77"/>
  <c r="ED20" i="77"/>
  <c r="EE20" i="77" s="1"/>
  <c r="ED11" i="77"/>
  <c r="D42" i="77"/>
  <c r="EC27" i="77"/>
  <c r="EE27" i="77"/>
  <c r="ED31" i="77"/>
  <c r="EE31" i="77" s="1"/>
  <c r="ED23" i="77"/>
  <c r="EE23" i="77" s="1"/>
  <c r="EM24" i="77"/>
  <c r="EN24" i="77" s="1"/>
  <c r="EC31" i="77"/>
  <c r="EN35" i="77"/>
  <c r="EE16" i="77"/>
  <c r="EC16" i="77"/>
  <c r="EC35" i="77"/>
  <c r="EE35" i="77"/>
  <c r="EN39" i="77"/>
  <c r="EC25" i="77"/>
  <c r="EE25" i="77"/>
  <c r="EC21" i="77"/>
  <c r="EE21" i="77"/>
  <c r="EC19" i="77"/>
  <c r="EE19" i="77"/>
  <c r="EM42" i="77"/>
  <c r="EN11" i="77"/>
  <c r="EC29" i="77"/>
  <c r="EE29" i="77"/>
  <c r="EC17" i="77"/>
  <c r="EE17" i="77"/>
  <c r="EH42" i="77"/>
  <c r="EC39" i="77"/>
  <c r="EE39" i="77"/>
  <c r="EC13" i="77"/>
  <c r="EE13" i="77"/>
  <c r="ED42" i="77" l="1"/>
  <c r="EE11" i="77"/>
  <c r="EE4" i="77"/>
  <c r="G6" i="77" s="1"/>
  <c r="EM40" i="76"/>
  <c r="EL40" i="76"/>
  <c r="EG40" i="76"/>
  <c r="EI40" i="76" s="1"/>
  <c r="EB40" i="76"/>
  <c r="DW40" i="76"/>
  <c r="DT40" i="76"/>
  <c r="DQ40" i="76"/>
  <c r="DN40" i="76"/>
  <c r="DK40" i="76"/>
  <c r="DH40" i="76"/>
  <c r="DE40" i="76"/>
  <c r="DB40" i="76"/>
  <c r="CY40" i="76"/>
  <c r="CV40" i="76"/>
  <c r="CS40" i="76"/>
  <c r="CP40" i="76"/>
  <c r="CM40" i="76"/>
  <c r="CJ40" i="76"/>
  <c r="CG40" i="76"/>
  <c r="CD40" i="76"/>
  <c r="CA40" i="76"/>
  <c r="BX40" i="76"/>
  <c r="BU40" i="76"/>
  <c r="BR40" i="76"/>
  <c r="BO40" i="76"/>
  <c r="BL40" i="76"/>
  <c r="BI40" i="76"/>
  <c r="BF40" i="76"/>
  <c r="BC40" i="76"/>
  <c r="AZ40" i="76"/>
  <c r="AW40" i="76"/>
  <c r="AT40" i="76"/>
  <c r="AQ40" i="76"/>
  <c r="AN40" i="76"/>
  <c r="AK40" i="76"/>
  <c r="AI40" i="76"/>
  <c r="EK40" i="76" s="1"/>
  <c r="EN2" i="76" s="1"/>
  <c r="EP2" i="76" s="1"/>
  <c r="AB40" i="76"/>
  <c r="Y40" i="76"/>
  <c r="V40" i="76"/>
  <c r="S40" i="76"/>
  <c r="EH40" i="76" s="1"/>
  <c r="P40" i="76"/>
  <c r="M40" i="76"/>
  <c r="J40" i="76"/>
  <c r="G40" i="76"/>
  <c r="D40" i="76"/>
  <c r="EL39" i="76"/>
  <c r="EK39" i="76"/>
  <c r="EN39" i="76" s="1"/>
  <c r="EI39" i="76"/>
  <c r="EG39" i="76"/>
  <c r="EB39" i="76"/>
  <c r="DW39" i="76"/>
  <c r="DT39" i="76"/>
  <c r="EM39" i="76" s="1"/>
  <c r="DQ39" i="76"/>
  <c r="DN39" i="76"/>
  <c r="DK39" i="76"/>
  <c r="DH39" i="76"/>
  <c r="DE39" i="76"/>
  <c r="DB39" i="76"/>
  <c r="CY39" i="76"/>
  <c r="CV39" i="76"/>
  <c r="CS39" i="76"/>
  <c r="CP39" i="76"/>
  <c r="CM39" i="76"/>
  <c r="CJ39" i="76"/>
  <c r="CG39" i="76"/>
  <c r="CD39" i="76"/>
  <c r="CA39" i="76"/>
  <c r="BX39" i="76"/>
  <c r="BU39" i="76"/>
  <c r="BR39" i="76"/>
  <c r="BO39" i="76"/>
  <c r="BL39" i="76"/>
  <c r="BI39" i="76"/>
  <c r="BF39" i="76"/>
  <c r="BC39" i="76"/>
  <c r="AZ39" i="76"/>
  <c r="AW39" i="76"/>
  <c r="AT39" i="76"/>
  <c r="AQ39" i="76"/>
  <c r="AN39" i="76"/>
  <c r="AK39" i="76"/>
  <c r="AI39" i="76"/>
  <c r="AB39" i="76"/>
  <c r="Y39" i="76"/>
  <c r="V39" i="76"/>
  <c r="S39" i="76"/>
  <c r="EH39" i="76" s="1"/>
  <c r="P39" i="76"/>
  <c r="M39" i="76"/>
  <c r="J39" i="76"/>
  <c r="G39" i="76"/>
  <c r="D39" i="76"/>
  <c r="EL38" i="76"/>
  <c r="EG38" i="76"/>
  <c r="EI38" i="76" s="1"/>
  <c r="DW38" i="76"/>
  <c r="DT38" i="76"/>
  <c r="DQ38" i="76"/>
  <c r="DN38" i="76"/>
  <c r="DK38" i="76"/>
  <c r="DH38" i="76"/>
  <c r="DE38" i="76"/>
  <c r="DB38" i="76"/>
  <c r="CY38" i="76"/>
  <c r="CV38" i="76"/>
  <c r="CS38" i="76"/>
  <c r="CP38" i="76"/>
  <c r="CM38" i="76"/>
  <c r="CJ38" i="76"/>
  <c r="CG38" i="76"/>
  <c r="CD38" i="76"/>
  <c r="CA38" i="76"/>
  <c r="BX38" i="76"/>
  <c r="BU38" i="76"/>
  <c r="BR38" i="76"/>
  <c r="BO38" i="76"/>
  <c r="BL38" i="76"/>
  <c r="BI38" i="76"/>
  <c r="BF38" i="76"/>
  <c r="BC38" i="76"/>
  <c r="AZ38" i="76"/>
  <c r="AW38" i="76"/>
  <c r="AT38" i="76"/>
  <c r="AQ38" i="76"/>
  <c r="AN38" i="76"/>
  <c r="AI38" i="76"/>
  <c r="EK38" i="76" s="1"/>
  <c r="EH38" i="76"/>
  <c r="AB38" i="76"/>
  <c r="Y38" i="76"/>
  <c r="V38" i="76"/>
  <c r="S38" i="76"/>
  <c r="P38" i="76"/>
  <c r="M38" i="76"/>
  <c r="J38" i="76"/>
  <c r="G38" i="76"/>
  <c r="EB38" i="76"/>
  <c r="EL37" i="76"/>
  <c r="EG37" i="76"/>
  <c r="EI37" i="76" s="1"/>
  <c r="DW37" i="76"/>
  <c r="DT37" i="76"/>
  <c r="DQ37" i="76"/>
  <c r="DN37" i="76"/>
  <c r="DK37" i="76"/>
  <c r="DH37" i="76"/>
  <c r="DE37" i="76"/>
  <c r="DB37" i="76"/>
  <c r="CY37" i="76"/>
  <c r="CV37" i="76"/>
  <c r="CS37" i="76"/>
  <c r="CP37" i="76"/>
  <c r="CM37" i="76"/>
  <c r="CJ37" i="76"/>
  <c r="CG37" i="76"/>
  <c r="CD37" i="76"/>
  <c r="CA37" i="76"/>
  <c r="BX37" i="76"/>
  <c r="BU37" i="76"/>
  <c r="BR37" i="76"/>
  <c r="BO37" i="76"/>
  <c r="BL37" i="76"/>
  <c r="BI37" i="76"/>
  <c r="BF37" i="76"/>
  <c r="BC37" i="76"/>
  <c r="AZ37" i="76"/>
  <c r="AW37" i="76"/>
  <c r="AT37" i="76"/>
  <c r="AQ37" i="76"/>
  <c r="AN37" i="76"/>
  <c r="AI37" i="76"/>
  <c r="AB37" i="76"/>
  <c r="Y37" i="76"/>
  <c r="V37" i="76"/>
  <c r="S37" i="76"/>
  <c r="P37" i="76"/>
  <c r="M37" i="76"/>
  <c r="J37" i="76"/>
  <c r="G37" i="76"/>
  <c r="D37" i="76"/>
  <c r="EL36" i="76"/>
  <c r="EI36" i="76"/>
  <c r="EG36" i="76"/>
  <c r="EB36" i="76"/>
  <c r="DW36" i="76"/>
  <c r="DT36" i="76"/>
  <c r="EM36" i="76" s="1"/>
  <c r="DQ36" i="76"/>
  <c r="DN36" i="76"/>
  <c r="DK36" i="76"/>
  <c r="DH36" i="76"/>
  <c r="DE36" i="76"/>
  <c r="DB36" i="76"/>
  <c r="CY36" i="76"/>
  <c r="CV36" i="76"/>
  <c r="CS36" i="76"/>
  <c r="CP36" i="76"/>
  <c r="CM36" i="76"/>
  <c r="CJ36" i="76"/>
  <c r="CG36" i="76"/>
  <c r="CD36" i="76"/>
  <c r="CA36" i="76"/>
  <c r="BX36" i="76"/>
  <c r="BU36" i="76"/>
  <c r="BR36" i="76"/>
  <c r="BO36" i="76"/>
  <c r="BL36" i="76"/>
  <c r="BI36" i="76"/>
  <c r="BF36" i="76"/>
  <c r="BC36" i="76"/>
  <c r="AZ36" i="76"/>
  <c r="AW36" i="76"/>
  <c r="AT36" i="76"/>
  <c r="AQ36" i="76"/>
  <c r="AN36" i="76"/>
  <c r="AK36" i="76"/>
  <c r="AI36" i="76"/>
  <c r="EK36" i="76" s="1"/>
  <c r="EN36" i="76" s="1"/>
  <c r="AB36" i="76"/>
  <c r="Y36" i="76"/>
  <c r="V36" i="76"/>
  <c r="S36" i="76"/>
  <c r="EH36" i="76" s="1"/>
  <c r="P36" i="76"/>
  <c r="M36" i="76"/>
  <c r="ED36" i="76" s="1"/>
  <c r="J36" i="76"/>
  <c r="G36" i="76"/>
  <c r="D36" i="76"/>
  <c r="EL35" i="76"/>
  <c r="EK35" i="76"/>
  <c r="EN35" i="76" s="1"/>
  <c r="EI35" i="76"/>
  <c r="EH35" i="76"/>
  <c r="EG35" i="76"/>
  <c r="EB35" i="76"/>
  <c r="EE35" i="76" s="1"/>
  <c r="DW35" i="76"/>
  <c r="DT35" i="76"/>
  <c r="DQ35" i="76"/>
  <c r="DN35" i="76"/>
  <c r="DK35" i="76"/>
  <c r="DH35" i="76"/>
  <c r="EM35" i="76" s="1"/>
  <c r="DE35" i="76"/>
  <c r="DB35" i="76"/>
  <c r="CY35" i="76"/>
  <c r="CV35" i="76"/>
  <c r="CS35" i="76"/>
  <c r="CP35" i="76"/>
  <c r="CM35" i="76"/>
  <c r="CJ35" i="76"/>
  <c r="CG35" i="76"/>
  <c r="CD35" i="76"/>
  <c r="CA35" i="76"/>
  <c r="BX35" i="76"/>
  <c r="BU35" i="76"/>
  <c r="BR35" i="76"/>
  <c r="BO35" i="76"/>
  <c r="BL35" i="76"/>
  <c r="BI35" i="76"/>
  <c r="BF35" i="76"/>
  <c r="BC35" i="76"/>
  <c r="AZ35" i="76"/>
  <c r="AW35" i="76"/>
  <c r="AT35" i="76"/>
  <c r="AQ35" i="76"/>
  <c r="AN35" i="76"/>
  <c r="AK35" i="76"/>
  <c r="AI35" i="76"/>
  <c r="AB35" i="76"/>
  <c r="Y35" i="76"/>
  <c r="V35" i="76"/>
  <c r="S35" i="76"/>
  <c r="P35" i="76"/>
  <c r="M35" i="76"/>
  <c r="J35" i="76"/>
  <c r="G35" i="76"/>
  <c r="D35" i="76"/>
  <c r="ED35" i="76" s="1"/>
  <c r="EL34" i="76"/>
  <c r="EI34" i="76"/>
  <c r="EG34" i="76"/>
  <c r="DW34" i="76"/>
  <c r="DT34" i="76"/>
  <c r="DQ34" i="76"/>
  <c r="DN34" i="76"/>
  <c r="DK34" i="76"/>
  <c r="DH34" i="76"/>
  <c r="DE34" i="76"/>
  <c r="DB34" i="76"/>
  <c r="CY34" i="76"/>
  <c r="CV34" i="76"/>
  <c r="CS34" i="76"/>
  <c r="CP34" i="76"/>
  <c r="CM34" i="76"/>
  <c r="CJ34" i="76"/>
  <c r="CG34" i="76"/>
  <c r="CD34" i="76"/>
  <c r="CA34" i="76"/>
  <c r="BX34" i="76"/>
  <c r="BU34" i="76"/>
  <c r="BR34" i="76"/>
  <c r="BO34" i="76"/>
  <c r="BL34" i="76"/>
  <c r="BI34" i="76"/>
  <c r="BF34" i="76"/>
  <c r="BC34" i="76"/>
  <c r="AZ34" i="76"/>
  <c r="AW34" i="76"/>
  <c r="AT34" i="76"/>
  <c r="AQ34" i="76"/>
  <c r="AN34" i="76"/>
  <c r="AI34" i="76"/>
  <c r="EK34" i="76" s="1"/>
  <c r="EH34" i="76"/>
  <c r="AB34" i="76"/>
  <c r="Y34" i="76"/>
  <c r="V34" i="76"/>
  <c r="S34" i="76"/>
  <c r="P34" i="76"/>
  <c r="M34" i="76"/>
  <c r="J34" i="76"/>
  <c r="G34" i="76"/>
  <c r="D34" i="76"/>
  <c r="EL33" i="76"/>
  <c r="EG33" i="76"/>
  <c r="EI33" i="76" s="1"/>
  <c r="EB33" i="76"/>
  <c r="DW33" i="76"/>
  <c r="DT33" i="76"/>
  <c r="DQ33" i="76"/>
  <c r="DN33" i="76"/>
  <c r="DK33" i="76"/>
  <c r="DH33" i="76"/>
  <c r="DE33" i="76"/>
  <c r="DB33" i="76"/>
  <c r="CY33" i="76"/>
  <c r="CV33" i="76"/>
  <c r="CS33" i="76"/>
  <c r="CP33" i="76"/>
  <c r="CM33" i="76"/>
  <c r="CJ33" i="76"/>
  <c r="CG33" i="76"/>
  <c r="CD33" i="76"/>
  <c r="CA33" i="76"/>
  <c r="BX33" i="76"/>
  <c r="BU33" i="76"/>
  <c r="BR33" i="76"/>
  <c r="BO33" i="76"/>
  <c r="BL33" i="76"/>
  <c r="BI33" i="76"/>
  <c r="BF33" i="76"/>
  <c r="BC33" i="76"/>
  <c r="AZ33" i="76"/>
  <c r="AW33" i="76"/>
  <c r="AT33" i="76"/>
  <c r="AQ33" i="76"/>
  <c r="AN33" i="76"/>
  <c r="AI33" i="76"/>
  <c r="AB33" i="76"/>
  <c r="Y33" i="76"/>
  <c r="V33" i="76"/>
  <c r="EH33" i="76" s="1"/>
  <c r="S33" i="76"/>
  <c r="P33" i="76"/>
  <c r="M33" i="76"/>
  <c r="J33" i="76"/>
  <c r="G33" i="76"/>
  <c r="D33" i="76"/>
  <c r="EL32" i="76"/>
  <c r="EK32" i="76"/>
  <c r="EI32" i="76"/>
  <c r="EG32" i="76"/>
  <c r="EB32" i="76"/>
  <c r="DW32" i="76"/>
  <c r="DT32" i="76"/>
  <c r="DQ32" i="76"/>
  <c r="DN32" i="76"/>
  <c r="DK32" i="76"/>
  <c r="DH32" i="76"/>
  <c r="DE32" i="76"/>
  <c r="DB32" i="76"/>
  <c r="CY32" i="76"/>
  <c r="CV32" i="76"/>
  <c r="EM32" i="76" s="1"/>
  <c r="EN32" i="76" s="1"/>
  <c r="CS32" i="76"/>
  <c r="CP32" i="76"/>
  <c r="CM32" i="76"/>
  <c r="CJ32" i="76"/>
  <c r="CG32" i="76"/>
  <c r="CD32" i="76"/>
  <c r="CA32" i="76"/>
  <c r="BX32" i="76"/>
  <c r="BU32" i="76"/>
  <c r="BR32" i="76"/>
  <c r="BO32" i="76"/>
  <c r="BL32" i="76"/>
  <c r="BI32" i="76"/>
  <c r="BF32" i="76"/>
  <c r="BC32" i="76"/>
  <c r="AZ32" i="76"/>
  <c r="AW32" i="76"/>
  <c r="AT32" i="76"/>
  <c r="AQ32" i="76"/>
  <c r="AN32" i="76"/>
  <c r="AK32" i="76"/>
  <c r="AI32" i="76"/>
  <c r="AB32" i="76"/>
  <c r="Y32" i="76"/>
  <c r="V32" i="76"/>
  <c r="S32" i="76"/>
  <c r="P32" i="76"/>
  <c r="M32" i="76"/>
  <c r="J32" i="76"/>
  <c r="G32" i="76"/>
  <c r="D32" i="76"/>
  <c r="EL31" i="76"/>
  <c r="EK31" i="76"/>
  <c r="EI31" i="76"/>
  <c r="EG31" i="76"/>
  <c r="EB31" i="76"/>
  <c r="DW31" i="76"/>
  <c r="DT31" i="76"/>
  <c r="DQ31" i="76"/>
  <c r="DN31" i="76"/>
  <c r="DK31" i="76"/>
  <c r="DH31" i="76"/>
  <c r="EM31" i="76" s="1"/>
  <c r="EN31" i="76" s="1"/>
  <c r="DE31" i="76"/>
  <c r="DB31" i="76"/>
  <c r="CY31" i="76"/>
  <c r="CV31" i="76"/>
  <c r="CS31" i="76"/>
  <c r="CP31" i="76"/>
  <c r="CM31" i="76"/>
  <c r="CJ31" i="76"/>
  <c r="CG31" i="76"/>
  <c r="CD31" i="76"/>
  <c r="CA31" i="76"/>
  <c r="BX31" i="76"/>
  <c r="BU31" i="76"/>
  <c r="BR31" i="76"/>
  <c r="BO31" i="76"/>
  <c r="BL31" i="76"/>
  <c r="BI31" i="76"/>
  <c r="BF31" i="76"/>
  <c r="BC31" i="76"/>
  <c r="AZ31" i="76"/>
  <c r="AW31" i="76"/>
  <c r="AT31" i="76"/>
  <c r="AQ31" i="76"/>
  <c r="AN31" i="76"/>
  <c r="AK31" i="76"/>
  <c r="AI31" i="76"/>
  <c r="AB31" i="76"/>
  <c r="Y31" i="76"/>
  <c r="V31" i="76"/>
  <c r="S31" i="76"/>
  <c r="EH31" i="76" s="1"/>
  <c r="P31" i="76"/>
  <c r="M31" i="76"/>
  <c r="J31" i="76"/>
  <c r="G31" i="76"/>
  <c r="D31" i="76"/>
  <c r="EL30" i="76"/>
  <c r="EG30" i="76"/>
  <c r="EI30" i="76" s="1"/>
  <c r="DW30" i="76"/>
  <c r="DT30" i="76"/>
  <c r="DQ30" i="76"/>
  <c r="DN30" i="76"/>
  <c r="DK30" i="76"/>
  <c r="DH30" i="76"/>
  <c r="DE30" i="76"/>
  <c r="DB30" i="76"/>
  <c r="CY30" i="76"/>
  <c r="CV30" i="76"/>
  <c r="CS30" i="76"/>
  <c r="CP30" i="76"/>
  <c r="CM30" i="76"/>
  <c r="CJ30" i="76"/>
  <c r="CG30" i="76"/>
  <c r="CD30" i="76"/>
  <c r="CA30" i="76"/>
  <c r="BX30" i="76"/>
  <c r="BU30" i="76"/>
  <c r="BR30" i="76"/>
  <c r="BO30" i="76"/>
  <c r="BL30" i="76"/>
  <c r="BI30" i="76"/>
  <c r="BF30" i="76"/>
  <c r="BC30" i="76"/>
  <c r="AZ30" i="76"/>
  <c r="AW30" i="76"/>
  <c r="AT30" i="76"/>
  <c r="AQ30" i="76"/>
  <c r="AN30" i="76"/>
  <c r="AI30" i="76"/>
  <c r="EK30" i="76" s="1"/>
  <c r="EH30" i="76"/>
  <c r="AB30" i="76"/>
  <c r="Y30" i="76"/>
  <c r="V30" i="76"/>
  <c r="S30" i="76"/>
  <c r="P30" i="76"/>
  <c r="M30" i="76"/>
  <c r="J30" i="76"/>
  <c r="G30" i="76"/>
  <c r="EB30" i="76"/>
  <c r="EL29" i="76"/>
  <c r="EG29" i="76"/>
  <c r="EI29" i="76" s="1"/>
  <c r="DW29" i="76"/>
  <c r="DT29" i="76"/>
  <c r="DQ29" i="76"/>
  <c r="DN29" i="76"/>
  <c r="DK29" i="76"/>
  <c r="DH29" i="76"/>
  <c r="DE29" i="76"/>
  <c r="DB29" i="76"/>
  <c r="CY29" i="76"/>
  <c r="CV29" i="76"/>
  <c r="CS29" i="76"/>
  <c r="CP29" i="76"/>
  <c r="CM29" i="76"/>
  <c r="CJ29" i="76"/>
  <c r="CG29" i="76"/>
  <c r="CD29" i="76"/>
  <c r="CA29" i="76"/>
  <c r="BX29" i="76"/>
  <c r="BU29" i="76"/>
  <c r="BR29" i="76"/>
  <c r="BO29" i="76"/>
  <c r="BL29" i="76"/>
  <c r="BI29" i="76"/>
  <c r="BF29" i="76"/>
  <c r="BC29" i="76"/>
  <c r="AZ29" i="76"/>
  <c r="AW29" i="76"/>
  <c r="AT29" i="76"/>
  <c r="AQ29" i="76"/>
  <c r="AN29" i="76"/>
  <c r="AI29" i="76"/>
  <c r="EK29" i="76" s="1"/>
  <c r="EH29" i="76"/>
  <c r="AB29" i="76"/>
  <c r="Y29" i="76"/>
  <c r="V29" i="76"/>
  <c r="S29" i="76"/>
  <c r="P29" i="76"/>
  <c r="M29" i="76"/>
  <c r="J29" i="76"/>
  <c r="G29" i="76"/>
  <c r="EB29" i="76"/>
  <c r="EL28" i="76"/>
  <c r="EK28" i="76"/>
  <c r="EI28" i="76"/>
  <c r="EG28" i="76"/>
  <c r="EB28" i="76"/>
  <c r="DW28" i="76"/>
  <c r="DT28" i="76"/>
  <c r="EM28" i="76" s="1"/>
  <c r="EN28" i="76" s="1"/>
  <c r="DQ28" i="76"/>
  <c r="DN28" i="76"/>
  <c r="DK28" i="76"/>
  <c r="DH28" i="76"/>
  <c r="DE28" i="76"/>
  <c r="DB28" i="76"/>
  <c r="CY28" i="76"/>
  <c r="CV28" i="76"/>
  <c r="CS28" i="76"/>
  <c r="CP28" i="76"/>
  <c r="CM28" i="76"/>
  <c r="CJ28" i="76"/>
  <c r="CG28" i="76"/>
  <c r="CD28" i="76"/>
  <c r="CA28" i="76"/>
  <c r="BX28" i="76"/>
  <c r="BU28" i="76"/>
  <c r="BR28" i="76"/>
  <c r="BO28" i="76"/>
  <c r="BL28" i="76"/>
  <c r="BI28" i="76"/>
  <c r="BF28" i="76"/>
  <c r="BC28" i="76"/>
  <c r="AZ28" i="76"/>
  <c r="AW28" i="76"/>
  <c r="AT28" i="76"/>
  <c r="AQ28" i="76"/>
  <c r="AN28" i="76"/>
  <c r="AK28" i="76"/>
  <c r="AI28" i="76"/>
  <c r="AB28" i="76"/>
  <c r="Y28" i="76"/>
  <c r="V28" i="76"/>
  <c r="S28" i="76"/>
  <c r="EH28" i="76" s="1"/>
  <c r="P28" i="76"/>
  <c r="M28" i="76"/>
  <c r="J28" i="76"/>
  <c r="G28" i="76"/>
  <c r="D28" i="76"/>
  <c r="EL27" i="76"/>
  <c r="EK27" i="76"/>
  <c r="EN27" i="76" s="1"/>
  <c r="EI27" i="76"/>
  <c r="EG27" i="76"/>
  <c r="EB27" i="76"/>
  <c r="DW27" i="76"/>
  <c r="DT27" i="76"/>
  <c r="DQ27" i="76"/>
  <c r="DN27" i="76"/>
  <c r="DK27" i="76"/>
  <c r="DH27" i="76"/>
  <c r="EM27" i="76" s="1"/>
  <c r="DE27" i="76"/>
  <c r="DB27" i="76"/>
  <c r="CY27" i="76"/>
  <c r="CV27" i="76"/>
  <c r="CS27" i="76"/>
  <c r="CP27" i="76"/>
  <c r="CM27" i="76"/>
  <c r="CJ27" i="76"/>
  <c r="CG27" i="76"/>
  <c r="CD27" i="76"/>
  <c r="CA27" i="76"/>
  <c r="BX27" i="76"/>
  <c r="BU27" i="76"/>
  <c r="BR27" i="76"/>
  <c r="BO27" i="76"/>
  <c r="BL27" i="76"/>
  <c r="BI27" i="76"/>
  <c r="BF27" i="76"/>
  <c r="BC27" i="76"/>
  <c r="AZ27" i="76"/>
  <c r="AW27" i="76"/>
  <c r="AT27" i="76"/>
  <c r="AQ27" i="76"/>
  <c r="AN27" i="76"/>
  <c r="AK27" i="76"/>
  <c r="AI27" i="76"/>
  <c r="AB27" i="76"/>
  <c r="Y27" i="76"/>
  <c r="V27" i="76"/>
  <c r="S27" i="76"/>
  <c r="EH27" i="76" s="1"/>
  <c r="P27" i="76"/>
  <c r="M27" i="76"/>
  <c r="J27" i="76"/>
  <c r="G27" i="76"/>
  <c r="D27" i="76"/>
  <c r="ED27" i="76" s="1"/>
  <c r="EL26" i="76"/>
  <c r="EK26" i="76"/>
  <c r="EG26" i="76"/>
  <c r="EI26" i="76" s="1"/>
  <c r="DW26" i="76"/>
  <c r="DT26" i="76"/>
  <c r="DQ26" i="76"/>
  <c r="DN26" i="76"/>
  <c r="DK26" i="76"/>
  <c r="DH26" i="76"/>
  <c r="DE26" i="76"/>
  <c r="DB26" i="76"/>
  <c r="CY26" i="76"/>
  <c r="CV26" i="76"/>
  <c r="CS26" i="76"/>
  <c r="CP26" i="76"/>
  <c r="CM26" i="76"/>
  <c r="CJ26" i="76"/>
  <c r="CG26" i="76"/>
  <c r="CD26" i="76"/>
  <c r="CA26" i="76"/>
  <c r="BX26" i="76"/>
  <c r="BU26" i="76"/>
  <c r="BR26" i="76"/>
  <c r="BO26" i="76"/>
  <c r="BL26" i="76"/>
  <c r="BI26" i="76"/>
  <c r="BF26" i="76"/>
  <c r="BC26" i="76"/>
  <c r="AZ26" i="76"/>
  <c r="AW26" i="76"/>
  <c r="AT26" i="76"/>
  <c r="AQ26" i="76"/>
  <c r="AN26" i="76"/>
  <c r="AK26" i="76"/>
  <c r="AI26" i="76"/>
  <c r="EH26" i="76"/>
  <c r="AB26" i="76"/>
  <c r="Y26" i="76"/>
  <c r="V26" i="76"/>
  <c r="S26" i="76"/>
  <c r="P26" i="76"/>
  <c r="M26" i="76"/>
  <c r="J26" i="76"/>
  <c r="G26" i="76"/>
  <c r="EB26" i="76"/>
  <c r="EC26" i="76" s="1"/>
  <c r="EL25" i="76"/>
  <c r="EG25" i="76"/>
  <c r="EI25" i="76" s="1"/>
  <c r="DW25" i="76"/>
  <c r="DT25" i="76"/>
  <c r="DQ25" i="76"/>
  <c r="DN25" i="76"/>
  <c r="DK25" i="76"/>
  <c r="DH25" i="76"/>
  <c r="DE25" i="76"/>
  <c r="DB25" i="76"/>
  <c r="CY25" i="76"/>
  <c r="CV25" i="76"/>
  <c r="CS25" i="76"/>
  <c r="CP25" i="76"/>
  <c r="CM25" i="76"/>
  <c r="CJ25" i="76"/>
  <c r="CG25" i="76"/>
  <c r="CD25" i="76"/>
  <c r="CA25" i="76"/>
  <c r="BX25" i="76"/>
  <c r="BU25" i="76"/>
  <c r="BR25" i="76"/>
  <c r="BO25" i="76"/>
  <c r="BL25" i="76"/>
  <c r="BI25" i="76"/>
  <c r="BF25" i="76"/>
  <c r="BC25" i="76"/>
  <c r="AZ25" i="76"/>
  <c r="AW25" i="76"/>
  <c r="AT25" i="76"/>
  <c r="AR25" i="76"/>
  <c r="AO25" i="76"/>
  <c r="AQ25" i="76" s="1"/>
  <c r="AL25" i="76"/>
  <c r="AN25" i="76" s="1"/>
  <c r="AI25" i="76"/>
  <c r="AK25" i="76" s="1"/>
  <c r="EH25" i="76"/>
  <c r="AB25" i="76"/>
  <c r="Y25" i="76"/>
  <c r="V25" i="76"/>
  <c r="S25" i="76"/>
  <c r="P25" i="76"/>
  <c r="M25" i="76"/>
  <c r="J25" i="76"/>
  <c r="G25" i="76"/>
  <c r="EB25" i="76"/>
  <c r="EL24" i="76"/>
  <c r="EG24" i="76"/>
  <c r="EI24" i="76" s="1"/>
  <c r="EB24" i="76"/>
  <c r="DW24" i="76"/>
  <c r="DT24" i="76"/>
  <c r="DQ24" i="76"/>
  <c r="DN24" i="76"/>
  <c r="DK24" i="76"/>
  <c r="DH24" i="76"/>
  <c r="DE24" i="76"/>
  <c r="DB24" i="76"/>
  <c r="CY24" i="76"/>
  <c r="CV24" i="76"/>
  <c r="CS24" i="76"/>
  <c r="CP24" i="76"/>
  <c r="CM24" i="76"/>
  <c r="CJ24" i="76"/>
  <c r="CG24" i="76"/>
  <c r="CD24" i="76"/>
  <c r="CA24" i="76"/>
  <c r="BX24" i="76"/>
  <c r="BU24" i="76"/>
  <c r="BR24" i="76"/>
  <c r="BO24" i="76"/>
  <c r="BL24" i="76"/>
  <c r="BI24" i="76"/>
  <c r="BF24" i="76"/>
  <c r="BC24" i="76"/>
  <c r="AZ24" i="76"/>
  <c r="AW24" i="76"/>
  <c r="AT24" i="76"/>
  <c r="AQ24" i="76"/>
  <c r="AL24" i="76"/>
  <c r="AK24" i="76"/>
  <c r="AI24" i="76"/>
  <c r="AB24" i="76"/>
  <c r="Y24" i="76"/>
  <c r="EH24" i="76" s="1"/>
  <c r="V24" i="76"/>
  <c r="S24" i="76"/>
  <c r="P24" i="76"/>
  <c r="M24" i="76"/>
  <c r="J24" i="76"/>
  <c r="G24" i="76"/>
  <c r="D24" i="76"/>
  <c r="EL23" i="76"/>
  <c r="EI23" i="76"/>
  <c r="EG23" i="76"/>
  <c r="DW23" i="76"/>
  <c r="DT23" i="76"/>
  <c r="DQ23" i="76"/>
  <c r="DN23" i="76"/>
  <c r="DK23" i="76"/>
  <c r="DH23" i="76"/>
  <c r="DE23" i="76"/>
  <c r="DB23" i="76"/>
  <c r="CY23" i="76"/>
  <c r="CV23" i="76"/>
  <c r="CS23" i="76"/>
  <c r="CP23" i="76"/>
  <c r="CM23" i="76"/>
  <c r="CJ23" i="76"/>
  <c r="CG23" i="76"/>
  <c r="CD23" i="76"/>
  <c r="CA23" i="76"/>
  <c r="BX23" i="76"/>
  <c r="BU23" i="76"/>
  <c r="BR23" i="76"/>
  <c r="BO23" i="76"/>
  <c r="BL23" i="76"/>
  <c r="BI23" i="76"/>
  <c r="BF23" i="76"/>
  <c r="BC23" i="76"/>
  <c r="AZ23" i="76"/>
  <c r="AW23" i="76"/>
  <c r="AT23" i="76"/>
  <c r="AQ23" i="76"/>
  <c r="AN23" i="76"/>
  <c r="AI23" i="76"/>
  <c r="EK23" i="76" s="1"/>
  <c r="AB23" i="76"/>
  <c r="Y23" i="76"/>
  <c r="V23" i="76"/>
  <c r="S23" i="76"/>
  <c r="P23" i="76"/>
  <c r="M23" i="76"/>
  <c r="J23" i="76"/>
  <c r="G23" i="76"/>
  <c r="D23" i="76"/>
  <c r="EL22" i="76"/>
  <c r="EK22" i="76"/>
  <c r="EI22" i="76"/>
  <c r="EG22" i="76"/>
  <c r="EB22" i="76"/>
  <c r="DW22" i="76"/>
  <c r="DT22" i="76"/>
  <c r="EM22" i="76" s="1"/>
  <c r="EN22" i="76" s="1"/>
  <c r="DQ22" i="76"/>
  <c r="DN22" i="76"/>
  <c r="DK22" i="76"/>
  <c r="DH22" i="76"/>
  <c r="DE22" i="76"/>
  <c r="DB22" i="76"/>
  <c r="CY22" i="76"/>
  <c r="CV22" i="76"/>
  <c r="CS22" i="76"/>
  <c r="CP22" i="76"/>
  <c r="CM22" i="76"/>
  <c r="CJ22" i="76"/>
  <c r="CG22" i="76"/>
  <c r="CD22" i="76"/>
  <c r="CA22" i="76"/>
  <c r="BX22" i="76"/>
  <c r="BU22" i="76"/>
  <c r="BR22" i="76"/>
  <c r="BO22" i="76"/>
  <c r="BL22" i="76"/>
  <c r="BI22" i="76"/>
  <c r="BF22" i="76"/>
  <c r="BC22" i="76"/>
  <c r="AZ22" i="76"/>
  <c r="AW22" i="76"/>
  <c r="AT22" i="76"/>
  <c r="AQ22" i="76"/>
  <c r="AN22" i="76"/>
  <c r="AK22" i="76"/>
  <c r="AI22" i="76"/>
  <c r="AB22" i="76"/>
  <c r="Y22" i="76"/>
  <c r="V22" i="76"/>
  <c r="S22" i="76"/>
  <c r="EH22" i="76" s="1"/>
  <c r="P22" i="76"/>
  <c r="M22" i="76"/>
  <c r="J22" i="76"/>
  <c r="G22" i="76"/>
  <c r="D22" i="76"/>
  <c r="EL21" i="76"/>
  <c r="EH21" i="76"/>
  <c r="EG21" i="76"/>
  <c r="EI21" i="76" s="1"/>
  <c r="DW21" i="76"/>
  <c r="DT21" i="76"/>
  <c r="DQ21" i="76"/>
  <c r="EM21" i="76" s="1"/>
  <c r="DN21" i="76"/>
  <c r="DK21" i="76"/>
  <c r="DH21" i="76"/>
  <c r="DE21" i="76"/>
  <c r="DB21" i="76"/>
  <c r="CY21" i="76"/>
  <c r="CV21" i="76"/>
  <c r="CS21" i="76"/>
  <c r="CP21" i="76"/>
  <c r="CM21" i="76"/>
  <c r="CJ21" i="76"/>
  <c r="CG21" i="76"/>
  <c r="CD21" i="76"/>
  <c r="CA21" i="76"/>
  <c r="BX21" i="76"/>
  <c r="BU21" i="76"/>
  <c r="BR21" i="76"/>
  <c r="BO21" i="76"/>
  <c r="BL21" i="76"/>
  <c r="BI21" i="76"/>
  <c r="BF21" i="76"/>
  <c r="BC21" i="76"/>
  <c r="AZ21" i="76"/>
  <c r="AW21" i="76"/>
  <c r="AT21" i="76"/>
  <c r="AQ21" i="76"/>
  <c r="AN21" i="76"/>
  <c r="AI21" i="76"/>
  <c r="AK21" i="76" s="1"/>
  <c r="AB21" i="76"/>
  <c r="Y21" i="76"/>
  <c r="V21" i="76"/>
  <c r="S21" i="76"/>
  <c r="P21" i="76"/>
  <c r="M21" i="76"/>
  <c r="J21" i="76"/>
  <c r="G21" i="76"/>
  <c r="EB21" i="76"/>
  <c r="EL20" i="76"/>
  <c r="EG20" i="76"/>
  <c r="EI20" i="76" s="1"/>
  <c r="DW20" i="76"/>
  <c r="DT20" i="76"/>
  <c r="DQ20" i="76"/>
  <c r="DN20" i="76"/>
  <c r="DK20" i="76"/>
  <c r="DH20" i="76"/>
  <c r="DE20" i="76"/>
  <c r="DB20" i="76"/>
  <c r="CY20" i="76"/>
  <c r="CV20" i="76"/>
  <c r="CS20" i="76"/>
  <c r="CP20" i="76"/>
  <c r="CM20" i="76"/>
  <c r="CJ20" i="76"/>
  <c r="CG20" i="76"/>
  <c r="CD20" i="76"/>
  <c r="CA20" i="76"/>
  <c r="BX20" i="76"/>
  <c r="BU20" i="76"/>
  <c r="BR20" i="76"/>
  <c r="BO20" i="76"/>
  <c r="BL20" i="76"/>
  <c r="BI20" i="76"/>
  <c r="BF20" i="76"/>
  <c r="BC20" i="76"/>
  <c r="AZ20" i="76"/>
  <c r="AW20" i="76"/>
  <c r="AT20" i="76"/>
  <c r="AQ20" i="76"/>
  <c r="AN20" i="76"/>
  <c r="AI20" i="76"/>
  <c r="EK20" i="76" s="1"/>
  <c r="EH20" i="76"/>
  <c r="AB20" i="76"/>
  <c r="Y20" i="76"/>
  <c r="V20" i="76"/>
  <c r="S20" i="76"/>
  <c r="P20" i="76"/>
  <c r="M20" i="76"/>
  <c r="J20" i="76"/>
  <c r="G20" i="76"/>
  <c r="EB20" i="76"/>
  <c r="EL19" i="76"/>
  <c r="EI19" i="76"/>
  <c r="EG19" i="76"/>
  <c r="EB19" i="76"/>
  <c r="DW19" i="76"/>
  <c r="DT19" i="76"/>
  <c r="DQ19" i="76"/>
  <c r="DN19" i="76"/>
  <c r="DK19" i="76"/>
  <c r="DH19" i="76"/>
  <c r="DE19" i="76"/>
  <c r="DB19" i="76"/>
  <c r="CY19" i="76"/>
  <c r="CV19" i="76"/>
  <c r="CS19" i="76"/>
  <c r="CP19" i="76"/>
  <c r="CM19" i="76"/>
  <c r="CJ19" i="76"/>
  <c r="CG19" i="76"/>
  <c r="CD19" i="76"/>
  <c r="CA19" i="76"/>
  <c r="BX19" i="76"/>
  <c r="BU19" i="76"/>
  <c r="BR19" i="76"/>
  <c r="BO19" i="76"/>
  <c r="BL19" i="76"/>
  <c r="BI19" i="76"/>
  <c r="BF19" i="76"/>
  <c r="BC19" i="76"/>
  <c r="AZ19" i="76"/>
  <c r="AW19" i="76"/>
  <c r="AT19" i="76"/>
  <c r="AQ19" i="76"/>
  <c r="AN19" i="76"/>
  <c r="AI19" i="76"/>
  <c r="EK19" i="76" s="1"/>
  <c r="AB19" i="76"/>
  <c r="Y19" i="76"/>
  <c r="V19" i="76"/>
  <c r="S19" i="76"/>
  <c r="EH19" i="76" s="1"/>
  <c r="P19" i="76"/>
  <c r="M19" i="76"/>
  <c r="J19" i="76"/>
  <c r="G19" i="76"/>
  <c r="D19" i="76"/>
  <c r="EL18" i="76"/>
  <c r="EK18" i="76"/>
  <c r="EN18" i="76" s="1"/>
  <c r="EI18" i="76"/>
  <c r="EG18" i="76"/>
  <c r="EB18" i="76"/>
  <c r="DW18" i="76"/>
  <c r="DT18" i="76"/>
  <c r="DQ18" i="76"/>
  <c r="DN18" i="76"/>
  <c r="DK18" i="76"/>
  <c r="DH18" i="76"/>
  <c r="DE18" i="76"/>
  <c r="DB18" i="76"/>
  <c r="CY18" i="76"/>
  <c r="CV18" i="76"/>
  <c r="CS18" i="76"/>
  <c r="CP18" i="76"/>
  <c r="EM18" i="76" s="1"/>
  <c r="CM18" i="76"/>
  <c r="CJ18" i="76"/>
  <c r="CG18" i="76"/>
  <c r="CD18" i="76"/>
  <c r="CA18" i="76"/>
  <c r="BX18" i="76"/>
  <c r="BU18" i="76"/>
  <c r="BR18" i="76"/>
  <c r="BO18" i="76"/>
  <c r="BL18" i="76"/>
  <c r="BI18" i="76"/>
  <c r="BF18" i="76"/>
  <c r="BC18" i="76"/>
  <c r="AZ18" i="76"/>
  <c r="AW18" i="76"/>
  <c r="AT18" i="76"/>
  <c r="AQ18" i="76"/>
  <c r="AN18" i="76"/>
  <c r="AK18" i="76"/>
  <c r="AI18" i="76"/>
  <c r="AB18" i="76"/>
  <c r="Y18" i="76"/>
  <c r="V18" i="76"/>
  <c r="S18" i="76"/>
  <c r="P18" i="76"/>
  <c r="M18" i="76"/>
  <c r="J18" i="76"/>
  <c r="G18" i="76"/>
  <c r="D18" i="76"/>
  <c r="EL17" i="76"/>
  <c r="EI17" i="76"/>
  <c r="EG17" i="76"/>
  <c r="DW17" i="76"/>
  <c r="DT17" i="76"/>
  <c r="DQ17" i="76"/>
  <c r="DN17" i="76"/>
  <c r="DK17" i="76"/>
  <c r="DH17" i="76"/>
  <c r="DE17" i="76"/>
  <c r="DB17" i="76"/>
  <c r="CY17" i="76"/>
  <c r="CV17" i="76"/>
  <c r="CS17" i="76"/>
  <c r="CP17" i="76"/>
  <c r="CM17" i="76"/>
  <c r="CJ17" i="76"/>
  <c r="CG17" i="76"/>
  <c r="CD17" i="76"/>
  <c r="CA17" i="76"/>
  <c r="BX17" i="76"/>
  <c r="BU17" i="76"/>
  <c r="BU41" i="76" s="1"/>
  <c r="BR17" i="76"/>
  <c r="BR41" i="76" s="1"/>
  <c r="BO17" i="76"/>
  <c r="BL17" i="76"/>
  <c r="BI17" i="76"/>
  <c r="BF17" i="76"/>
  <c r="BC17" i="76"/>
  <c r="AZ17" i="76"/>
  <c r="AW17" i="76"/>
  <c r="AT17" i="76"/>
  <c r="AQ17" i="76"/>
  <c r="AN17" i="76"/>
  <c r="AI17" i="76"/>
  <c r="AK17" i="76" s="1"/>
  <c r="EH17" i="76"/>
  <c r="AB17" i="76"/>
  <c r="Y17" i="76"/>
  <c r="V17" i="76"/>
  <c r="S17" i="76"/>
  <c r="P17" i="76"/>
  <c r="M17" i="76"/>
  <c r="J17" i="76"/>
  <c r="G17" i="76"/>
  <c r="EB17" i="76"/>
  <c r="EL16" i="76"/>
  <c r="EI16" i="76"/>
  <c r="EG16" i="76"/>
  <c r="EB16" i="76"/>
  <c r="DW16" i="76"/>
  <c r="DT16" i="76"/>
  <c r="DQ16" i="76"/>
  <c r="EM16" i="76" s="1"/>
  <c r="DN16" i="76"/>
  <c r="DK16" i="76"/>
  <c r="DH16" i="76"/>
  <c r="DE16" i="76"/>
  <c r="DB16" i="76"/>
  <c r="CY16" i="76"/>
  <c r="CV16" i="76"/>
  <c r="CS16" i="76"/>
  <c r="CP16" i="76"/>
  <c r="CM16" i="76"/>
  <c r="CJ16" i="76"/>
  <c r="CG16" i="76"/>
  <c r="CD16" i="76"/>
  <c r="CA16" i="76"/>
  <c r="BX16" i="76"/>
  <c r="BU16" i="76"/>
  <c r="BR16" i="76"/>
  <c r="BO16" i="76"/>
  <c r="BL16" i="76"/>
  <c r="BI16" i="76"/>
  <c r="BF16" i="76"/>
  <c r="BC16" i="76"/>
  <c r="AZ16" i="76"/>
  <c r="AW16" i="76"/>
  <c r="AT16" i="76"/>
  <c r="AQ16" i="76"/>
  <c r="AN16" i="76"/>
  <c r="AK16" i="76"/>
  <c r="AI16" i="76"/>
  <c r="EK16" i="76" s="1"/>
  <c r="AB16" i="76"/>
  <c r="Y16" i="76"/>
  <c r="EH16" i="76" s="1"/>
  <c r="V16" i="76"/>
  <c r="S16" i="76"/>
  <c r="P16" i="76"/>
  <c r="M16" i="76"/>
  <c r="J16" i="76"/>
  <c r="G16" i="76"/>
  <c r="D16" i="76"/>
  <c r="ED16" i="76" s="1"/>
  <c r="EL15" i="76"/>
  <c r="EI15" i="76"/>
  <c r="EG15" i="76"/>
  <c r="DW15" i="76"/>
  <c r="DT15" i="76"/>
  <c r="DQ15" i="76"/>
  <c r="DN15" i="76"/>
  <c r="DK15" i="76"/>
  <c r="DH15" i="76"/>
  <c r="DE15" i="76"/>
  <c r="DB15" i="76"/>
  <c r="CY15" i="76"/>
  <c r="CV15" i="76"/>
  <c r="CS15" i="76"/>
  <c r="CP15" i="76"/>
  <c r="CM15" i="76"/>
  <c r="CJ15" i="76"/>
  <c r="CG15" i="76"/>
  <c r="CD15" i="76"/>
  <c r="CA15" i="76"/>
  <c r="BX15" i="76"/>
  <c r="BU15" i="76"/>
  <c r="BR15" i="76"/>
  <c r="BO15" i="76"/>
  <c r="BO41" i="76" s="1"/>
  <c r="BL15" i="76"/>
  <c r="BI15" i="76"/>
  <c r="BF15" i="76"/>
  <c r="BC15" i="76"/>
  <c r="AZ15" i="76"/>
  <c r="AW15" i="76"/>
  <c r="AT15" i="76"/>
  <c r="AQ15" i="76"/>
  <c r="AN15" i="76"/>
  <c r="AI15" i="76"/>
  <c r="EK15" i="76" s="1"/>
  <c r="AB15" i="76"/>
  <c r="Y15" i="76"/>
  <c r="V15" i="76"/>
  <c r="S15" i="76"/>
  <c r="P15" i="76"/>
  <c r="M15" i="76"/>
  <c r="J15" i="76"/>
  <c r="G15" i="76"/>
  <c r="D15" i="76"/>
  <c r="EL14" i="76"/>
  <c r="EK14" i="76"/>
  <c r="EI14" i="76"/>
  <c r="EG14" i="76"/>
  <c r="EB14" i="76"/>
  <c r="DW14" i="76"/>
  <c r="DT14" i="76"/>
  <c r="EM14" i="76" s="1"/>
  <c r="EN14" i="76" s="1"/>
  <c r="DQ14" i="76"/>
  <c r="DN14" i="76"/>
  <c r="DK14" i="76"/>
  <c r="DH14" i="76"/>
  <c r="DE14" i="76"/>
  <c r="DB14" i="76"/>
  <c r="CY14" i="76"/>
  <c r="CV14" i="76"/>
  <c r="CS14" i="76"/>
  <c r="CP14" i="76"/>
  <c r="CM14" i="76"/>
  <c r="CJ14" i="76"/>
  <c r="CG14" i="76"/>
  <c r="CD14" i="76"/>
  <c r="CA14" i="76"/>
  <c r="CA41" i="76" s="1"/>
  <c r="BX14" i="76"/>
  <c r="BX41" i="76" s="1"/>
  <c r="BU14" i="76"/>
  <c r="BR14" i="76"/>
  <c r="BO14" i="76"/>
  <c r="BL14" i="76"/>
  <c r="BI14" i="76"/>
  <c r="BF14" i="76"/>
  <c r="BC14" i="76"/>
  <c r="AZ14" i="76"/>
  <c r="AW14" i="76"/>
  <c r="AT14" i="76"/>
  <c r="AQ14" i="76"/>
  <c r="AN14" i="76"/>
  <c r="AI14" i="76"/>
  <c r="AK14" i="76" s="1"/>
  <c r="AB14" i="76"/>
  <c r="Y14" i="76"/>
  <c r="V14" i="76"/>
  <c r="S14" i="76"/>
  <c r="EH14" i="76" s="1"/>
  <c r="P14" i="76"/>
  <c r="M14" i="76"/>
  <c r="J14" i="76"/>
  <c r="J41" i="76" s="1"/>
  <c r="G14" i="76"/>
  <c r="D14" i="76"/>
  <c r="EL13" i="76"/>
  <c r="EG13" i="76"/>
  <c r="EI3" i="76" s="1"/>
  <c r="EI4" i="76" s="1"/>
  <c r="DW13" i="76"/>
  <c r="DT13" i="76"/>
  <c r="DQ13" i="76"/>
  <c r="DN13" i="76"/>
  <c r="DK13" i="76"/>
  <c r="DH13" i="76"/>
  <c r="DE13" i="76"/>
  <c r="DB13" i="76"/>
  <c r="CY13" i="76"/>
  <c r="CV13" i="76"/>
  <c r="CS13" i="76"/>
  <c r="CP13" i="76"/>
  <c r="CM13" i="76"/>
  <c r="CJ13" i="76"/>
  <c r="CG13" i="76"/>
  <c r="CD13" i="76"/>
  <c r="CD41" i="76" s="1"/>
  <c r="CA13" i="76"/>
  <c r="BX13" i="76"/>
  <c r="BU13" i="76"/>
  <c r="BR13" i="76"/>
  <c r="BO13" i="76"/>
  <c r="BL13" i="76"/>
  <c r="BI13" i="76"/>
  <c r="BF13" i="76"/>
  <c r="BC13" i="76"/>
  <c r="AX13" i="76"/>
  <c r="AZ13" i="76" s="1"/>
  <c r="AU13" i="76"/>
  <c r="AW13" i="76" s="1"/>
  <c r="AR13" i="76"/>
  <c r="AQ13" i="76"/>
  <c r="AN13" i="76"/>
  <c r="AL13" i="76"/>
  <c r="AI13" i="76"/>
  <c r="AK13" i="76" s="1"/>
  <c r="AB13" i="76"/>
  <c r="Y13" i="76"/>
  <c r="V13" i="76"/>
  <c r="S13" i="76"/>
  <c r="EH13" i="76" s="1"/>
  <c r="P13" i="76"/>
  <c r="M13" i="76"/>
  <c r="J13" i="76"/>
  <c r="G13" i="76"/>
  <c r="D13" i="76"/>
  <c r="EL12" i="76"/>
  <c r="EI12" i="76"/>
  <c r="EH12" i="76"/>
  <c r="EG12" i="76"/>
  <c r="DW12" i="76"/>
  <c r="DT12" i="76"/>
  <c r="DQ12" i="76"/>
  <c r="DN12" i="76"/>
  <c r="DK12" i="76"/>
  <c r="DH12" i="76"/>
  <c r="DE12" i="76"/>
  <c r="DE41" i="76" s="1"/>
  <c r="DB12" i="76"/>
  <c r="DB41" i="76" s="1"/>
  <c r="CY12" i="76"/>
  <c r="CV12" i="76"/>
  <c r="CS12" i="76"/>
  <c r="CP12" i="76"/>
  <c r="CM12" i="76"/>
  <c r="CJ12" i="76"/>
  <c r="CG12" i="76"/>
  <c r="CD12" i="76"/>
  <c r="CA12" i="76"/>
  <c r="BX12" i="76"/>
  <c r="BU12" i="76"/>
  <c r="BR12" i="76"/>
  <c r="BO12" i="76"/>
  <c r="BL12" i="76"/>
  <c r="BI12" i="76"/>
  <c r="BF12" i="76"/>
  <c r="BC12" i="76"/>
  <c r="AZ12" i="76"/>
  <c r="AX12" i="76"/>
  <c r="AU12" i="76"/>
  <c r="AW12" i="76" s="1"/>
  <c r="AR12" i="76"/>
  <c r="AT12" i="76" s="1"/>
  <c r="AQ12" i="76"/>
  <c r="AO12" i="76"/>
  <c r="AL12" i="76"/>
  <c r="AN12" i="76" s="1"/>
  <c r="AI12" i="76"/>
  <c r="AK12" i="76" s="1"/>
  <c r="AB12" i="76"/>
  <c r="Y12" i="76"/>
  <c r="V12" i="76"/>
  <c r="S12" i="76"/>
  <c r="P12" i="76"/>
  <c r="M12" i="76"/>
  <c r="J12" i="76"/>
  <c r="G12" i="76"/>
  <c r="G41" i="76" s="1"/>
  <c r="EL11" i="76"/>
  <c r="EI11" i="76"/>
  <c r="EG11" i="76"/>
  <c r="DW11" i="76"/>
  <c r="DT11" i="76"/>
  <c r="DQ11" i="76"/>
  <c r="DQ41" i="76" s="1"/>
  <c r="DN11" i="76"/>
  <c r="DN41" i="76" s="1"/>
  <c r="DK11" i="76"/>
  <c r="DK41" i="76" s="1"/>
  <c r="DH11" i="76"/>
  <c r="DH41" i="76" s="1"/>
  <c r="DE11" i="76"/>
  <c r="DB11" i="76"/>
  <c r="CY11" i="76"/>
  <c r="CY41" i="76" s="1"/>
  <c r="CV11" i="76"/>
  <c r="CS11" i="76"/>
  <c r="CP11" i="76"/>
  <c r="CM11" i="76"/>
  <c r="CJ11" i="76"/>
  <c r="CG11" i="76"/>
  <c r="CG41" i="76" s="1"/>
  <c r="CD11" i="76"/>
  <c r="CA11" i="76"/>
  <c r="BX11" i="76"/>
  <c r="BU11" i="76"/>
  <c r="BR11" i="76"/>
  <c r="BO11" i="76"/>
  <c r="BL11" i="76"/>
  <c r="BI11" i="76"/>
  <c r="BF11" i="76"/>
  <c r="BC11" i="76"/>
  <c r="AX11" i="76"/>
  <c r="EK11" i="76" s="1"/>
  <c r="AW11" i="76"/>
  <c r="AU11" i="76"/>
  <c r="AT11" i="76"/>
  <c r="AR11" i="76"/>
  <c r="AO11" i="76"/>
  <c r="AQ11" i="76" s="1"/>
  <c r="AQ41" i="76" s="1"/>
  <c r="AL11" i="76"/>
  <c r="AN11" i="76" s="1"/>
  <c r="AI11" i="76"/>
  <c r="AK11" i="76" s="1"/>
  <c r="AH41" i="76"/>
  <c r="AE41" i="76"/>
  <c r="AB11" i="76"/>
  <c r="AB41" i="76" s="1"/>
  <c r="Y11" i="76"/>
  <c r="Y41" i="76" s="1"/>
  <c r="V11" i="76"/>
  <c r="S11" i="76"/>
  <c r="P11" i="76"/>
  <c r="M11" i="76"/>
  <c r="J11" i="76"/>
  <c r="G11" i="76"/>
  <c r="D11" i="76"/>
  <c r="A12" i="76"/>
  <c r="A13" i="76" s="1"/>
  <c r="A14" i="76" s="1"/>
  <c r="A15" i="76" s="1"/>
  <c r="A16" i="76" s="1"/>
  <c r="A17" i="76" s="1"/>
  <c r="A18" i="76" s="1"/>
  <c r="A19" i="76" s="1"/>
  <c r="A20" i="76" s="1"/>
  <c r="A21" i="76" s="1"/>
  <c r="A22" i="76" s="1"/>
  <c r="A23" i="76" s="1"/>
  <c r="A24" i="76" s="1"/>
  <c r="A25" i="76" s="1"/>
  <c r="A26" i="76" s="1"/>
  <c r="A27" i="76" s="1"/>
  <c r="A28" i="76" s="1"/>
  <c r="A29" i="76" s="1"/>
  <c r="A30" i="76" s="1"/>
  <c r="A31" i="76" s="1"/>
  <c r="A32" i="76" s="1"/>
  <c r="A33" i="76" s="1"/>
  <c r="A34" i="76" s="1"/>
  <c r="A35" i="76" s="1"/>
  <c r="A36" i="76" s="1"/>
  <c r="A37" i="76" s="1"/>
  <c r="A38" i="76" s="1"/>
  <c r="A39" i="76" s="1"/>
  <c r="A40" i="76" s="1"/>
  <c r="EI2" i="76"/>
  <c r="EC29" i="76" l="1"/>
  <c r="EM17" i="76"/>
  <c r="ED34" i="76"/>
  <c r="ED15" i="76"/>
  <c r="ED11" i="76"/>
  <c r="EM23" i="76"/>
  <c r="EN23" i="76" s="1"/>
  <c r="ED24" i="76"/>
  <c r="EE24" i="76" s="1"/>
  <c r="ED23" i="76"/>
  <c r="EE16" i="76"/>
  <c r="EM11" i="76"/>
  <c r="EC20" i="76"/>
  <c r="EB12" i="76"/>
  <c r="D12" i="76"/>
  <c r="ED12" i="76" s="1"/>
  <c r="EE18" i="76"/>
  <c r="EC18" i="76"/>
  <c r="AZ11" i="76"/>
  <c r="AZ41" i="76" s="1"/>
  <c r="CJ41" i="76"/>
  <c r="EK17" i="76"/>
  <c r="EN17" i="76" s="1"/>
  <c r="EM26" i="76"/>
  <c r="EN26" i="76" s="1"/>
  <c r="EC32" i="76"/>
  <c r="EM33" i="76"/>
  <c r="AK34" i="76"/>
  <c r="EK37" i="76"/>
  <c r="AK37" i="76"/>
  <c r="ED37" i="76" s="1"/>
  <c r="BC41" i="76"/>
  <c r="CM41" i="76"/>
  <c r="DW41" i="76"/>
  <c r="EK12" i="76"/>
  <c r="D17" i="76"/>
  <c r="ED17" i="76" s="1"/>
  <c r="EM24" i="76"/>
  <c r="D25" i="76"/>
  <c r="ED25" i="76" s="1"/>
  <c r="EE25" i="76" s="1"/>
  <c r="EE28" i="76"/>
  <c r="D29" i="76"/>
  <c r="AK29" i="76"/>
  <c r="EM29" i="76" s="1"/>
  <c r="EN29" i="76" s="1"/>
  <c r="BF41" i="76"/>
  <c r="CP41" i="76"/>
  <c r="EB11" i="76"/>
  <c r="D20" i="76"/>
  <c r="AK20" i="76"/>
  <c r="EM20" i="76" s="1"/>
  <c r="EN20" i="76" s="1"/>
  <c r="EC28" i="76"/>
  <c r="EC38" i="76"/>
  <c r="BI41" i="76"/>
  <c r="CS41" i="76"/>
  <c r="EM12" i="76"/>
  <c r="ED18" i="76"/>
  <c r="EC19" i="76"/>
  <c r="ED28" i="76"/>
  <c r="BL41" i="76"/>
  <c r="CV41" i="76"/>
  <c r="P41" i="76"/>
  <c r="EC16" i="76"/>
  <c r="EC24" i="76"/>
  <c r="EC30" i="76"/>
  <c r="EC33" i="76"/>
  <c r="EM34" i="76"/>
  <c r="EN34" i="76" s="1"/>
  <c r="EE36" i="76"/>
  <c r="D38" i="76"/>
  <c r="ED38" i="76" s="1"/>
  <c r="EE38" i="76" s="1"/>
  <c r="AK38" i="76"/>
  <c r="ED40" i="76"/>
  <c r="EC14" i="76"/>
  <c r="EC21" i="76"/>
  <c r="EC22" i="76"/>
  <c r="EK25" i="76"/>
  <c r="EC36" i="76"/>
  <c r="ED13" i="76"/>
  <c r="EI13" i="76"/>
  <c r="EK21" i="76"/>
  <c r="EN21" i="76" s="1"/>
  <c r="D30" i="76"/>
  <c r="AK30" i="76"/>
  <c r="M41" i="76"/>
  <c r="EK13" i="76"/>
  <c r="EH15" i="76"/>
  <c r="EN16" i="76"/>
  <c r="D21" i="76"/>
  <c r="ED21" i="76" s="1"/>
  <c r="EE21" i="76" s="1"/>
  <c r="EH23" i="76"/>
  <c r="EE27" i="76"/>
  <c r="ED32" i="76"/>
  <c r="EE32" i="76" s="1"/>
  <c r="EH37" i="76"/>
  <c r="EB37" i="76"/>
  <c r="EB15" i="76"/>
  <c r="EE17" i="76"/>
  <c r="EB23" i="76"/>
  <c r="EM25" i="76"/>
  <c r="D26" i="76"/>
  <c r="ED26" i="76" s="1"/>
  <c r="EE26" i="76" s="1"/>
  <c r="EK33" i="76"/>
  <c r="AK33" i="76"/>
  <c r="ED33" i="76" s="1"/>
  <c r="EE33" i="76" s="1"/>
  <c r="EM38" i="76"/>
  <c r="EN38" i="76" s="1"/>
  <c r="ED39" i="76"/>
  <c r="EE39" i="76" s="1"/>
  <c r="EE2" i="76"/>
  <c r="EQ2" i="76" s="1"/>
  <c r="G4" i="76" s="1"/>
  <c r="EE40" i="76"/>
  <c r="DT41" i="76"/>
  <c r="EH11" i="76"/>
  <c r="EB13" i="76"/>
  <c r="EH18" i="76"/>
  <c r="ED22" i="76"/>
  <c r="EE22" i="76" s="1"/>
  <c r="EK24" i="76"/>
  <c r="AN24" i="76"/>
  <c r="AN41" i="76" s="1"/>
  <c r="EH32" i="76"/>
  <c r="EC40" i="76"/>
  <c r="EN40" i="76"/>
  <c r="V41" i="76"/>
  <c r="AW41" i="76"/>
  <c r="EI5" i="76"/>
  <c r="AT13" i="76"/>
  <c r="AT41" i="76" s="1"/>
  <c r="ED14" i="76"/>
  <c r="EE14" i="76" s="1"/>
  <c r="EM30" i="76"/>
  <c r="EN30" i="76" s="1"/>
  <c r="ED31" i="76"/>
  <c r="EE31" i="76" s="1"/>
  <c r="EB34" i="76"/>
  <c r="AK15" i="76"/>
  <c r="AK41" i="76" s="1"/>
  <c r="AK19" i="76"/>
  <c r="ED19" i="76" s="1"/>
  <c r="EE19" i="76" s="1"/>
  <c r="AK23" i="76"/>
  <c r="EC27" i="76"/>
  <c r="EC31" i="76"/>
  <c r="EC35" i="76"/>
  <c r="EC39" i="76"/>
  <c r="S41" i="76"/>
  <c r="EM15" i="76" l="1"/>
  <c r="EN15" i="76" s="1"/>
  <c r="EE12" i="76"/>
  <c r="EC12" i="76"/>
  <c r="EN25" i="76"/>
  <c r="EC13" i="76"/>
  <c r="EE13" i="76"/>
  <c r="EC23" i="76"/>
  <c r="EE23" i="76"/>
  <c r="EH41" i="76"/>
  <c r="EM41" i="76"/>
  <c r="EC15" i="76"/>
  <c r="EE15" i="76"/>
  <c r="ED30" i="76"/>
  <c r="EE30" i="76" s="1"/>
  <c r="EN11" i="76"/>
  <c r="EM19" i="76"/>
  <c r="EN19" i="76" s="1"/>
  <c r="EE37" i="76"/>
  <c r="EC37" i="76"/>
  <c r="EN12" i="76"/>
  <c r="EN3" i="76"/>
  <c r="ED20" i="76"/>
  <c r="EE20" i="76" s="1"/>
  <c r="EN5" i="76"/>
  <c r="EC25" i="76"/>
  <c r="EE5" i="76"/>
  <c r="G7" i="76" s="1"/>
  <c r="EC11" i="76"/>
  <c r="EE11" i="76"/>
  <c r="EE3" i="76"/>
  <c r="EM13" i="76"/>
  <c r="EN13" i="76" s="1"/>
  <c r="D41" i="76"/>
  <c r="EN33" i="76"/>
  <c r="EM37" i="76"/>
  <c r="EN37" i="76" s="1"/>
  <c r="EC17" i="76"/>
  <c r="ED41" i="76"/>
  <c r="EC34" i="76"/>
  <c r="EE34" i="76"/>
  <c r="EN24" i="76"/>
  <c r="ED29" i="76"/>
  <c r="EE29" i="76" s="1"/>
  <c r="EN4" i="76" l="1"/>
  <c r="G5" i="76"/>
  <c r="EE4" i="76"/>
  <c r="G6" i="76" s="1"/>
  <c r="EL41" i="75"/>
  <c r="EG41" i="75"/>
  <c r="EI41" i="75" s="1"/>
  <c r="DW41" i="75"/>
  <c r="DT41" i="75"/>
  <c r="DQ41" i="75"/>
  <c r="DN41" i="75"/>
  <c r="DK41" i="75"/>
  <c r="DH41" i="75"/>
  <c r="DE41" i="75"/>
  <c r="DB41" i="75"/>
  <c r="CY41" i="75"/>
  <c r="CV41" i="75"/>
  <c r="CS41" i="75"/>
  <c r="CP41" i="75"/>
  <c r="CM41" i="75"/>
  <c r="CJ41" i="75"/>
  <c r="CG41" i="75"/>
  <c r="CD41" i="75"/>
  <c r="CA41" i="75"/>
  <c r="BX41" i="75"/>
  <c r="BU41" i="75"/>
  <c r="BR41" i="75"/>
  <c r="BO41" i="75"/>
  <c r="BL41" i="75"/>
  <c r="BI41" i="75"/>
  <c r="BF41" i="75"/>
  <c r="BA41" i="75"/>
  <c r="AX41" i="75"/>
  <c r="AZ41" i="75" s="1"/>
  <c r="AU41" i="75"/>
  <c r="AW41" i="75" s="1"/>
  <c r="AR41" i="75"/>
  <c r="AT41" i="75" s="1"/>
  <c r="AO41" i="75"/>
  <c r="AQ41" i="75" s="1"/>
  <c r="AL41" i="75"/>
  <c r="AN41" i="75" s="1"/>
  <c r="AI41" i="75"/>
  <c r="AK41" i="75" s="1"/>
  <c r="AB41" i="75"/>
  <c r="Y41" i="75"/>
  <c r="V41" i="75"/>
  <c r="S41" i="75"/>
  <c r="EH41" i="75" s="1"/>
  <c r="P41" i="75"/>
  <c r="M41" i="75"/>
  <c r="J41" i="75"/>
  <c r="G41" i="75"/>
  <c r="D41" i="75"/>
  <c r="EL40" i="75"/>
  <c r="EG40" i="75"/>
  <c r="EB40" i="75"/>
  <c r="DW40" i="75"/>
  <c r="DT40" i="75"/>
  <c r="DQ40" i="75"/>
  <c r="DN40" i="75"/>
  <c r="DK40" i="75"/>
  <c r="DH40" i="75"/>
  <c r="DE40" i="75"/>
  <c r="DB40" i="75"/>
  <c r="CY40" i="75"/>
  <c r="CV40" i="75"/>
  <c r="CS40" i="75"/>
  <c r="CP40" i="75"/>
  <c r="CM40" i="75"/>
  <c r="CJ40" i="75"/>
  <c r="CG40" i="75"/>
  <c r="CD40" i="75"/>
  <c r="CA40" i="75"/>
  <c r="BX40" i="75"/>
  <c r="BU40" i="75"/>
  <c r="BR40" i="75"/>
  <c r="BO40" i="75"/>
  <c r="BL40" i="75"/>
  <c r="BI40" i="75"/>
  <c r="BF40" i="75"/>
  <c r="BC40" i="75"/>
  <c r="BA40" i="75"/>
  <c r="AZ40" i="75"/>
  <c r="AX40" i="75"/>
  <c r="AU40" i="75"/>
  <c r="AR40" i="75"/>
  <c r="AT40" i="75" s="1"/>
  <c r="AO40" i="75"/>
  <c r="AQ40" i="75" s="1"/>
  <c r="AN40" i="75"/>
  <c r="AI40" i="75"/>
  <c r="AK40" i="75" s="1"/>
  <c r="AB40" i="75"/>
  <c r="Y40" i="75"/>
  <c r="V40" i="75"/>
  <c r="S40" i="75"/>
  <c r="EH40" i="75" s="1"/>
  <c r="P40" i="75"/>
  <c r="M40" i="75"/>
  <c r="J40" i="75"/>
  <c r="G40" i="75"/>
  <c r="G42" i="75" s="1"/>
  <c r="D40" i="75"/>
  <c r="EL39" i="75"/>
  <c r="EG39" i="75"/>
  <c r="EI39" i="75" s="1"/>
  <c r="DW39" i="75"/>
  <c r="DT39" i="75"/>
  <c r="DQ39" i="75"/>
  <c r="DN39" i="75"/>
  <c r="DK39" i="75"/>
  <c r="DH39" i="75"/>
  <c r="DE39" i="75"/>
  <c r="DB39" i="75"/>
  <c r="CY39" i="75"/>
  <c r="CV39" i="75"/>
  <c r="CS39" i="75"/>
  <c r="CP39" i="75"/>
  <c r="CM39" i="75"/>
  <c r="CJ39" i="75"/>
  <c r="CG39" i="75"/>
  <c r="CD39" i="75"/>
  <c r="CA39" i="75"/>
  <c r="BX39" i="75"/>
  <c r="BU39" i="75"/>
  <c r="BR39" i="75"/>
  <c r="BO39" i="75"/>
  <c r="BL39" i="75"/>
  <c r="BI39" i="75"/>
  <c r="BF39" i="75"/>
  <c r="BC39" i="75"/>
  <c r="BA39" i="75"/>
  <c r="AX39" i="75"/>
  <c r="AZ39" i="75" s="1"/>
  <c r="AU39" i="75"/>
  <c r="AT39" i="75"/>
  <c r="AR39" i="75"/>
  <c r="AO39" i="75"/>
  <c r="AN39" i="75"/>
  <c r="AK39" i="75"/>
  <c r="AI39" i="75"/>
  <c r="AB39" i="75"/>
  <c r="Y39" i="75"/>
  <c r="V39" i="75"/>
  <c r="S39" i="75"/>
  <c r="EH39" i="75" s="1"/>
  <c r="P39" i="75"/>
  <c r="M39" i="75"/>
  <c r="J39" i="75"/>
  <c r="G39" i="75"/>
  <c r="D39" i="75"/>
  <c r="EL38" i="75"/>
  <c r="EK38" i="75"/>
  <c r="EI38" i="75"/>
  <c r="EH38" i="75"/>
  <c r="EG38" i="75"/>
  <c r="DW38" i="75"/>
  <c r="DT38" i="75"/>
  <c r="DQ38" i="75"/>
  <c r="DN38" i="75"/>
  <c r="DK38" i="75"/>
  <c r="DH38" i="75"/>
  <c r="DE38" i="75"/>
  <c r="DB38" i="75"/>
  <c r="CY38" i="75"/>
  <c r="CV38" i="75"/>
  <c r="CS38" i="75"/>
  <c r="CP38" i="75"/>
  <c r="CM38" i="75"/>
  <c r="CJ38" i="75"/>
  <c r="CG38" i="75"/>
  <c r="CD38" i="75"/>
  <c r="CA38" i="75"/>
  <c r="BX38" i="75"/>
  <c r="BU38" i="75"/>
  <c r="BR38" i="75"/>
  <c r="BO38" i="75"/>
  <c r="BL38" i="75"/>
  <c r="BI38" i="75"/>
  <c r="BF38" i="75"/>
  <c r="BA38" i="75"/>
  <c r="BC38" i="75" s="1"/>
  <c r="AX38" i="75"/>
  <c r="AZ38" i="75" s="1"/>
  <c r="AU38" i="75"/>
  <c r="AW38" i="75" s="1"/>
  <c r="AT38" i="75"/>
  <c r="AR38" i="75"/>
  <c r="AQ38" i="75"/>
  <c r="AO38" i="75"/>
  <c r="AN38" i="75"/>
  <c r="AI38" i="75"/>
  <c r="AK38" i="75" s="1"/>
  <c r="AB38" i="75"/>
  <c r="Y38" i="75"/>
  <c r="V38" i="75"/>
  <c r="S38" i="75"/>
  <c r="P38" i="75"/>
  <c r="M38" i="75"/>
  <c r="J38" i="75"/>
  <c r="G38" i="75"/>
  <c r="EB38" i="75"/>
  <c r="EC38" i="75" s="1"/>
  <c r="EL37" i="75"/>
  <c r="EI37" i="75"/>
  <c r="EG37" i="75"/>
  <c r="DW37" i="75"/>
  <c r="DT37" i="75"/>
  <c r="DQ37" i="75"/>
  <c r="DN37" i="75"/>
  <c r="EM37" i="75" s="1"/>
  <c r="DK37" i="75"/>
  <c r="DH37" i="75"/>
  <c r="DE37" i="75"/>
  <c r="DB37" i="75"/>
  <c r="CY37" i="75"/>
  <c r="CV37" i="75"/>
  <c r="CS37" i="75"/>
  <c r="CP37" i="75"/>
  <c r="CM37" i="75"/>
  <c r="CJ37" i="75"/>
  <c r="CG37" i="75"/>
  <c r="CD37" i="75"/>
  <c r="CA37" i="75"/>
  <c r="BX37" i="75"/>
  <c r="BU37" i="75"/>
  <c r="BR37" i="75"/>
  <c r="BO37" i="75"/>
  <c r="BL37" i="75"/>
  <c r="BI37" i="75"/>
  <c r="BF37" i="75"/>
  <c r="BA37" i="75"/>
  <c r="BC37" i="75" s="1"/>
  <c r="AX37" i="75"/>
  <c r="AZ37" i="75" s="1"/>
  <c r="AU37" i="75"/>
  <c r="AW37" i="75" s="1"/>
  <c r="AT37" i="75"/>
  <c r="AR37" i="75"/>
  <c r="AQ37" i="75"/>
  <c r="AO37" i="75"/>
  <c r="AN37" i="75"/>
  <c r="AI37" i="75"/>
  <c r="AK37" i="75" s="1"/>
  <c r="AB37" i="75"/>
  <c r="Y37" i="75"/>
  <c r="V37" i="75"/>
  <c r="S37" i="75"/>
  <c r="EH37" i="75" s="1"/>
  <c r="P37" i="75"/>
  <c r="M37" i="75"/>
  <c r="J37" i="75"/>
  <c r="G37" i="75"/>
  <c r="EL36" i="75"/>
  <c r="EK36" i="75"/>
  <c r="EI36" i="75"/>
  <c r="EG36" i="75"/>
  <c r="EB36" i="75"/>
  <c r="DW36" i="75"/>
  <c r="DT36" i="75"/>
  <c r="DQ36" i="75"/>
  <c r="DN36" i="75"/>
  <c r="DK36" i="75"/>
  <c r="DH36" i="75"/>
  <c r="DE36" i="75"/>
  <c r="DB36" i="75"/>
  <c r="CY36" i="75"/>
  <c r="CV36" i="75"/>
  <c r="CS36" i="75"/>
  <c r="CP36" i="75"/>
  <c r="CM36" i="75"/>
  <c r="CJ36" i="75"/>
  <c r="CG36" i="75"/>
  <c r="CD36" i="75"/>
  <c r="CA36" i="75"/>
  <c r="BX36" i="75"/>
  <c r="BU36" i="75"/>
  <c r="BR36" i="75"/>
  <c r="BO36" i="75"/>
  <c r="BL36" i="75"/>
  <c r="BI36" i="75"/>
  <c r="BF36" i="75"/>
  <c r="BC36" i="75"/>
  <c r="AZ36" i="75"/>
  <c r="AX36" i="75"/>
  <c r="AU36" i="75"/>
  <c r="AW36" i="75" s="1"/>
  <c r="AR36" i="75"/>
  <c r="AT36" i="75" s="1"/>
  <c r="AO36" i="75"/>
  <c r="AQ36" i="75" s="1"/>
  <c r="AN36" i="75"/>
  <c r="AI36" i="75"/>
  <c r="AK36" i="75" s="1"/>
  <c r="AB36" i="75"/>
  <c r="Y36" i="75"/>
  <c r="V36" i="75"/>
  <c r="S36" i="75"/>
  <c r="P36" i="75"/>
  <c r="M36" i="75"/>
  <c r="J36" i="75"/>
  <c r="G36" i="75"/>
  <c r="D36" i="75"/>
  <c r="EL35" i="75"/>
  <c r="EI35" i="75"/>
  <c r="EG35" i="75"/>
  <c r="DW35" i="75"/>
  <c r="DT35" i="75"/>
  <c r="DQ35" i="75"/>
  <c r="DN35" i="75"/>
  <c r="DK35" i="75"/>
  <c r="DH35" i="75"/>
  <c r="DE35" i="75"/>
  <c r="DB35" i="75"/>
  <c r="CY35" i="75"/>
  <c r="CV35" i="75"/>
  <c r="CS35" i="75"/>
  <c r="CP35" i="75"/>
  <c r="CM35" i="75"/>
  <c r="CJ35" i="75"/>
  <c r="CG35" i="75"/>
  <c r="CD35" i="75"/>
  <c r="CA35" i="75"/>
  <c r="BX35" i="75"/>
  <c r="BU35" i="75"/>
  <c r="BR35" i="75"/>
  <c r="BO35" i="75"/>
  <c r="BL35" i="75"/>
  <c r="BI35" i="75"/>
  <c r="BF35" i="75"/>
  <c r="BC35" i="75"/>
  <c r="AX35" i="75"/>
  <c r="EK35" i="75" s="1"/>
  <c r="AW35" i="75"/>
  <c r="AU35" i="75"/>
  <c r="AT35" i="75"/>
  <c r="AR35" i="75"/>
  <c r="AO35" i="75"/>
  <c r="AQ35" i="75" s="1"/>
  <c r="AN35" i="75"/>
  <c r="AI35" i="75"/>
  <c r="AK35" i="75" s="1"/>
  <c r="AB35" i="75"/>
  <c r="Y35" i="75"/>
  <c r="V35" i="75"/>
  <c r="S35" i="75"/>
  <c r="EH35" i="75" s="1"/>
  <c r="P35" i="75"/>
  <c r="M35" i="75"/>
  <c r="J35" i="75"/>
  <c r="G35" i="75"/>
  <c r="D35" i="75"/>
  <c r="EL34" i="75"/>
  <c r="EG34" i="75"/>
  <c r="EI34" i="75" s="1"/>
  <c r="DW34" i="75"/>
  <c r="DT34" i="75"/>
  <c r="DQ34" i="75"/>
  <c r="DN34" i="75"/>
  <c r="DK34" i="75"/>
  <c r="DH34" i="75"/>
  <c r="DE34" i="75"/>
  <c r="DB34" i="75"/>
  <c r="CY34" i="75"/>
  <c r="CV34" i="75"/>
  <c r="CS34" i="75"/>
  <c r="CP34" i="75"/>
  <c r="CM34" i="75"/>
  <c r="CJ34" i="75"/>
  <c r="CG34" i="75"/>
  <c r="CD34" i="75"/>
  <c r="CA34" i="75"/>
  <c r="BX34" i="75"/>
  <c r="BU34" i="75"/>
  <c r="BR34" i="75"/>
  <c r="BO34" i="75"/>
  <c r="BL34" i="75"/>
  <c r="BI34" i="75"/>
  <c r="BF34" i="75"/>
  <c r="BC34" i="75"/>
  <c r="AX34" i="75"/>
  <c r="AU34" i="75"/>
  <c r="AW34" i="75" s="1"/>
  <c r="AR34" i="75"/>
  <c r="AT34" i="75" s="1"/>
  <c r="AO34" i="75"/>
  <c r="AQ34" i="75" s="1"/>
  <c r="AN34" i="75"/>
  <c r="AI34" i="75"/>
  <c r="AK34" i="75" s="1"/>
  <c r="AB34" i="75"/>
  <c r="Y34" i="75"/>
  <c r="V34" i="75"/>
  <c r="S34" i="75"/>
  <c r="P34" i="75"/>
  <c r="M34" i="75"/>
  <c r="J34" i="75"/>
  <c r="G34" i="75"/>
  <c r="EB34" i="75"/>
  <c r="EL33" i="75"/>
  <c r="EG33" i="75"/>
  <c r="EI33" i="75" s="1"/>
  <c r="DW33" i="75"/>
  <c r="DT33" i="75"/>
  <c r="DQ33" i="75"/>
  <c r="DN33" i="75"/>
  <c r="DK33" i="75"/>
  <c r="DH33" i="75"/>
  <c r="DE33" i="75"/>
  <c r="DB33" i="75"/>
  <c r="CY33" i="75"/>
  <c r="CV33" i="75"/>
  <c r="CS33" i="75"/>
  <c r="CP33" i="75"/>
  <c r="CM33" i="75"/>
  <c r="CJ33" i="75"/>
  <c r="CG33" i="75"/>
  <c r="CD33" i="75"/>
  <c r="CA33" i="75"/>
  <c r="BX33" i="75"/>
  <c r="BU33" i="75"/>
  <c r="BR33" i="75"/>
  <c r="BO33" i="75"/>
  <c r="BL33" i="75"/>
  <c r="BI33" i="75"/>
  <c r="BF33" i="75"/>
  <c r="BC33" i="75"/>
  <c r="AZ33" i="75"/>
  <c r="AX33" i="75"/>
  <c r="EK33" i="75" s="1"/>
  <c r="AW33" i="75"/>
  <c r="AU33" i="75"/>
  <c r="AR33" i="75"/>
  <c r="AT33" i="75" s="1"/>
  <c r="AO33" i="75"/>
  <c r="AQ33" i="75" s="1"/>
  <c r="AN33" i="75"/>
  <c r="AI33" i="75"/>
  <c r="AK33" i="75" s="1"/>
  <c r="EH33" i="75"/>
  <c r="AB33" i="75"/>
  <c r="Y33" i="75"/>
  <c r="V33" i="75"/>
  <c r="S33" i="75"/>
  <c r="P33" i="75"/>
  <c r="M33" i="75"/>
  <c r="J33" i="75"/>
  <c r="G33" i="75"/>
  <c r="D33" i="75"/>
  <c r="EL32" i="75"/>
  <c r="EG32" i="75"/>
  <c r="EI32" i="75" s="1"/>
  <c r="DW32" i="75"/>
  <c r="DT32" i="75"/>
  <c r="DQ32" i="75"/>
  <c r="DN32" i="75"/>
  <c r="DK32" i="75"/>
  <c r="DH32" i="75"/>
  <c r="DE32" i="75"/>
  <c r="DB32" i="75"/>
  <c r="CY32" i="75"/>
  <c r="CV32" i="75"/>
  <c r="CS32" i="75"/>
  <c r="CP32" i="75"/>
  <c r="CM32" i="75"/>
  <c r="CJ32" i="75"/>
  <c r="CG32" i="75"/>
  <c r="CD32" i="75"/>
  <c r="CA32" i="75"/>
  <c r="BX32" i="75"/>
  <c r="BU32" i="75"/>
  <c r="BR32" i="75"/>
  <c r="BO32" i="75"/>
  <c r="BL32" i="75"/>
  <c r="BI32" i="75"/>
  <c r="BF32" i="75"/>
  <c r="BC32" i="75"/>
  <c r="AX32" i="75"/>
  <c r="AZ32" i="75" s="1"/>
  <c r="AU32" i="75"/>
  <c r="AW32" i="75" s="1"/>
  <c r="AR32" i="75"/>
  <c r="AT32" i="75" s="1"/>
  <c r="AO32" i="75"/>
  <c r="AQ32" i="75" s="1"/>
  <c r="AN32" i="75"/>
  <c r="AI32" i="75"/>
  <c r="AK32" i="75" s="1"/>
  <c r="EH32" i="75"/>
  <c r="AB32" i="75"/>
  <c r="Y32" i="75"/>
  <c r="V32" i="75"/>
  <c r="S32" i="75"/>
  <c r="P32" i="75"/>
  <c r="M32" i="75"/>
  <c r="J32" i="75"/>
  <c r="G32" i="75"/>
  <c r="EB32" i="75"/>
  <c r="EL31" i="75"/>
  <c r="EH31" i="75"/>
  <c r="EG31" i="75"/>
  <c r="EI31" i="75" s="1"/>
  <c r="DW31" i="75"/>
  <c r="DT31" i="75"/>
  <c r="DQ31" i="75"/>
  <c r="DN31" i="75"/>
  <c r="DK31" i="75"/>
  <c r="DH31" i="75"/>
  <c r="DE31" i="75"/>
  <c r="DB31" i="75"/>
  <c r="CY31" i="75"/>
  <c r="CV31" i="75"/>
  <c r="CS31" i="75"/>
  <c r="CP31" i="75"/>
  <c r="CM31" i="75"/>
  <c r="CJ31" i="75"/>
  <c r="CG31" i="75"/>
  <c r="CD31" i="75"/>
  <c r="CA31" i="75"/>
  <c r="BX31" i="75"/>
  <c r="BU31" i="75"/>
  <c r="BR31" i="75"/>
  <c r="BO31" i="75"/>
  <c r="BL31" i="75"/>
  <c r="BI31" i="75"/>
  <c r="BF31" i="75"/>
  <c r="BC31" i="75"/>
  <c r="AZ31" i="75"/>
  <c r="AX31" i="75"/>
  <c r="AU31" i="75"/>
  <c r="AR31" i="75"/>
  <c r="AQ31" i="75"/>
  <c r="AO31" i="75"/>
  <c r="AN31" i="75"/>
  <c r="AI31" i="75"/>
  <c r="AK31" i="75" s="1"/>
  <c r="AB31" i="75"/>
  <c r="Y31" i="75"/>
  <c r="V31" i="75"/>
  <c r="S31" i="75"/>
  <c r="P31" i="75"/>
  <c r="M31" i="75"/>
  <c r="J31" i="75"/>
  <c r="G31" i="75"/>
  <c r="D31" i="75"/>
  <c r="EL30" i="75"/>
  <c r="EH30" i="75"/>
  <c r="EG30" i="75"/>
  <c r="EI30" i="75" s="1"/>
  <c r="DW30" i="75"/>
  <c r="DT30" i="75"/>
  <c r="DQ30" i="75"/>
  <c r="DN30" i="75"/>
  <c r="DK30" i="75"/>
  <c r="DH30" i="75"/>
  <c r="DE30" i="75"/>
  <c r="DB30" i="75"/>
  <c r="CY30" i="75"/>
  <c r="CV30" i="75"/>
  <c r="CS30" i="75"/>
  <c r="CP30" i="75"/>
  <c r="CM30" i="75"/>
  <c r="CJ30" i="75"/>
  <c r="CG30" i="75"/>
  <c r="CD30" i="75"/>
  <c r="CA30" i="75"/>
  <c r="BX30" i="75"/>
  <c r="BU30" i="75"/>
  <c r="BR30" i="75"/>
  <c r="BO30" i="75"/>
  <c r="BL30" i="75"/>
  <c r="BI30" i="75"/>
  <c r="BF30" i="75"/>
  <c r="BC30" i="75"/>
  <c r="AX30" i="75"/>
  <c r="AZ30" i="75" s="1"/>
  <c r="AU30" i="75"/>
  <c r="AW30" i="75" s="1"/>
  <c r="AR30" i="75"/>
  <c r="AT30" i="75" s="1"/>
  <c r="AO30" i="75"/>
  <c r="AQ30" i="75" s="1"/>
  <c r="AN30" i="75"/>
  <c r="AK30" i="75"/>
  <c r="AI30" i="75"/>
  <c r="AB30" i="75"/>
  <c r="Y30" i="75"/>
  <c r="V30" i="75"/>
  <c r="S30" i="75"/>
  <c r="P30" i="75"/>
  <c r="M30" i="75"/>
  <c r="J30" i="75"/>
  <c r="G30" i="75"/>
  <c r="D30" i="75"/>
  <c r="ED30" i="75" s="1"/>
  <c r="EB30" i="75"/>
  <c r="EE30" i="75" s="1"/>
  <c r="EL29" i="75"/>
  <c r="EG29" i="75"/>
  <c r="EI29" i="75" s="1"/>
  <c r="DW29" i="75"/>
  <c r="DT29" i="75"/>
  <c r="DQ29" i="75"/>
  <c r="DN29" i="75"/>
  <c r="DK29" i="75"/>
  <c r="DH29" i="75"/>
  <c r="DE29" i="75"/>
  <c r="DB29" i="75"/>
  <c r="CY29" i="75"/>
  <c r="CV29" i="75"/>
  <c r="CS29" i="75"/>
  <c r="CP29" i="75"/>
  <c r="CM29" i="75"/>
  <c r="CJ29" i="75"/>
  <c r="CG29" i="75"/>
  <c r="CD29" i="75"/>
  <c r="CA29" i="75"/>
  <c r="BX29" i="75"/>
  <c r="BU29" i="75"/>
  <c r="BR29" i="75"/>
  <c r="BO29" i="75"/>
  <c r="BL29" i="75"/>
  <c r="BI29" i="75"/>
  <c r="BF29" i="75"/>
  <c r="BC29" i="75"/>
  <c r="AX29" i="75"/>
  <c r="AZ29" i="75" s="1"/>
  <c r="AU29" i="75"/>
  <c r="AR29" i="75"/>
  <c r="AT29" i="75" s="1"/>
  <c r="AQ29" i="75"/>
  <c r="AO29" i="75"/>
  <c r="AN29" i="75"/>
  <c r="AI29" i="75"/>
  <c r="AK29" i="75" s="1"/>
  <c r="AB29" i="75"/>
  <c r="Y29" i="75"/>
  <c r="V29" i="75"/>
  <c r="S29" i="75"/>
  <c r="EH29" i="75" s="1"/>
  <c r="P29" i="75"/>
  <c r="M29" i="75"/>
  <c r="J29" i="75"/>
  <c r="J42" i="75" s="1"/>
  <c r="G29" i="75"/>
  <c r="D29" i="75"/>
  <c r="EL28" i="75"/>
  <c r="EG28" i="75"/>
  <c r="EI28" i="75" s="1"/>
  <c r="DW28" i="75"/>
  <c r="DT28" i="75"/>
  <c r="DQ28" i="75"/>
  <c r="DN28" i="75"/>
  <c r="DK28" i="75"/>
  <c r="DH28" i="75"/>
  <c r="DE28" i="75"/>
  <c r="DB28" i="75"/>
  <c r="CY28" i="75"/>
  <c r="CV28" i="75"/>
  <c r="CS28" i="75"/>
  <c r="CP28" i="75"/>
  <c r="CM28" i="75"/>
  <c r="CJ28" i="75"/>
  <c r="CG28" i="75"/>
  <c r="CD28" i="75"/>
  <c r="CA28" i="75"/>
  <c r="BX28" i="75"/>
  <c r="BU28" i="75"/>
  <c r="BR28" i="75"/>
  <c r="BO28" i="75"/>
  <c r="BL28" i="75"/>
  <c r="BI28" i="75"/>
  <c r="BF28" i="75"/>
  <c r="BC28" i="75"/>
  <c r="AX28" i="75"/>
  <c r="AZ28" i="75" s="1"/>
  <c r="AW28" i="75"/>
  <c r="AU28" i="75"/>
  <c r="AT28" i="75"/>
  <c r="AR28" i="75"/>
  <c r="AO28" i="75"/>
  <c r="AQ28" i="75" s="1"/>
  <c r="AN28" i="75"/>
  <c r="AK28" i="75"/>
  <c r="AI28" i="75"/>
  <c r="AB28" i="75"/>
  <c r="Y28" i="75"/>
  <c r="EH28" i="75" s="1"/>
  <c r="V28" i="75"/>
  <c r="S28" i="75"/>
  <c r="P28" i="75"/>
  <c r="M28" i="75"/>
  <c r="J28" i="75"/>
  <c r="G28" i="75"/>
  <c r="D28" i="75"/>
  <c r="EB28" i="75"/>
  <c r="EL27" i="75"/>
  <c r="EG27" i="75"/>
  <c r="EI27" i="75" s="1"/>
  <c r="DW27" i="75"/>
  <c r="DT27" i="75"/>
  <c r="DQ27" i="75"/>
  <c r="DN27" i="75"/>
  <c r="DK27" i="75"/>
  <c r="DH27" i="75"/>
  <c r="DE27" i="75"/>
  <c r="DB27" i="75"/>
  <c r="CY27" i="75"/>
  <c r="CV27" i="75"/>
  <c r="CS27" i="75"/>
  <c r="CP27" i="75"/>
  <c r="CM27" i="75"/>
  <c r="CJ27" i="75"/>
  <c r="CG27" i="75"/>
  <c r="CD27" i="75"/>
  <c r="CA27" i="75"/>
  <c r="BX27" i="75"/>
  <c r="BU27" i="75"/>
  <c r="BR27" i="75"/>
  <c r="BO27" i="75"/>
  <c r="BL27" i="75"/>
  <c r="BI27" i="75"/>
  <c r="BF27" i="75"/>
  <c r="BC27" i="75"/>
  <c r="AX27" i="75"/>
  <c r="AU27" i="75"/>
  <c r="AW27" i="75" s="1"/>
  <c r="AR27" i="75"/>
  <c r="AT27" i="75" s="1"/>
  <c r="AQ27" i="75"/>
  <c r="AO27" i="75"/>
  <c r="AN27" i="75"/>
  <c r="AL27" i="75"/>
  <c r="AK27" i="75"/>
  <c r="AB27" i="75"/>
  <c r="Y27" i="75"/>
  <c r="V27" i="75"/>
  <c r="S27" i="75"/>
  <c r="EH27" i="75" s="1"/>
  <c r="P27" i="75"/>
  <c r="M27" i="75"/>
  <c r="J27" i="75"/>
  <c r="G27" i="75"/>
  <c r="D27" i="75"/>
  <c r="EL26" i="75"/>
  <c r="EK26" i="75"/>
  <c r="EI26" i="75"/>
  <c r="EH26" i="75"/>
  <c r="EG26" i="75"/>
  <c r="DW26" i="75"/>
  <c r="DT26" i="75"/>
  <c r="DQ26" i="75"/>
  <c r="DN26" i="75"/>
  <c r="DK26" i="75"/>
  <c r="DH26" i="75"/>
  <c r="DE26" i="75"/>
  <c r="DB26" i="75"/>
  <c r="CY26" i="75"/>
  <c r="CV26" i="75"/>
  <c r="CS26" i="75"/>
  <c r="CP26" i="75"/>
  <c r="CM26" i="75"/>
  <c r="CJ26" i="75"/>
  <c r="CG26" i="75"/>
  <c r="CD26" i="75"/>
  <c r="CA26" i="75"/>
  <c r="BX26" i="75"/>
  <c r="BU26" i="75"/>
  <c r="BR26" i="75"/>
  <c r="BO26" i="75"/>
  <c r="BL26" i="75"/>
  <c r="BI26" i="75"/>
  <c r="BF26" i="75"/>
  <c r="BC26" i="75"/>
  <c r="AZ26" i="75"/>
  <c r="AX26" i="75"/>
  <c r="AU26" i="75"/>
  <c r="AW26" i="75" s="1"/>
  <c r="AR26" i="75"/>
  <c r="AT26" i="75" s="1"/>
  <c r="AQ26" i="75"/>
  <c r="AN26" i="75"/>
  <c r="AL26" i="75"/>
  <c r="AI26" i="75"/>
  <c r="AK26" i="75" s="1"/>
  <c r="AB26" i="75"/>
  <c r="Y26" i="75"/>
  <c r="V26" i="75"/>
  <c r="S26" i="75"/>
  <c r="P26" i="75"/>
  <c r="M26" i="75"/>
  <c r="J26" i="75"/>
  <c r="G26" i="75"/>
  <c r="EL25" i="75"/>
  <c r="EI25" i="75"/>
  <c r="EG25" i="75"/>
  <c r="DW25" i="75"/>
  <c r="DT25" i="75"/>
  <c r="DQ25" i="75"/>
  <c r="DN25" i="75"/>
  <c r="DK25" i="75"/>
  <c r="DH25" i="75"/>
  <c r="DE25" i="75"/>
  <c r="DB25" i="75"/>
  <c r="CY25" i="75"/>
  <c r="CV25" i="75"/>
  <c r="CS25" i="75"/>
  <c r="CP25" i="75"/>
  <c r="CM25" i="75"/>
  <c r="CJ25" i="75"/>
  <c r="CG25" i="75"/>
  <c r="CD25" i="75"/>
  <c r="CA25" i="75"/>
  <c r="BX25" i="75"/>
  <c r="BU25" i="75"/>
  <c r="BR25" i="75"/>
  <c r="BO25" i="75"/>
  <c r="BL25" i="75"/>
  <c r="BI25" i="75"/>
  <c r="BF25" i="75"/>
  <c r="BC25" i="75"/>
  <c r="AZ25" i="75"/>
  <c r="AX25" i="75"/>
  <c r="AU25" i="75"/>
  <c r="AW25" i="75" s="1"/>
  <c r="AT25" i="75"/>
  <c r="AR25" i="75"/>
  <c r="AQ25" i="75"/>
  <c r="AL25" i="75"/>
  <c r="AN25" i="75" s="1"/>
  <c r="AI25" i="75"/>
  <c r="AK25" i="75" s="1"/>
  <c r="AB25" i="75"/>
  <c r="Y25" i="75"/>
  <c r="V25" i="75"/>
  <c r="S25" i="75"/>
  <c r="P25" i="75"/>
  <c r="M25" i="75"/>
  <c r="J25" i="75"/>
  <c r="G25" i="75"/>
  <c r="D25" i="75"/>
  <c r="EL24" i="75"/>
  <c r="EK24" i="75"/>
  <c r="EI24" i="75"/>
  <c r="EG24" i="75"/>
  <c r="DW24" i="75"/>
  <c r="DT24" i="75"/>
  <c r="DQ24" i="75"/>
  <c r="DN24" i="75"/>
  <c r="DK24" i="75"/>
  <c r="DH24" i="75"/>
  <c r="DE24" i="75"/>
  <c r="DB24" i="75"/>
  <c r="CY24" i="75"/>
  <c r="CV24" i="75"/>
  <c r="CS24" i="75"/>
  <c r="CP24" i="75"/>
  <c r="CM24" i="75"/>
  <c r="CJ24" i="75"/>
  <c r="CG24" i="75"/>
  <c r="CD24" i="75"/>
  <c r="CA24" i="75"/>
  <c r="BX24" i="75"/>
  <c r="BU24" i="75"/>
  <c r="BR24" i="75"/>
  <c r="BO24" i="75"/>
  <c r="BL24" i="75"/>
  <c r="BI24" i="75"/>
  <c r="BF24" i="75"/>
  <c r="BC24" i="75"/>
  <c r="AX24" i="75"/>
  <c r="AZ24" i="75" s="1"/>
  <c r="AU24" i="75"/>
  <c r="AW24" i="75" s="1"/>
  <c r="AR24" i="75"/>
  <c r="AT24" i="75" s="1"/>
  <c r="AQ24" i="75"/>
  <c r="AL24" i="75"/>
  <c r="AN24" i="75" s="1"/>
  <c r="AI24" i="75"/>
  <c r="AK24" i="75" s="1"/>
  <c r="AB24" i="75"/>
  <c r="Y24" i="75"/>
  <c r="V24" i="75"/>
  <c r="EH24" i="75" s="1"/>
  <c r="S24" i="75"/>
  <c r="P24" i="75"/>
  <c r="M24" i="75"/>
  <c r="J24" i="75"/>
  <c r="G24" i="75"/>
  <c r="D24" i="75"/>
  <c r="EB24" i="75"/>
  <c r="EL23" i="75"/>
  <c r="EI23" i="75"/>
  <c r="EG23" i="75"/>
  <c r="DW23" i="75"/>
  <c r="DT23" i="75"/>
  <c r="DQ23" i="75"/>
  <c r="DN23" i="75"/>
  <c r="DK23" i="75"/>
  <c r="DH23" i="75"/>
  <c r="DE23" i="75"/>
  <c r="DB23" i="75"/>
  <c r="CY23" i="75"/>
  <c r="CV23" i="75"/>
  <c r="CS23" i="75"/>
  <c r="CP23" i="75"/>
  <c r="CM23" i="75"/>
  <c r="CJ23" i="75"/>
  <c r="CG23" i="75"/>
  <c r="CD23" i="75"/>
  <c r="CA23" i="75"/>
  <c r="BX23" i="75"/>
  <c r="BU23" i="75"/>
  <c r="BR23" i="75"/>
  <c r="BO23" i="75"/>
  <c r="BL23" i="75"/>
  <c r="BI23" i="75"/>
  <c r="BF23" i="75"/>
  <c r="BC23" i="75"/>
  <c r="AZ23" i="75"/>
  <c r="AX23" i="75"/>
  <c r="AW23" i="75"/>
  <c r="AU23" i="75"/>
  <c r="AT23" i="75"/>
  <c r="AR23" i="75"/>
  <c r="AO23" i="75"/>
  <c r="AQ23" i="75" s="1"/>
  <c r="AL23" i="75"/>
  <c r="AN23" i="75" s="1"/>
  <c r="AK23" i="75"/>
  <c r="AB23" i="75"/>
  <c r="Y23" i="75"/>
  <c r="V23" i="75"/>
  <c r="S23" i="75"/>
  <c r="P23" i="75"/>
  <c r="M23" i="75"/>
  <c r="J23" i="75"/>
  <c r="G23" i="75"/>
  <c r="EB23" i="75"/>
  <c r="EL22" i="75"/>
  <c r="EG22" i="75"/>
  <c r="EI22" i="75" s="1"/>
  <c r="DW22" i="75"/>
  <c r="DT22" i="75"/>
  <c r="DQ22" i="75"/>
  <c r="DN22" i="75"/>
  <c r="DK22" i="75"/>
  <c r="DH22" i="75"/>
  <c r="DE22" i="75"/>
  <c r="DB22" i="75"/>
  <c r="CY22" i="75"/>
  <c r="CV22" i="75"/>
  <c r="CS22" i="75"/>
  <c r="CP22" i="75"/>
  <c r="CM22" i="75"/>
  <c r="CJ22" i="75"/>
  <c r="CG22" i="75"/>
  <c r="CD22" i="75"/>
  <c r="CA22" i="75"/>
  <c r="BX22" i="75"/>
  <c r="BU22" i="75"/>
  <c r="BR22" i="75"/>
  <c r="BO22" i="75"/>
  <c r="BL22" i="75"/>
  <c r="BI22" i="75"/>
  <c r="BF22" i="75"/>
  <c r="BC22" i="75"/>
  <c r="AX22" i="75"/>
  <c r="EK22" i="75" s="1"/>
  <c r="AU22" i="75"/>
  <c r="AW22" i="75" s="1"/>
  <c r="AR22" i="75"/>
  <c r="AT22" i="75" s="1"/>
  <c r="AO22" i="75"/>
  <c r="AQ22" i="75" s="1"/>
  <c r="AN22" i="75"/>
  <c r="AL22" i="75"/>
  <c r="AK22" i="75"/>
  <c r="AB22" i="75"/>
  <c r="Y22" i="75"/>
  <c r="V22" i="75"/>
  <c r="S22" i="75"/>
  <c r="EH22" i="75" s="1"/>
  <c r="P22" i="75"/>
  <c r="M22" i="75"/>
  <c r="J22" i="75"/>
  <c r="G22" i="75"/>
  <c r="D22" i="75"/>
  <c r="EL21" i="75"/>
  <c r="EG21" i="75"/>
  <c r="EI21" i="75" s="1"/>
  <c r="DW21" i="75"/>
  <c r="DT21" i="75"/>
  <c r="DQ21" i="75"/>
  <c r="DN21" i="75"/>
  <c r="DK21" i="75"/>
  <c r="DH21" i="75"/>
  <c r="DE21" i="75"/>
  <c r="DB21" i="75"/>
  <c r="CY21" i="75"/>
  <c r="CV21" i="75"/>
  <c r="CS21" i="75"/>
  <c r="CP21" i="75"/>
  <c r="CM21" i="75"/>
  <c r="CJ21" i="75"/>
  <c r="CG21" i="75"/>
  <c r="CD21" i="75"/>
  <c r="CA21" i="75"/>
  <c r="BX21" i="75"/>
  <c r="BU21" i="75"/>
  <c r="BR21" i="75"/>
  <c r="BO21" i="75"/>
  <c r="BL21" i="75"/>
  <c r="BI21" i="75"/>
  <c r="BF21" i="75"/>
  <c r="BC21" i="75"/>
  <c r="AZ21" i="75"/>
  <c r="AX21" i="75"/>
  <c r="AW21" i="75"/>
  <c r="AU21" i="75"/>
  <c r="AR21" i="75"/>
  <c r="AT21" i="75" s="1"/>
  <c r="AO21" i="75"/>
  <c r="AQ21" i="75" s="1"/>
  <c r="AL21" i="75"/>
  <c r="AN21" i="75" s="1"/>
  <c r="ED21" i="75" s="1"/>
  <c r="AK21" i="75"/>
  <c r="AI21" i="75"/>
  <c r="AB21" i="75"/>
  <c r="Y21" i="75"/>
  <c r="V21" i="75"/>
  <c r="S21" i="75"/>
  <c r="EH21" i="75" s="1"/>
  <c r="P21" i="75"/>
  <c r="M21" i="75"/>
  <c r="J21" i="75"/>
  <c r="G21" i="75"/>
  <c r="D21" i="75"/>
  <c r="EB21" i="75"/>
  <c r="EE21" i="75" s="1"/>
  <c r="EL20" i="75"/>
  <c r="EI20" i="75"/>
  <c r="EH20" i="75"/>
  <c r="EG20" i="75"/>
  <c r="EB20" i="75"/>
  <c r="DW20" i="75"/>
  <c r="DT20" i="75"/>
  <c r="DQ20" i="75"/>
  <c r="DN20" i="75"/>
  <c r="DK20" i="75"/>
  <c r="DH20" i="75"/>
  <c r="DE20" i="75"/>
  <c r="DB20" i="75"/>
  <c r="CY20" i="75"/>
  <c r="CV20" i="75"/>
  <c r="CS20" i="75"/>
  <c r="CP20" i="75"/>
  <c r="CM20" i="75"/>
  <c r="CJ20" i="75"/>
  <c r="CG20" i="75"/>
  <c r="CD20" i="75"/>
  <c r="CA20" i="75"/>
  <c r="BX20" i="75"/>
  <c r="BU20" i="75"/>
  <c r="BR20" i="75"/>
  <c r="BO20" i="75"/>
  <c r="BL20" i="75"/>
  <c r="BI20" i="75"/>
  <c r="BF20" i="75"/>
  <c r="BC20" i="75"/>
  <c r="AZ20" i="75"/>
  <c r="AX20" i="75"/>
  <c r="AU20" i="75"/>
  <c r="AW20" i="75" s="1"/>
  <c r="AR20" i="75"/>
  <c r="AT20" i="75" s="1"/>
  <c r="AQ20" i="75"/>
  <c r="AO20" i="75"/>
  <c r="AL20" i="75"/>
  <c r="AN20" i="75" s="1"/>
  <c r="AK20" i="75"/>
  <c r="AB20" i="75"/>
  <c r="Y20" i="75"/>
  <c r="V20" i="75"/>
  <c r="S20" i="75"/>
  <c r="P20" i="75"/>
  <c r="M20" i="75"/>
  <c r="J20" i="75"/>
  <c r="G20" i="75"/>
  <c r="D20" i="75"/>
  <c r="EL19" i="75"/>
  <c r="EK19" i="75"/>
  <c r="EI19" i="75"/>
  <c r="EG19" i="75"/>
  <c r="DW19" i="75"/>
  <c r="DT19" i="75"/>
  <c r="DQ19" i="75"/>
  <c r="DN19" i="75"/>
  <c r="DK19" i="75"/>
  <c r="DH19" i="75"/>
  <c r="DE19" i="75"/>
  <c r="DB19" i="75"/>
  <c r="CY19" i="75"/>
  <c r="CV19" i="75"/>
  <c r="CS19" i="75"/>
  <c r="CP19" i="75"/>
  <c r="CM19" i="75"/>
  <c r="CJ19" i="75"/>
  <c r="CG19" i="75"/>
  <c r="CD19" i="75"/>
  <c r="CA19" i="75"/>
  <c r="BX19" i="75"/>
  <c r="BU19" i="75"/>
  <c r="BR19" i="75"/>
  <c r="BO19" i="75"/>
  <c r="BL19" i="75"/>
  <c r="BI19" i="75"/>
  <c r="BF19" i="75"/>
  <c r="BC19" i="75"/>
  <c r="AX19" i="75"/>
  <c r="AZ19" i="75" s="1"/>
  <c r="AU19" i="75"/>
  <c r="AW19" i="75" s="1"/>
  <c r="AR19" i="75"/>
  <c r="AT19" i="75" s="1"/>
  <c r="AQ19" i="75"/>
  <c r="AO19" i="75"/>
  <c r="AN19" i="75"/>
  <c r="AL19" i="75"/>
  <c r="AI19" i="75"/>
  <c r="AK19" i="75" s="1"/>
  <c r="AB19" i="75"/>
  <c r="Y19" i="75"/>
  <c r="V19" i="75"/>
  <c r="S19" i="75"/>
  <c r="EH19" i="75" s="1"/>
  <c r="P19" i="75"/>
  <c r="M19" i="75"/>
  <c r="J19" i="75"/>
  <c r="G19" i="75"/>
  <c r="D19" i="75"/>
  <c r="EL18" i="75"/>
  <c r="EG18" i="75"/>
  <c r="EI18" i="75" s="1"/>
  <c r="DW18" i="75"/>
  <c r="DT18" i="75"/>
  <c r="DQ18" i="75"/>
  <c r="DN18" i="75"/>
  <c r="DK18" i="75"/>
  <c r="DH18" i="75"/>
  <c r="DE18" i="75"/>
  <c r="DB18" i="75"/>
  <c r="CY18" i="75"/>
  <c r="CV18" i="75"/>
  <c r="CS18" i="75"/>
  <c r="CP18" i="75"/>
  <c r="CM18" i="75"/>
  <c r="CJ18" i="75"/>
  <c r="CG18" i="75"/>
  <c r="CD18" i="75"/>
  <c r="CA18" i="75"/>
  <c r="BX18" i="75"/>
  <c r="BU18" i="75"/>
  <c r="BR18" i="75"/>
  <c r="BO18" i="75"/>
  <c r="BL18" i="75"/>
  <c r="BI18" i="75"/>
  <c r="BF18" i="75"/>
  <c r="BC18" i="75"/>
  <c r="AX18" i="75"/>
  <c r="AZ18" i="75" s="1"/>
  <c r="AW18" i="75"/>
  <c r="AU18" i="75"/>
  <c r="AR18" i="75"/>
  <c r="AT18" i="75" s="1"/>
  <c r="AO18" i="75"/>
  <c r="AQ18" i="75" s="1"/>
  <c r="AL18" i="75"/>
  <c r="AN18" i="75" s="1"/>
  <c r="AI18" i="75"/>
  <c r="AK18" i="75" s="1"/>
  <c r="EH18" i="75"/>
  <c r="AB18" i="75"/>
  <c r="Y18" i="75"/>
  <c r="V18" i="75"/>
  <c r="S18" i="75"/>
  <c r="P18" i="75"/>
  <c r="M18" i="75"/>
  <c r="J18" i="75"/>
  <c r="G18" i="75"/>
  <c r="EB18" i="75"/>
  <c r="EL17" i="75"/>
  <c r="EI17" i="75"/>
  <c r="EG17" i="75"/>
  <c r="DW17" i="75"/>
  <c r="DT17" i="75"/>
  <c r="DQ17" i="75"/>
  <c r="DN17" i="75"/>
  <c r="DK17" i="75"/>
  <c r="DH17" i="75"/>
  <c r="DH42" i="75" s="1"/>
  <c r="DE17" i="75"/>
  <c r="DE42" i="75" s="1"/>
  <c r="DB17" i="75"/>
  <c r="CY17" i="75"/>
  <c r="CV17" i="75"/>
  <c r="CS17" i="75"/>
  <c r="CP17" i="75"/>
  <c r="CM17" i="75"/>
  <c r="CJ17" i="75"/>
  <c r="CG17" i="75"/>
  <c r="CD17" i="75"/>
  <c r="CA17" i="75"/>
  <c r="BX17" i="75"/>
  <c r="BX42" i="75" s="1"/>
  <c r="BU17" i="75"/>
  <c r="BU42" i="75" s="1"/>
  <c r="BR17" i="75"/>
  <c r="BO17" i="75"/>
  <c r="BL17" i="75"/>
  <c r="BI17" i="75"/>
  <c r="BF17" i="75"/>
  <c r="BC17" i="75"/>
  <c r="AX17" i="75"/>
  <c r="AU17" i="75"/>
  <c r="AW17" i="75" s="1"/>
  <c r="AR17" i="75"/>
  <c r="AT17" i="75" s="1"/>
  <c r="AO17" i="75"/>
  <c r="AQ17" i="75" s="1"/>
  <c r="AL17" i="75"/>
  <c r="AN17" i="75" s="1"/>
  <c r="AI17" i="75"/>
  <c r="AK17" i="75" s="1"/>
  <c r="AB17" i="75"/>
  <c r="Y17" i="75"/>
  <c r="V17" i="75"/>
  <c r="S17" i="75"/>
  <c r="EH17" i="75" s="1"/>
  <c r="P17" i="75"/>
  <c r="M17" i="75"/>
  <c r="J17" i="75"/>
  <c r="G17" i="75"/>
  <c r="EL16" i="75"/>
  <c r="EI16" i="75"/>
  <c r="EG16" i="75"/>
  <c r="EB16" i="75"/>
  <c r="DW16" i="75"/>
  <c r="DT16" i="75"/>
  <c r="DQ16" i="75"/>
  <c r="DN16" i="75"/>
  <c r="DN42" i="75" s="1"/>
  <c r="DK16" i="75"/>
  <c r="DH16" i="75"/>
  <c r="DE16" i="75"/>
  <c r="DB16" i="75"/>
  <c r="CY16" i="75"/>
  <c r="CV16" i="75"/>
  <c r="CS16" i="75"/>
  <c r="CP16" i="75"/>
  <c r="CM16" i="75"/>
  <c r="CJ16" i="75"/>
  <c r="CG16" i="75"/>
  <c r="CD16" i="75"/>
  <c r="CD42" i="75" s="1"/>
  <c r="CA16" i="75"/>
  <c r="BX16" i="75"/>
  <c r="BU16" i="75"/>
  <c r="BR16" i="75"/>
  <c r="BO16" i="75"/>
  <c r="BL16" i="75"/>
  <c r="BI16" i="75"/>
  <c r="BF16" i="75"/>
  <c r="BC16" i="75"/>
  <c r="AZ16" i="75"/>
  <c r="AX16" i="75"/>
  <c r="AU16" i="75"/>
  <c r="AW16" i="75" s="1"/>
  <c r="AR16" i="75"/>
  <c r="AT16" i="75" s="1"/>
  <c r="AO16" i="75"/>
  <c r="AQ16" i="75" s="1"/>
  <c r="AL16" i="75"/>
  <c r="AN16" i="75" s="1"/>
  <c r="AI16" i="75"/>
  <c r="AK16" i="75" s="1"/>
  <c r="AB16" i="75"/>
  <c r="Y16" i="75"/>
  <c r="V16" i="75"/>
  <c r="S16" i="75"/>
  <c r="P16" i="75"/>
  <c r="M16" i="75"/>
  <c r="J16" i="75"/>
  <c r="G16" i="75"/>
  <c r="D16" i="75"/>
  <c r="ED16" i="75" s="1"/>
  <c r="EL15" i="75"/>
  <c r="EG15" i="75"/>
  <c r="EI15" i="75" s="1"/>
  <c r="DW15" i="75"/>
  <c r="DT15" i="75"/>
  <c r="DQ15" i="75"/>
  <c r="DN15" i="75"/>
  <c r="DK15" i="75"/>
  <c r="DH15" i="75"/>
  <c r="DE15" i="75"/>
  <c r="DB15" i="75"/>
  <c r="CY15" i="75"/>
  <c r="CV15" i="75"/>
  <c r="CS15" i="75"/>
  <c r="CP15" i="75"/>
  <c r="CM15" i="75"/>
  <c r="CJ15" i="75"/>
  <c r="CG15" i="75"/>
  <c r="CD15" i="75"/>
  <c r="CA15" i="75"/>
  <c r="BX15" i="75"/>
  <c r="BU15" i="75"/>
  <c r="BR15" i="75"/>
  <c r="BO15" i="75"/>
  <c r="BL15" i="75"/>
  <c r="BI15" i="75"/>
  <c r="BF15" i="75"/>
  <c r="BC15" i="75"/>
  <c r="AX15" i="75"/>
  <c r="EK15" i="75" s="1"/>
  <c r="AW15" i="75"/>
  <c r="AT15" i="75"/>
  <c r="AR15" i="75"/>
  <c r="AO15" i="75"/>
  <c r="AQ15" i="75" s="1"/>
  <c r="AL15" i="75"/>
  <c r="AN15" i="75" s="1"/>
  <c r="AI15" i="75"/>
  <c r="AK15" i="75" s="1"/>
  <c r="AB15" i="75"/>
  <c r="Y15" i="75"/>
  <c r="V15" i="75"/>
  <c r="S15" i="75"/>
  <c r="P15" i="75"/>
  <c r="M15" i="75"/>
  <c r="J15" i="75"/>
  <c r="G15" i="75"/>
  <c r="D15" i="75"/>
  <c r="EL14" i="75"/>
  <c r="EG14" i="75"/>
  <c r="DW14" i="75"/>
  <c r="DT14" i="75"/>
  <c r="DQ14" i="75"/>
  <c r="DN14" i="75"/>
  <c r="DK14" i="75"/>
  <c r="DH14" i="75"/>
  <c r="DE14" i="75"/>
  <c r="DB14" i="75"/>
  <c r="CY14" i="75"/>
  <c r="CV14" i="75"/>
  <c r="CS14" i="75"/>
  <c r="CP14" i="75"/>
  <c r="CM14" i="75"/>
  <c r="CJ14" i="75"/>
  <c r="CG14" i="75"/>
  <c r="CD14" i="75"/>
  <c r="CA14" i="75"/>
  <c r="BX14" i="75"/>
  <c r="BU14" i="75"/>
  <c r="BR14" i="75"/>
  <c r="BR42" i="75" s="1"/>
  <c r="BO14" i="75"/>
  <c r="BL14" i="75"/>
  <c r="BI14" i="75"/>
  <c r="BF14" i="75"/>
  <c r="BC14" i="75"/>
  <c r="AZ14" i="75"/>
  <c r="AW14" i="75"/>
  <c r="AT14" i="75"/>
  <c r="AR14" i="75"/>
  <c r="AO14" i="75"/>
  <c r="AQ14" i="75" s="1"/>
  <c r="AL14" i="75"/>
  <c r="EB14" i="75" s="1"/>
  <c r="AI14" i="75"/>
  <c r="AK14" i="75" s="1"/>
  <c r="AB14" i="75"/>
  <c r="EH14" i="75" s="1"/>
  <c r="Y14" i="75"/>
  <c r="V14" i="75"/>
  <c r="S14" i="75"/>
  <c r="P14" i="75"/>
  <c r="M14" i="75"/>
  <c r="J14" i="75"/>
  <c r="G14" i="75"/>
  <c r="D14" i="75"/>
  <c r="EL13" i="75"/>
  <c r="EG13" i="75"/>
  <c r="EI13" i="75" s="1"/>
  <c r="EB13" i="75"/>
  <c r="DW13" i="75"/>
  <c r="DT13" i="75"/>
  <c r="DQ13" i="75"/>
  <c r="DN13" i="75"/>
  <c r="DK13" i="75"/>
  <c r="DH13" i="75"/>
  <c r="DE13" i="75"/>
  <c r="DB13" i="75"/>
  <c r="CY13" i="75"/>
  <c r="CV13" i="75"/>
  <c r="CS13" i="75"/>
  <c r="CP13" i="75"/>
  <c r="CM13" i="75"/>
  <c r="CJ13" i="75"/>
  <c r="CG13" i="75"/>
  <c r="CD13" i="75"/>
  <c r="CA13" i="75"/>
  <c r="BX13" i="75"/>
  <c r="BU13" i="75"/>
  <c r="BR13" i="75"/>
  <c r="BO13" i="75"/>
  <c r="BL13" i="75"/>
  <c r="BI13" i="75"/>
  <c r="BF13" i="75"/>
  <c r="BC13" i="75"/>
  <c r="AZ13" i="75"/>
  <c r="AW13" i="75"/>
  <c r="AT13" i="75"/>
  <c r="AR13" i="75"/>
  <c r="AO13" i="75"/>
  <c r="AQ13" i="75" s="1"/>
  <c r="AL13" i="75"/>
  <c r="AN13" i="75" s="1"/>
  <c r="AI13" i="75"/>
  <c r="AK13" i="75" s="1"/>
  <c r="AB13" i="75"/>
  <c r="EH13" i="75" s="1"/>
  <c r="Y13" i="75"/>
  <c r="V13" i="75"/>
  <c r="S13" i="75"/>
  <c r="P13" i="75"/>
  <c r="M13" i="75"/>
  <c r="J13" i="75"/>
  <c r="G13" i="75"/>
  <c r="D13" i="75"/>
  <c r="EL12" i="75"/>
  <c r="EG12" i="75"/>
  <c r="EI12" i="75" s="1"/>
  <c r="DW12" i="75"/>
  <c r="DT12" i="75"/>
  <c r="DQ12" i="75"/>
  <c r="DN12" i="75"/>
  <c r="DK12" i="75"/>
  <c r="DH12" i="75"/>
  <c r="DE12" i="75"/>
  <c r="DB12" i="75"/>
  <c r="CY12" i="75"/>
  <c r="CV12" i="75"/>
  <c r="CS12" i="75"/>
  <c r="CP12" i="75"/>
  <c r="CM12" i="75"/>
  <c r="CJ12" i="75"/>
  <c r="CG12" i="75"/>
  <c r="CD12" i="75"/>
  <c r="CA12" i="75"/>
  <c r="BX12" i="75"/>
  <c r="BU12" i="75"/>
  <c r="BR12" i="75"/>
  <c r="BO12" i="75"/>
  <c r="BL12" i="75"/>
  <c r="BI12" i="75"/>
  <c r="BF12" i="75"/>
  <c r="BC12" i="75"/>
  <c r="AZ12" i="75"/>
  <c r="AW12" i="75"/>
  <c r="AT12" i="75"/>
  <c r="AQ12" i="75"/>
  <c r="AO12" i="75"/>
  <c r="EK12" i="75" s="1"/>
  <c r="AL12" i="75"/>
  <c r="AN12" i="75" s="1"/>
  <c r="AK12" i="75"/>
  <c r="AI12" i="75"/>
  <c r="AB12" i="75"/>
  <c r="Y12" i="75"/>
  <c r="V12" i="75"/>
  <c r="S12" i="75"/>
  <c r="P12" i="75"/>
  <c r="M12" i="75"/>
  <c r="J12" i="75"/>
  <c r="G12" i="75"/>
  <c r="D12" i="75"/>
  <c r="A12" i="75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A36" i="75" s="1"/>
  <c r="A37" i="75" s="1"/>
  <c r="A38" i="75" s="1"/>
  <c r="A39" i="75" s="1"/>
  <c r="A40" i="75" s="1"/>
  <c r="A41" i="75" s="1"/>
  <c r="EL11" i="75"/>
  <c r="EG11" i="75"/>
  <c r="EI5" i="75" s="1"/>
  <c r="DW11" i="75"/>
  <c r="DT11" i="75"/>
  <c r="DQ11" i="75"/>
  <c r="DN11" i="75"/>
  <c r="DK11" i="75"/>
  <c r="DH11" i="75"/>
  <c r="DE11" i="75"/>
  <c r="DB11" i="75"/>
  <c r="CY11" i="75"/>
  <c r="CY42" i="75" s="1"/>
  <c r="CV11" i="75"/>
  <c r="CS11" i="75"/>
  <c r="CP11" i="75"/>
  <c r="CM11" i="75"/>
  <c r="CJ11" i="75"/>
  <c r="CG11" i="75"/>
  <c r="CD11" i="75"/>
  <c r="CA11" i="75"/>
  <c r="BX11" i="75"/>
  <c r="BU11" i="75"/>
  <c r="BR11" i="75"/>
  <c r="BO11" i="75"/>
  <c r="BO42" i="75" s="1"/>
  <c r="BL11" i="75"/>
  <c r="BI11" i="75"/>
  <c r="BF11" i="75"/>
  <c r="BC11" i="75"/>
  <c r="AZ11" i="75"/>
  <c r="AW11" i="75"/>
  <c r="AT11" i="75"/>
  <c r="AQ11" i="75"/>
  <c r="AO11" i="75"/>
  <c r="AL11" i="75"/>
  <c r="AI11" i="75"/>
  <c r="AK11" i="75" s="1"/>
  <c r="AB11" i="75"/>
  <c r="Y11" i="75"/>
  <c r="V11" i="75"/>
  <c r="S11" i="75"/>
  <c r="P11" i="75"/>
  <c r="M11" i="75"/>
  <c r="J11" i="75"/>
  <c r="G11" i="75"/>
  <c r="D11" i="75"/>
  <c r="AK42" i="75" l="1"/>
  <c r="ED11" i="75"/>
  <c r="EE23" i="75"/>
  <c r="EC23" i="75"/>
  <c r="EC32" i="75"/>
  <c r="ED24" i="75"/>
  <c r="AZ15" i="75"/>
  <c r="EM15" i="75"/>
  <c r="ED13" i="75"/>
  <c r="EE13" i="75" s="1"/>
  <c r="EI14" i="75"/>
  <c r="EI3" i="75"/>
  <c r="EI4" i="75" s="1"/>
  <c r="EM16" i="75"/>
  <c r="EC40" i="75"/>
  <c r="ED12" i="75"/>
  <c r="ED20" i="75"/>
  <c r="EK27" i="75"/>
  <c r="D32" i="75"/>
  <c r="ED32" i="75" s="1"/>
  <c r="EE32" i="75" s="1"/>
  <c r="EC36" i="75"/>
  <c r="ED39" i="75"/>
  <c r="ED19" i="75"/>
  <c r="EN15" i="75"/>
  <c r="EC18" i="75"/>
  <c r="ED29" i="75"/>
  <c r="EM18" i="75"/>
  <c r="EE24" i="75"/>
  <c r="EC24" i="75"/>
  <c r="EK17" i="75"/>
  <c r="M42" i="75"/>
  <c r="ED33" i="75"/>
  <c r="EC21" i="75"/>
  <c r="AZ22" i="75"/>
  <c r="EM22" i="75" s="1"/>
  <c r="EN22" i="75" s="1"/>
  <c r="D26" i="75"/>
  <c r="ED26" i="75" s="1"/>
  <c r="EB26" i="75"/>
  <c r="EM28" i="75"/>
  <c r="AW29" i="75"/>
  <c r="EK29" i="75"/>
  <c r="EM29" i="75"/>
  <c r="AT31" i="75"/>
  <c r="ED31" i="75" s="1"/>
  <c r="EB31" i="75"/>
  <c r="D34" i="75"/>
  <c r="ED34" i="75" s="1"/>
  <c r="EE34" i="75" s="1"/>
  <c r="EM11" i="75"/>
  <c r="EM24" i="75"/>
  <c r="EN24" i="75" s="1"/>
  <c r="EK39" i="75"/>
  <c r="AW39" i="75"/>
  <c r="EK14" i="75"/>
  <c r="EN14" i="75" s="1"/>
  <c r="EM20" i="75"/>
  <c r="EH25" i="75"/>
  <c r="EC28" i="75"/>
  <c r="EN33" i="75"/>
  <c r="EM39" i="75"/>
  <c r="AW42" i="75"/>
  <c r="DB42" i="75"/>
  <c r="EK31" i="75"/>
  <c r="AN14" i="75"/>
  <c r="ED14" i="75" s="1"/>
  <c r="EE14" i="75" s="1"/>
  <c r="EM23" i="75"/>
  <c r="ED36" i="75"/>
  <c r="EE36" i="75" s="1"/>
  <c r="ED41" i="75"/>
  <c r="AE42" i="75"/>
  <c r="BI42" i="75"/>
  <c r="CS42" i="75"/>
  <c r="EK25" i="75"/>
  <c r="EN25" i="75" s="1"/>
  <c r="EM26" i="75"/>
  <c r="EN26" i="75" s="1"/>
  <c r="EM33" i="75"/>
  <c r="EE16" i="75"/>
  <c r="ED15" i="75"/>
  <c r="EN36" i="75"/>
  <c r="EB11" i="75"/>
  <c r="AH42" i="75"/>
  <c r="BL42" i="75"/>
  <c r="CV42" i="75"/>
  <c r="AT42" i="75"/>
  <c r="CA42" i="75"/>
  <c r="DK42" i="75"/>
  <c r="EE20" i="75"/>
  <c r="D23" i="75"/>
  <c r="ED23" i="75" s="1"/>
  <c r="EM25" i="75"/>
  <c r="EM36" i="75"/>
  <c r="EK11" i="75"/>
  <c r="EM12" i="75"/>
  <c r="EN12" i="75" s="1"/>
  <c r="EB15" i="75"/>
  <c r="EK16" i="75"/>
  <c r="EM19" i="75"/>
  <c r="EN19" i="75" s="1"/>
  <c r="EM31" i="75"/>
  <c r="EI2" i="75"/>
  <c r="EI40" i="75"/>
  <c r="EH12" i="75"/>
  <c r="AZ17" i="75"/>
  <c r="EM17" i="75" s="1"/>
  <c r="EK18" i="75"/>
  <c r="EN18" i="75" s="1"/>
  <c r="EB22" i="75"/>
  <c r="EB25" i="75"/>
  <c r="ED28" i="75"/>
  <c r="EE28" i="75" s="1"/>
  <c r="EB33" i="75"/>
  <c r="AZ35" i="75"/>
  <c r="EM35" i="75" s="1"/>
  <c r="EN35" i="75" s="1"/>
  <c r="EK41" i="75"/>
  <c r="EB12" i="75"/>
  <c r="EM14" i="75"/>
  <c r="AZ27" i="75"/>
  <c r="EM27" i="75" s="1"/>
  <c r="BC41" i="75"/>
  <c r="EM41" i="75" s="1"/>
  <c r="ED25" i="75"/>
  <c r="EK28" i="75"/>
  <c r="EN28" i="75" s="1"/>
  <c r="EB35" i="75"/>
  <c r="EK40" i="75"/>
  <c r="EB41" i="75"/>
  <c r="S42" i="75"/>
  <c r="CG42" i="75"/>
  <c r="DQ42" i="75"/>
  <c r="EK13" i="75"/>
  <c r="EC13" i="75" s="1"/>
  <c r="P42" i="75"/>
  <c r="EK21" i="75"/>
  <c r="ED27" i="75"/>
  <c r="EM32" i="75"/>
  <c r="EK34" i="75"/>
  <c r="EB37" i="75"/>
  <c r="D37" i="75"/>
  <c r="ED37" i="75" s="1"/>
  <c r="EM38" i="75"/>
  <c r="EN38" i="75" s="1"/>
  <c r="V42" i="75"/>
  <c r="CJ42" i="75"/>
  <c r="DT42" i="75"/>
  <c r="EB17" i="75"/>
  <c r="D17" i="75"/>
  <c r="EB19" i="75"/>
  <c r="EM21" i="75"/>
  <c r="EH23" i="75"/>
  <c r="EM30" i="75"/>
  <c r="EH34" i="75"/>
  <c r="AZ34" i="75"/>
  <c r="EM34" i="75" s="1"/>
  <c r="EH36" i="75"/>
  <c r="EB39" i="75"/>
  <c r="Y42" i="75"/>
  <c r="BC42" i="75"/>
  <c r="CM42" i="75"/>
  <c r="DW42" i="75"/>
  <c r="EK37" i="75"/>
  <c r="EN37" i="75" s="1"/>
  <c r="AQ39" i="75"/>
  <c r="AQ42" i="75" s="1"/>
  <c r="EH16" i="75"/>
  <c r="AB42" i="75"/>
  <c r="BF42" i="75"/>
  <c r="CP42" i="75"/>
  <c r="EM13" i="75"/>
  <c r="EH15" i="75"/>
  <c r="EK23" i="75"/>
  <c r="EN23" i="75" s="1"/>
  <c r="EB29" i="75"/>
  <c r="EK20" i="75"/>
  <c r="AN11" i="75"/>
  <c r="AN42" i="75" s="1"/>
  <c r="EH11" i="75"/>
  <c r="EB27" i="75"/>
  <c r="AW31" i="75"/>
  <c r="EK32" i="75"/>
  <c r="EN32" i="75" s="1"/>
  <c r="AW40" i="75"/>
  <c r="ED40" i="75" s="1"/>
  <c r="EE40" i="75" s="1"/>
  <c r="EK30" i="75"/>
  <c r="EI11" i="75"/>
  <c r="D18" i="75"/>
  <c r="ED18" i="75" s="1"/>
  <c r="EE18" i="75" s="1"/>
  <c r="D38" i="75"/>
  <c r="ED38" i="75" s="1"/>
  <c r="EE38" i="75" s="1"/>
  <c r="EN2" i="75" l="1"/>
  <c r="EP2" i="75" s="1"/>
  <c r="EN41" i="75"/>
  <c r="EE39" i="75"/>
  <c r="EC39" i="75"/>
  <c r="AZ42" i="75"/>
  <c r="ED22" i="75"/>
  <c r="EE22" i="75" s="1"/>
  <c r="EN30" i="75"/>
  <c r="EC30" i="75"/>
  <c r="EN16" i="75"/>
  <c r="EE31" i="75"/>
  <c r="EC31" i="75"/>
  <c r="EE15" i="75"/>
  <c r="EC15" i="75"/>
  <c r="ED35" i="75"/>
  <c r="EC16" i="75"/>
  <c r="EE25" i="75"/>
  <c r="EC25" i="75"/>
  <c r="EE5" i="75"/>
  <c r="G7" i="75" s="1"/>
  <c r="EE3" i="75"/>
  <c r="EE11" i="75"/>
  <c r="EC11" i="75"/>
  <c r="EN17" i="75"/>
  <c r="ED42" i="75"/>
  <c r="EE37" i="75"/>
  <c r="EC37" i="75"/>
  <c r="EC22" i="75"/>
  <c r="EN5" i="75"/>
  <c r="EN11" i="75"/>
  <c r="EN3" i="75"/>
  <c r="EN29" i="75"/>
  <c r="D42" i="75"/>
  <c r="EE27" i="75"/>
  <c r="EC27" i="75"/>
  <c r="EM40" i="75"/>
  <c r="EM42" i="75" s="1"/>
  <c r="EN34" i="75"/>
  <c r="EC34" i="75"/>
  <c r="EH42" i="75"/>
  <c r="EC14" i="75"/>
  <c r="EE19" i="75"/>
  <c r="EC19" i="75"/>
  <c r="EN39" i="75"/>
  <c r="EN20" i="75"/>
  <c r="EC20" i="75"/>
  <c r="ED17" i="75"/>
  <c r="EE17" i="75" s="1"/>
  <c r="EN21" i="75"/>
  <c r="EN31" i="75"/>
  <c r="EE26" i="75"/>
  <c r="EC26" i="75"/>
  <c r="EN27" i="75"/>
  <c r="EC29" i="75"/>
  <c r="EE29" i="75"/>
  <c r="EC17" i="75"/>
  <c r="EE33" i="75"/>
  <c r="EC33" i="75"/>
  <c r="EE2" i="75"/>
  <c r="EQ2" i="75" s="1"/>
  <c r="G4" i="75" s="1"/>
  <c r="EE41" i="75"/>
  <c r="EC41" i="75"/>
  <c r="EE35" i="75"/>
  <c r="EC35" i="75"/>
  <c r="EN13" i="75"/>
  <c r="EE12" i="75"/>
  <c r="EC12" i="75"/>
  <c r="G5" i="75" l="1"/>
  <c r="EE4" i="75"/>
  <c r="G6" i="75" s="1"/>
  <c r="EN4" i="75"/>
  <c r="EN40" i="75"/>
  <c r="EL38" i="74"/>
  <c r="EG38" i="74"/>
  <c r="EI38" i="74" s="1"/>
  <c r="DW38" i="74"/>
  <c r="DT38" i="74"/>
  <c r="DQ38" i="74"/>
  <c r="DN38" i="74"/>
  <c r="DK38" i="74"/>
  <c r="DH38" i="74"/>
  <c r="DE38" i="74"/>
  <c r="DB38" i="74"/>
  <c r="CY38" i="74"/>
  <c r="CV38" i="74"/>
  <c r="CS38" i="74"/>
  <c r="CP38" i="74"/>
  <c r="CM38" i="74"/>
  <c r="CJ38" i="74"/>
  <c r="CG38" i="74"/>
  <c r="CD38" i="74"/>
  <c r="CA38" i="74"/>
  <c r="BX38" i="74"/>
  <c r="BU38" i="74"/>
  <c r="BR38" i="74"/>
  <c r="BO38" i="74"/>
  <c r="BL38" i="74"/>
  <c r="BI38" i="74"/>
  <c r="BF38" i="74"/>
  <c r="BC38" i="74"/>
  <c r="AZ38" i="74"/>
  <c r="AU38" i="74"/>
  <c r="AT38" i="74"/>
  <c r="AO38" i="74"/>
  <c r="AQ38" i="74" s="1"/>
  <c r="AL38" i="74"/>
  <c r="AN38" i="74" s="1"/>
  <c r="AI38" i="74"/>
  <c r="AK38" i="74" s="1"/>
  <c r="AB38" i="74"/>
  <c r="Y38" i="74"/>
  <c r="V38" i="74"/>
  <c r="S38" i="74"/>
  <c r="P38" i="74"/>
  <c r="M38" i="74"/>
  <c r="J38" i="74"/>
  <c r="G38" i="74"/>
  <c r="EB38" i="74"/>
  <c r="EE2" i="74" s="1"/>
  <c r="EQ2" i="74" s="1"/>
  <c r="G4" i="74" s="1"/>
  <c r="EL37" i="74"/>
  <c r="EH37" i="74"/>
  <c r="EG37" i="74"/>
  <c r="EI37" i="74" s="1"/>
  <c r="DW37" i="74"/>
  <c r="DT37" i="74"/>
  <c r="DQ37" i="74"/>
  <c r="DN37" i="74"/>
  <c r="DK37" i="74"/>
  <c r="DH37" i="74"/>
  <c r="DE37" i="74"/>
  <c r="DB37" i="74"/>
  <c r="CY37" i="74"/>
  <c r="CV37" i="74"/>
  <c r="CS37" i="74"/>
  <c r="CP37" i="74"/>
  <c r="CM37" i="74"/>
  <c r="CJ37" i="74"/>
  <c r="CG37" i="74"/>
  <c r="CD37" i="74"/>
  <c r="CA37" i="74"/>
  <c r="BX37" i="74"/>
  <c r="BU37" i="74"/>
  <c r="BR37" i="74"/>
  <c r="BO37" i="74"/>
  <c r="BL37" i="74"/>
  <c r="BI37" i="74"/>
  <c r="BF37" i="74"/>
  <c r="BC37" i="74"/>
  <c r="AZ37" i="74"/>
  <c r="AU37" i="74"/>
  <c r="AT37" i="74"/>
  <c r="AO37" i="74"/>
  <c r="AQ37" i="74" s="1"/>
  <c r="AL37" i="74"/>
  <c r="EB37" i="74" s="1"/>
  <c r="AK37" i="74"/>
  <c r="AI37" i="74"/>
  <c r="AB37" i="74"/>
  <c r="Y37" i="74"/>
  <c r="V37" i="74"/>
  <c r="S37" i="74"/>
  <c r="P37" i="74"/>
  <c r="M37" i="74"/>
  <c r="J37" i="74"/>
  <c r="G37" i="74"/>
  <c r="D37" i="74"/>
  <c r="EL36" i="74"/>
  <c r="EG36" i="74"/>
  <c r="EI36" i="74" s="1"/>
  <c r="EB36" i="74"/>
  <c r="EE36" i="74" s="1"/>
  <c r="DW36" i="74"/>
  <c r="DT36" i="74"/>
  <c r="DQ36" i="74"/>
  <c r="EM36" i="74" s="1"/>
  <c r="DN36" i="74"/>
  <c r="DK36" i="74"/>
  <c r="DH36" i="74"/>
  <c r="DE36" i="74"/>
  <c r="DB36" i="74"/>
  <c r="CY36" i="74"/>
  <c r="CV36" i="74"/>
  <c r="CS36" i="74"/>
  <c r="CP36" i="74"/>
  <c r="CM36" i="74"/>
  <c r="CJ36" i="74"/>
  <c r="CG36" i="74"/>
  <c r="CD36" i="74"/>
  <c r="CA36" i="74"/>
  <c r="BX36" i="74"/>
  <c r="BU36" i="74"/>
  <c r="BR36" i="74"/>
  <c r="BO36" i="74"/>
  <c r="BL36" i="74"/>
  <c r="BI36" i="74"/>
  <c r="BF36" i="74"/>
  <c r="BC36" i="74"/>
  <c r="AZ36" i="74"/>
  <c r="AW36" i="74"/>
  <c r="AU36" i="74"/>
  <c r="AT36" i="74"/>
  <c r="AO36" i="74"/>
  <c r="AQ36" i="74" s="1"/>
  <c r="AL36" i="74"/>
  <c r="AN36" i="74" s="1"/>
  <c r="AK36" i="74"/>
  <c r="AI36" i="74"/>
  <c r="AB36" i="74"/>
  <c r="Y36" i="74"/>
  <c r="V36" i="74"/>
  <c r="EH36" i="74" s="1"/>
  <c r="S36" i="74"/>
  <c r="P36" i="74"/>
  <c r="M36" i="74"/>
  <c r="J36" i="74"/>
  <c r="G36" i="74"/>
  <c r="D36" i="74"/>
  <c r="ED36" i="74" s="1"/>
  <c r="EL35" i="74"/>
  <c r="EG35" i="74"/>
  <c r="EI35" i="74" s="1"/>
  <c r="EB35" i="74"/>
  <c r="DW35" i="74"/>
  <c r="DT35" i="74"/>
  <c r="DQ35" i="74"/>
  <c r="DN35" i="74"/>
  <c r="DK35" i="74"/>
  <c r="DH35" i="74"/>
  <c r="DE35" i="74"/>
  <c r="DB35" i="74"/>
  <c r="CY35" i="74"/>
  <c r="CV35" i="74"/>
  <c r="CS35" i="74"/>
  <c r="CP35" i="74"/>
  <c r="CM35" i="74"/>
  <c r="CJ35" i="74"/>
  <c r="CG35" i="74"/>
  <c r="CD35" i="74"/>
  <c r="CA35" i="74"/>
  <c r="BX35" i="74"/>
  <c r="BU35" i="74"/>
  <c r="BR35" i="74"/>
  <c r="BO35" i="74"/>
  <c r="BL35" i="74"/>
  <c r="BI35" i="74"/>
  <c r="BF35" i="74"/>
  <c r="BC35" i="74"/>
  <c r="AZ35" i="74"/>
  <c r="AW35" i="74"/>
  <c r="AU35" i="74"/>
  <c r="AT35" i="74"/>
  <c r="AO35" i="74"/>
  <c r="AQ35" i="74" s="1"/>
  <c r="AN35" i="74"/>
  <c r="AK35" i="74"/>
  <c r="AI35" i="74"/>
  <c r="AB35" i="74"/>
  <c r="EH35" i="74" s="1"/>
  <c r="Y35" i="74"/>
  <c r="V35" i="74"/>
  <c r="S35" i="74"/>
  <c r="P35" i="74"/>
  <c r="M35" i="74"/>
  <c r="J35" i="74"/>
  <c r="G35" i="74"/>
  <c r="D35" i="74"/>
  <c r="EL34" i="74"/>
  <c r="EG34" i="74"/>
  <c r="EI34" i="74" s="1"/>
  <c r="DW34" i="74"/>
  <c r="DT34" i="74"/>
  <c r="DQ34" i="74"/>
  <c r="DN34" i="74"/>
  <c r="DK34" i="74"/>
  <c r="DH34" i="74"/>
  <c r="DE34" i="74"/>
  <c r="DB34" i="74"/>
  <c r="CY34" i="74"/>
  <c r="CV34" i="74"/>
  <c r="CS34" i="74"/>
  <c r="CP34" i="74"/>
  <c r="CM34" i="74"/>
  <c r="CJ34" i="74"/>
  <c r="CG34" i="74"/>
  <c r="CD34" i="74"/>
  <c r="CA34" i="74"/>
  <c r="BX34" i="74"/>
  <c r="BU34" i="74"/>
  <c r="BR34" i="74"/>
  <c r="BO34" i="74"/>
  <c r="BL34" i="74"/>
  <c r="BI34" i="74"/>
  <c r="BF34" i="74"/>
  <c r="BC34" i="74"/>
  <c r="AZ34" i="74"/>
  <c r="AU34" i="74"/>
  <c r="AW34" i="74" s="1"/>
  <c r="AT34" i="74"/>
  <c r="AO34" i="74"/>
  <c r="AQ34" i="74" s="1"/>
  <c r="AN34" i="74"/>
  <c r="EM34" i="74" s="1"/>
  <c r="AL34" i="74"/>
  <c r="AI34" i="74"/>
  <c r="AK34" i="74" s="1"/>
  <c r="AB34" i="74"/>
  <c r="Y34" i="74"/>
  <c r="V34" i="74"/>
  <c r="S34" i="74"/>
  <c r="P34" i="74"/>
  <c r="M34" i="74"/>
  <c r="J34" i="74"/>
  <c r="ED34" i="74" s="1"/>
  <c r="G34" i="74"/>
  <c r="D34" i="74"/>
  <c r="EL33" i="74"/>
  <c r="EG33" i="74"/>
  <c r="EI33" i="74" s="1"/>
  <c r="DW33" i="74"/>
  <c r="DT33" i="74"/>
  <c r="DQ33" i="74"/>
  <c r="DN33" i="74"/>
  <c r="DK33" i="74"/>
  <c r="DH33" i="74"/>
  <c r="DE33" i="74"/>
  <c r="DB33" i="74"/>
  <c r="CY33" i="74"/>
  <c r="CV33" i="74"/>
  <c r="CS33" i="74"/>
  <c r="CP33" i="74"/>
  <c r="CM33" i="74"/>
  <c r="CJ33" i="74"/>
  <c r="CG33" i="74"/>
  <c r="CD33" i="74"/>
  <c r="CA33" i="74"/>
  <c r="BX33" i="74"/>
  <c r="BU33" i="74"/>
  <c r="BR33" i="74"/>
  <c r="BO33" i="74"/>
  <c r="BL33" i="74"/>
  <c r="BI33" i="74"/>
  <c r="BF33" i="74"/>
  <c r="BC33" i="74"/>
  <c r="AZ33" i="74"/>
  <c r="AW33" i="74"/>
  <c r="AT33" i="74"/>
  <c r="AQ33" i="74"/>
  <c r="AO33" i="74"/>
  <c r="AL33" i="74"/>
  <c r="AN33" i="74" s="1"/>
  <c r="AI33" i="74"/>
  <c r="AK33" i="74" s="1"/>
  <c r="AB33" i="74"/>
  <c r="Y33" i="74"/>
  <c r="V33" i="74"/>
  <c r="S33" i="74"/>
  <c r="EH33" i="74" s="1"/>
  <c r="P33" i="74"/>
  <c r="M33" i="74"/>
  <c r="J33" i="74"/>
  <c r="G33" i="74"/>
  <c r="D33" i="74"/>
  <c r="EL32" i="74"/>
  <c r="EK32" i="74"/>
  <c r="EI32" i="74"/>
  <c r="EG32" i="74"/>
  <c r="DW32" i="74"/>
  <c r="DT32" i="74"/>
  <c r="DQ32" i="74"/>
  <c r="DN32" i="74"/>
  <c r="DK32" i="74"/>
  <c r="DH32" i="74"/>
  <c r="DE32" i="74"/>
  <c r="DB32" i="74"/>
  <c r="CY32" i="74"/>
  <c r="CV32" i="74"/>
  <c r="CS32" i="74"/>
  <c r="CP32" i="74"/>
  <c r="CM32" i="74"/>
  <c r="CJ32" i="74"/>
  <c r="CG32" i="74"/>
  <c r="CD32" i="74"/>
  <c r="CA32" i="74"/>
  <c r="BX32" i="74"/>
  <c r="BU32" i="74"/>
  <c r="BR32" i="74"/>
  <c r="BO32" i="74"/>
  <c r="BL32" i="74"/>
  <c r="BI32" i="74"/>
  <c r="BF32" i="74"/>
  <c r="BC32" i="74"/>
  <c r="AZ32" i="74"/>
  <c r="AW32" i="74"/>
  <c r="AT32" i="74"/>
  <c r="AO32" i="74"/>
  <c r="AQ32" i="74" s="1"/>
  <c r="AL32" i="74"/>
  <c r="AN32" i="74" s="1"/>
  <c r="AI32" i="74"/>
  <c r="AK32" i="74" s="1"/>
  <c r="ED32" i="74"/>
  <c r="AB32" i="74"/>
  <c r="Y32" i="74"/>
  <c r="V32" i="74"/>
  <c r="S32" i="74"/>
  <c r="P32" i="74"/>
  <c r="M32" i="74"/>
  <c r="J32" i="74"/>
  <c r="G32" i="74"/>
  <c r="D32" i="74"/>
  <c r="EL31" i="74"/>
  <c r="EI31" i="74"/>
  <c r="EG31" i="74"/>
  <c r="DW31" i="74"/>
  <c r="DT31" i="74"/>
  <c r="EM31" i="74" s="1"/>
  <c r="DQ31" i="74"/>
  <c r="DN31" i="74"/>
  <c r="DK31" i="74"/>
  <c r="DH31" i="74"/>
  <c r="DE31" i="74"/>
  <c r="DB31" i="74"/>
  <c r="CY31" i="74"/>
  <c r="CV31" i="74"/>
  <c r="CS31" i="74"/>
  <c r="CP31" i="74"/>
  <c r="CM31" i="74"/>
  <c r="CJ31" i="74"/>
  <c r="CG31" i="74"/>
  <c r="CD31" i="74"/>
  <c r="CA31" i="74"/>
  <c r="BX31" i="74"/>
  <c r="BU31" i="74"/>
  <c r="BR31" i="74"/>
  <c r="BO31" i="74"/>
  <c r="BL31" i="74"/>
  <c r="BI31" i="74"/>
  <c r="BF31" i="74"/>
  <c r="BC31" i="74"/>
  <c r="AZ31" i="74"/>
  <c r="AW31" i="74"/>
  <c r="AT31" i="74"/>
  <c r="AO31" i="74"/>
  <c r="AQ31" i="74" s="1"/>
  <c r="AN31" i="74"/>
  <c r="AL31" i="74"/>
  <c r="AI31" i="74"/>
  <c r="AK31" i="74" s="1"/>
  <c r="AB31" i="74"/>
  <c r="Y31" i="74"/>
  <c r="EH31" i="74" s="1"/>
  <c r="V31" i="74"/>
  <c r="S31" i="74"/>
  <c r="P31" i="74"/>
  <c r="M31" i="74"/>
  <c r="J31" i="74"/>
  <c r="G31" i="74"/>
  <c r="EL30" i="74"/>
  <c r="EK30" i="74"/>
  <c r="EI30" i="74"/>
  <c r="EH30" i="74"/>
  <c r="EG30" i="74"/>
  <c r="EB30" i="74"/>
  <c r="DW30" i="74"/>
  <c r="DT30" i="74"/>
  <c r="DQ30" i="74"/>
  <c r="DN30" i="74"/>
  <c r="DK30" i="74"/>
  <c r="DH30" i="74"/>
  <c r="DE30" i="74"/>
  <c r="DB30" i="74"/>
  <c r="CY30" i="74"/>
  <c r="CV30" i="74"/>
  <c r="CS30" i="74"/>
  <c r="CP30" i="74"/>
  <c r="CM30" i="74"/>
  <c r="CJ30" i="74"/>
  <c r="CG30" i="74"/>
  <c r="CD30" i="74"/>
  <c r="CA30" i="74"/>
  <c r="BX30" i="74"/>
  <c r="BU30" i="74"/>
  <c r="BR30" i="74"/>
  <c r="BO30" i="74"/>
  <c r="BL30" i="74"/>
  <c r="BI30" i="74"/>
  <c r="BF30" i="74"/>
  <c r="BC30" i="74"/>
  <c r="AZ30" i="74"/>
  <c r="AW30" i="74"/>
  <c r="AR30" i="74"/>
  <c r="AT30" i="74" s="1"/>
  <c r="AQ30" i="74"/>
  <c r="AO30" i="74"/>
  <c r="AN30" i="74"/>
  <c r="AL30" i="74"/>
  <c r="AI30" i="74"/>
  <c r="AK30" i="74" s="1"/>
  <c r="AB30" i="74"/>
  <c r="Y30" i="74"/>
  <c r="V30" i="74"/>
  <c r="S30" i="74"/>
  <c r="P30" i="74"/>
  <c r="M30" i="74"/>
  <c r="J30" i="74"/>
  <c r="G30" i="74"/>
  <c r="EL29" i="74"/>
  <c r="EG29" i="74"/>
  <c r="EI29" i="74" s="1"/>
  <c r="EB29" i="74"/>
  <c r="EC29" i="74" s="1"/>
  <c r="DW29" i="74"/>
  <c r="DT29" i="74"/>
  <c r="DQ29" i="74"/>
  <c r="DN29" i="74"/>
  <c r="DK29" i="74"/>
  <c r="DH29" i="74"/>
  <c r="DE29" i="74"/>
  <c r="DB29" i="74"/>
  <c r="CY29" i="74"/>
  <c r="CV29" i="74"/>
  <c r="CS29" i="74"/>
  <c r="CP29" i="74"/>
  <c r="CM29" i="74"/>
  <c r="CJ29" i="74"/>
  <c r="CG29" i="74"/>
  <c r="CD29" i="74"/>
  <c r="CA29" i="74"/>
  <c r="BX29" i="74"/>
  <c r="BU29" i="74"/>
  <c r="BR29" i="74"/>
  <c r="BO29" i="74"/>
  <c r="BL29" i="74"/>
  <c r="BI29" i="74"/>
  <c r="BF29" i="74"/>
  <c r="BC29" i="74"/>
  <c r="AZ29" i="74"/>
  <c r="AW29" i="74"/>
  <c r="AT29" i="74"/>
  <c r="AO29" i="74"/>
  <c r="EK29" i="74" s="1"/>
  <c r="AL29" i="74"/>
  <c r="AN29" i="74" s="1"/>
  <c r="AI29" i="74"/>
  <c r="AK29" i="74" s="1"/>
  <c r="AB29" i="74"/>
  <c r="Y29" i="74"/>
  <c r="EH29" i="74" s="1"/>
  <c r="V29" i="74"/>
  <c r="S29" i="74"/>
  <c r="P29" i="74"/>
  <c r="M29" i="74"/>
  <c r="J29" i="74"/>
  <c r="G29" i="74"/>
  <c r="D29" i="74"/>
  <c r="EL28" i="74"/>
  <c r="EH28" i="74"/>
  <c r="EG28" i="74"/>
  <c r="EI28" i="74" s="1"/>
  <c r="DW28" i="74"/>
  <c r="DT28" i="74"/>
  <c r="DQ28" i="74"/>
  <c r="DN28" i="74"/>
  <c r="DK28" i="74"/>
  <c r="DH28" i="74"/>
  <c r="DE28" i="74"/>
  <c r="DB28" i="74"/>
  <c r="CY28" i="74"/>
  <c r="CV28" i="74"/>
  <c r="CS28" i="74"/>
  <c r="CP28" i="74"/>
  <c r="CM28" i="74"/>
  <c r="CJ28" i="74"/>
  <c r="CG28" i="74"/>
  <c r="CD28" i="74"/>
  <c r="CA28" i="74"/>
  <c r="BX28" i="74"/>
  <c r="BU28" i="74"/>
  <c r="BR28" i="74"/>
  <c r="BO28" i="74"/>
  <c r="BL28" i="74"/>
  <c r="BI28" i="74"/>
  <c r="BF28" i="74"/>
  <c r="BC28" i="74"/>
  <c r="AZ28" i="74"/>
  <c r="AW28" i="74"/>
  <c r="AT28" i="74"/>
  <c r="AO28" i="74"/>
  <c r="EK28" i="74" s="1"/>
  <c r="AL28" i="74"/>
  <c r="AN28" i="74" s="1"/>
  <c r="AK28" i="74"/>
  <c r="AI28" i="74"/>
  <c r="AB28" i="74"/>
  <c r="Y28" i="74"/>
  <c r="V28" i="74"/>
  <c r="S28" i="74"/>
  <c r="P28" i="74"/>
  <c r="M28" i="74"/>
  <c r="J28" i="74"/>
  <c r="G28" i="74"/>
  <c r="D28" i="74"/>
  <c r="EL27" i="74"/>
  <c r="EI27" i="74"/>
  <c r="EG27" i="74"/>
  <c r="DW27" i="74"/>
  <c r="DT27" i="74"/>
  <c r="DQ27" i="74"/>
  <c r="DN27" i="74"/>
  <c r="DK27" i="74"/>
  <c r="DH27" i="74"/>
  <c r="DE27" i="74"/>
  <c r="DB27" i="74"/>
  <c r="CY27" i="74"/>
  <c r="CV27" i="74"/>
  <c r="CS27" i="74"/>
  <c r="CP27" i="74"/>
  <c r="CM27" i="74"/>
  <c r="CJ27" i="74"/>
  <c r="CG27" i="74"/>
  <c r="CD27" i="74"/>
  <c r="CA27" i="74"/>
  <c r="BX27" i="74"/>
  <c r="BU27" i="74"/>
  <c r="BR27" i="74"/>
  <c r="BO27" i="74"/>
  <c r="BL27" i="74"/>
  <c r="BI27" i="74"/>
  <c r="BF27" i="74"/>
  <c r="BC27" i="74"/>
  <c r="AZ27" i="74"/>
  <c r="AW27" i="74"/>
  <c r="AT27" i="74"/>
  <c r="AO27" i="74"/>
  <c r="AQ27" i="74" s="1"/>
  <c r="AL27" i="74"/>
  <c r="EB27" i="74" s="1"/>
  <c r="AK27" i="74"/>
  <c r="AI27" i="74"/>
  <c r="AB27" i="74"/>
  <c r="EH27" i="74" s="1"/>
  <c r="Y27" i="74"/>
  <c r="V27" i="74"/>
  <c r="S27" i="74"/>
  <c r="P27" i="74"/>
  <c r="M27" i="74"/>
  <c r="J27" i="74"/>
  <c r="G27" i="74"/>
  <c r="D27" i="74"/>
  <c r="EL26" i="74"/>
  <c r="EG26" i="74"/>
  <c r="EI26" i="74" s="1"/>
  <c r="EC26" i="74"/>
  <c r="DW26" i="74"/>
  <c r="DT26" i="74"/>
  <c r="DQ26" i="74"/>
  <c r="DN26" i="74"/>
  <c r="DK26" i="74"/>
  <c r="DH26" i="74"/>
  <c r="DE26" i="74"/>
  <c r="DB26" i="74"/>
  <c r="CY26" i="74"/>
  <c r="CV26" i="74"/>
  <c r="CS26" i="74"/>
  <c r="EM26" i="74" s="1"/>
  <c r="CP26" i="74"/>
  <c r="CM26" i="74"/>
  <c r="CJ26" i="74"/>
  <c r="CG26" i="74"/>
  <c r="CD26" i="74"/>
  <c r="CA26" i="74"/>
  <c r="BX26" i="74"/>
  <c r="BU26" i="74"/>
  <c r="BR26" i="74"/>
  <c r="BO26" i="74"/>
  <c r="BL26" i="74"/>
  <c r="BI26" i="74"/>
  <c r="BF26" i="74"/>
  <c r="BC26" i="74"/>
  <c r="AZ26" i="74"/>
  <c r="AW26" i="74"/>
  <c r="AT26" i="74"/>
  <c r="AQ26" i="74"/>
  <c r="AO26" i="74"/>
  <c r="EK26" i="74" s="1"/>
  <c r="AL26" i="74"/>
  <c r="AN26" i="74" s="1"/>
  <c r="AI26" i="74"/>
  <c r="AK26" i="74" s="1"/>
  <c r="AB26" i="74"/>
  <c r="Y26" i="74"/>
  <c r="V26" i="74"/>
  <c r="S26" i="74"/>
  <c r="P26" i="74"/>
  <c r="M26" i="74"/>
  <c r="J26" i="74"/>
  <c r="G26" i="74"/>
  <c r="EB26" i="74"/>
  <c r="EL25" i="74"/>
  <c r="EI25" i="74"/>
  <c r="EG25" i="74"/>
  <c r="DW25" i="74"/>
  <c r="DT25" i="74"/>
  <c r="DQ25" i="74"/>
  <c r="DN25" i="74"/>
  <c r="DK25" i="74"/>
  <c r="DH25" i="74"/>
  <c r="DE25" i="74"/>
  <c r="DB25" i="74"/>
  <c r="CY25" i="74"/>
  <c r="CV25" i="74"/>
  <c r="CS25" i="74"/>
  <c r="CP25" i="74"/>
  <c r="CM25" i="74"/>
  <c r="CJ25" i="74"/>
  <c r="CG25" i="74"/>
  <c r="CD25" i="74"/>
  <c r="CA25" i="74"/>
  <c r="BX25" i="74"/>
  <c r="BU25" i="74"/>
  <c r="BR25" i="74"/>
  <c r="BO25" i="74"/>
  <c r="BL25" i="74"/>
  <c r="BI25" i="74"/>
  <c r="BF25" i="74"/>
  <c r="BC25" i="74"/>
  <c r="AZ25" i="74"/>
  <c r="AW25" i="74"/>
  <c r="AT25" i="74"/>
  <c r="AO25" i="74"/>
  <c r="AL25" i="74"/>
  <c r="AN25" i="74" s="1"/>
  <c r="AI25" i="74"/>
  <c r="AK25" i="74" s="1"/>
  <c r="EH25" i="74"/>
  <c r="AB25" i="74"/>
  <c r="Y25" i="74"/>
  <c r="V25" i="74"/>
  <c r="S25" i="74"/>
  <c r="P25" i="74"/>
  <c r="M25" i="74"/>
  <c r="J25" i="74"/>
  <c r="G25" i="74"/>
  <c r="D25" i="74"/>
  <c r="EL24" i="74"/>
  <c r="EI24" i="74"/>
  <c r="EG24" i="74"/>
  <c r="DW24" i="74"/>
  <c r="DT24" i="74"/>
  <c r="DQ24" i="74"/>
  <c r="DN24" i="74"/>
  <c r="DK24" i="74"/>
  <c r="DH24" i="74"/>
  <c r="DE24" i="74"/>
  <c r="DB24" i="74"/>
  <c r="CY24" i="74"/>
  <c r="CV24" i="74"/>
  <c r="CS24" i="74"/>
  <c r="CP24" i="74"/>
  <c r="CM24" i="74"/>
  <c r="CJ24" i="74"/>
  <c r="CG24" i="74"/>
  <c r="CD24" i="74"/>
  <c r="CA24" i="74"/>
  <c r="BX24" i="74"/>
  <c r="BU24" i="74"/>
  <c r="BR24" i="74"/>
  <c r="BO24" i="74"/>
  <c r="BL24" i="74"/>
  <c r="BI24" i="74"/>
  <c r="BF24" i="74"/>
  <c r="BC24" i="74"/>
  <c r="AZ24" i="74"/>
  <c r="AW24" i="74"/>
  <c r="AT24" i="74"/>
  <c r="AT39" i="74" s="1"/>
  <c r="AO24" i="74"/>
  <c r="EK24" i="74" s="1"/>
  <c r="AL24" i="74"/>
  <c r="AN24" i="74" s="1"/>
  <c r="AI24" i="74"/>
  <c r="AK24" i="74" s="1"/>
  <c r="AB24" i="74"/>
  <c r="Y24" i="74"/>
  <c r="V24" i="74"/>
  <c r="S24" i="74"/>
  <c r="EH24" i="74" s="1"/>
  <c r="P24" i="74"/>
  <c r="M24" i="74"/>
  <c r="J24" i="74"/>
  <c r="G24" i="74"/>
  <c r="EL23" i="74"/>
  <c r="EG23" i="74"/>
  <c r="EI23" i="74" s="1"/>
  <c r="EB23" i="74"/>
  <c r="DW23" i="74"/>
  <c r="DT23" i="74"/>
  <c r="DQ23" i="74"/>
  <c r="DN23" i="74"/>
  <c r="DK23" i="74"/>
  <c r="DH23" i="74"/>
  <c r="DE23" i="74"/>
  <c r="DB23" i="74"/>
  <c r="CY23" i="74"/>
  <c r="CV23" i="74"/>
  <c r="CS23" i="74"/>
  <c r="CP23" i="74"/>
  <c r="CM23" i="74"/>
  <c r="CJ23" i="74"/>
  <c r="CG23" i="74"/>
  <c r="CD23" i="74"/>
  <c r="CA23" i="74"/>
  <c r="BX23" i="74"/>
  <c r="BU23" i="74"/>
  <c r="BR23" i="74"/>
  <c r="BO23" i="74"/>
  <c r="BL23" i="74"/>
  <c r="BI23" i="74"/>
  <c r="BF23" i="74"/>
  <c r="BC23" i="74"/>
  <c r="AZ23" i="74"/>
  <c r="AW23" i="74"/>
  <c r="AT23" i="74"/>
  <c r="AO23" i="74"/>
  <c r="AQ23" i="74" s="1"/>
  <c r="AL23" i="74"/>
  <c r="AN23" i="74" s="1"/>
  <c r="AI23" i="74"/>
  <c r="AK23" i="74" s="1"/>
  <c r="AB23" i="74"/>
  <c r="EH23" i="74" s="1"/>
  <c r="Y23" i="74"/>
  <c r="V23" i="74"/>
  <c r="S23" i="74"/>
  <c r="P23" i="74"/>
  <c r="M23" i="74"/>
  <c r="J23" i="74"/>
  <c r="G23" i="74"/>
  <c r="D23" i="74"/>
  <c r="EL22" i="74"/>
  <c r="EI22" i="74"/>
  <c r="EG22" i="74"/>
  <c r="DW22" i="74"/>
  <c r="DT22" i="74"/>
  <c r="DQ22" i="74"/>
  <c r="DN22" i="74"/>
  <c r="DK22" i="74"/>
  <c r="DH22" i="74"/>
  <c r="DE22" i="74"/>
  <c r="DB22" i="74"/>
  <c r="CY22" i="74"/>
  <c r="CV22" i="74"/>
  <c r="CS22" i="74"/>
  <c r="CP22" i="74"/>
  <c r="CM22" i="74"/>
  <c r="CJ22" i="74"/>
  <c r="CG22" i="74"/>
  <c r="CD22" i="74"/>
  <c r="CA22" i="74"/>
  <c r="BX22" i="74"/>
  <c r="BU22" i="74"/>
  <c r="BR22" i="74"/>
  <c r="BO22" i="74"/>
  <c r="BL22" i="74"/>
  <c r="BI22" i="74"/>
  <c r="BF22" i="74"/>
  <c r="BC22" i="74"/>
  <c r="AZ22" i="74"/>
  <c r="AW22" i="74"/>
  <c r="AT22" i="74"/>
  <c r="AO22" i="74"/>
  <c r="AL22" i="74"/>
  <c r="AN22" i="74" s="1"/>
  <c r="AK22" i="74"/>
  <c r="AI22" i="74"/>
  <c r="AB22" i="74"/>
  <c r="Y22" i="74"/>
  <c r="V22" i="74"/>
  <c r="EH22" i="74" s="1"/>
  <c r="S22" i="74"/>
  <c r="P22" i="74"/>
  <c r="M22" i="74"/>
  <c r="J22" i="74"/>
  <c r="G22" i="74"/>
  <c r="D22" i="74"/>
  <c r="EL21" i="74"/>
  <c r="EG21" i="74"/>
  <c r="EI21" i="74" s="1"/>
  <c r="EB21" i="74"/>
  <c r="DW21" i="74"/>
  <c r="DT21" i="74"/>
  <c r="DQ21" i="74"/>
  <c r="DN21" i="74"/>
  <c r="DK21" i="74"/>
  <c r="DH21" i="74"/>
  <c r="DE21" i="74"/>
  <c r="DB21" i="74"/>
  <c r="CY21" i="74"/>
  <c r="CV21" i="74"/>
  <c r="CS21" i="74"/>
  <c r="CP21" i="74"/>
  <c r="CM21" i="74"/>
  <c r="CJ21" i="74"/>
  <c r="CG21" i="74"/>
  <c r="CD21" i="74"/>
  <c r="CA21" i="74"/>
  <c r="BX21" i="74"/>
  <c r="BU21" i="74"/>
  <c r="BR21" i="74"/>
  <c r="BO21" i="74"/>
  <c r="BL21" i="74"/>
  <c r="BI21" i="74"/>
  <c r="BF21" i="74"/>
  <c r="BC21" i="74"/>
  <c r="AZ21" i="74"/>
  <c r="AW21" i="74"/>
  <c r="AT21" i="74"/>
  <c r="AO21" i="74"/>
  <c r="AL21" i="74"/>
  <c r="AN21" i="74" s="1"/>
  <c r="AI21" i="74"/>
  <c r="AK21" i="74" s="1"/>
  <c r="AB21" i="74"/>
  <c r="Y21" i="74"/>
  <c r="V21" i="74"/>
  <c r="EH21" i="74" s="1"/>
  <c r="S21" i="74"/>
  <c r="P21" i="74"/>
  <c r="M21" i="74"/>
  <c r="J21" i="74"/>
  <c r="G21" i="74"/>
  <c r="D21" i="74"/>
  <c r="EL20" i="74"/>
  <c r="EG20" i="74"/>
  <c r="EI20" i="74" s="1"/>
  <c r="DW20" i="74"/>
  <c r="DT20" i="74"/>
  <c r="DQ20" i="74"/>
  <c r="DN20" i="74"/>
  <c r="EM20" i="74" s="1"/>
  <c r="DK20" i="74"/>
  <c r="DH20" i="74"/>
  <c r="DE20" i="74"/>
  <c r="DB20" i="74"/>
  <c r="CY20" i="74"/>
  <c r="CV20" i="74"/>
  <c r="CS20" i="74"/>
  <c r="CP20" i="74"/>
  <c r="CM20" i="74"/>
  <c r="CJ20" i="74"/>
  <c r="CG20" i="74"/>
  <c r="CD20" i="74"/>
  <c r="CA20" i="74"/>
  <c r="BX20" i="74"/>
  <c r="BU20" i="74"/>
  <c r="BR20" i="74"/>
  <c r="BO20" i="74"/>
  <c r="BL20" i="74"/>
  <c r="BI20" i="74"/>
  <c r="BF20" i="74"/>
  <c r="BC20" i="74"/>
  <c r="AZ20" i="74"/>
  <c r="AW20" i="74"/>
  <c r="AT20" i="74"/>
  <c r="AQ20" i="74"/>
  <c r="AO20" i="74"/>
  <c r="AL20" i="74"/>
  <c r="AN20" i="74" s="1"/>
  <c r="AI20" i="74"/>
  <c r="AK20" i="74" s="1"/>
  <c r="AB20" i="74"/>
  <c r="Y20" i="74"/>
  <c r="V20" i="74"/>
  <c r="S20" i="74"/>
  <c r="P20" i="74"/>
  <c r="M20" i="74"/>
  <c r="J20" i="74"/>
  <c r="G20" i="74"/>
  <c r="EL19" i="74"/>
  <c r="EK19" i="74"/>
  <c r="EI19" i="74"/>
  <c r="EG19" i="74"/>
  <c r="DW19" i="74"/>
  <c r="DT19" i="74"/>
  <c r="DQ19" i="74"/>
  <c r="DN19" i="74"/>
  <c r="DK19" i="74"/>
  <c r="DH19" i="74"/>
  <c r="DE19" i="74"/>
  <c r="DB19" i="74"/>
  <c r="CY19" i="74"/>
  <c r="CV19" i="74"/>
  <c r="CS19" i="74"/>
  <c r="CP19" i="74"/>
  <c r="CM19" i="74"/>
  <c r="CJ19" i="74"/>
  <c r="CG19" i="74"/>
  <c r="CD19" i="74"/>
  <c r="CA19" i="74"/>
  <c r="BX19" i="74"/>
  <c r="BU19" i="74"/>
  <c r="BR19" i="74"/>
  <c r="BO19" i="74"/>
  <c r="BL19" i="74"/>
  <c r="BI19" i="74"/>
  <c r="BF19" i="74"/>
  <c r="BC19" i="74"/>
  <c r="AZ19" i="74"/>
  <c r="AW19" i="74"/>
  <c r="AT19" i="74"/>
  <c r="AO19" i="74"/>
  <c r="EB19" i="74" s="1"/>
  <c r="AL19" i="74"/>
  <c r="AN19" i="74" s="1"/>
  <c r="AK19" i="74"/>
  <c r="AI19" i="74"/>
  <c r="AB19" i="74"/>
  <c r="Y19" i="74"/>
  <c r="V19" i="74"/>
  <c r="S19" i="74"/>
  <c r="P19" i="74"/>
  <c r="M19" i="74"/>
  <c r="J19" i="74"/>
  <c r="G19" i="74"/>
  <c r="D19" i="74"/>
  <c r="EL18" i="74"/>
  <c r="EI18" i="74"/>
  <c r="EG18" i="74"/>
  <c r="EB18" i="74"/>
  <c r="DW18" i="74"/>
  <c r="DT18" i="74"/>
  <c r="DQ18" i="74"/>
  <c r="DN18" i="74"/>
  <c r="DK18" i="74"/>
  <c r="EM18" i="74" s="1"/>
  <c r="DH18" i="74"/>
  <c r="DE18" i="74"/>
  <c r="DB18" i="74"/>
  <c r="CY18" i="74"/>
  <c r="CV18" i="74"/>
  <c r="CS18" i="74"/>
  <c r="CP18" i="74"/>
  <c r="CM18" i="74"/>
  <c r="CJ18" i="74"/>
  <c r="CG18" i="74"/>
  <c r="CD18" i="74"/>
  <c r="CA18" i="74"/>
  <c r="BX18" i="74"/>
  <c r="BU18" i="74"/>
  <c r="BR18" i="74"/>
  <c r="BO18" i="74"/>
  <c r="BL18" i="74"/>
  <c r="BI18" i="74"/>
  <c r="BF18" i="74"/>
  <c r="BC18" i="74"/>
  <c r="AZ18" i="74"/>
  <c r="AW18" i="74"/>
  <c r="AT18" i="74"/>
  <c r="AQ18" i="74"/>
  <c r="AO18" i="74"/>
  <c r="EK18" i="74" s="1"/>
  <c r="EN18" i="74" s="1"/>
  <c r="AN18" i="74"/>
  <c r="AL18" i="74"/>
  <c r="AI18" i="74"/>
  <c r="AK18" i="74" s="1"/>
  <c r="AB18" i="74"/>
  <c r="EH18" i="74" s="1"/>
  <c r="Y18" i="74"/>
  <c r="V18" i="74"/>
  <c r="S18" i="74"/>
  <c r="P18" i="74"/>
  <c r="P39" i="74" s="1"/>
  <c r="M18" i="74"/>
  <c r="J18" i="74"/>
  <c r="G18" i="74"/>
  <c r="D18" i="74"/>
  <c r="EL17" i="74"/>
  <c r="EG17" i="74"/>
  <c r="EI17" i="74" s="1"/>
  <c r="DW17" i="74"/>
  <c r="DT17" i="74"/>
  <c r="DQ17" i="74"/>
  <c r="DN17" i="74"/>
  <c r="DK17" i="74"/>
  <c r="DH17" i="74"/>
  <c r="DE17" i="74"/>
  <c r="DB17" i="74"/>
  <c r="CY17" i="74"/>
  <c r="CV17" i="74"/>
  <c r="CS17" i="74"/>
  <c r="CP17" i="74"/>
  <c r="CM17" i="74"/>
  <c r="CJ17" i="74"/>
  <c r="CG17" i="74"/>
  <c r="CD17" i="74"/>
  <c r="CA17" i="74"/>
  <c r="BX17" i="74"/>
  <c r="BU17" i="74"/>
  <c r="BR17" i="74"/>
  <c r="BO17" i="74"/>
  <c r="BL17" i="74"/>
  <c r="BI17" i="74"/>
  <c r="BF17" i="74"/>
  <c r="BC17" i="74"/>
  <c r="AZ17" i="74"/>
  <c r="AW17" i="74"/>
  <c r="AT17" i="74"/>
  <c r="AQ17" i="74"/>
  <c r="AO17" i="74"/>
  <c r="AL17" i="74"/>
  <c r="AI17" i="74"/>
  <c r="AK17" i="74" s="1"/>
  <c r="AB17" i="74"/>
  <c r="Y17" i="74"/>
  <c r="V17" i="74"/>
  <c r="S17" i="74"/>
  <c r="S39" i="74" s="1"/>
  <c r="P17" i="74"/>
  <c r="M17" i="74"/>
  <c r="J17" i="74"/>
  <c r="G17" i="74"/>
  <c r="EL16" i="74"/>
  <c r="EG16" i="74"/>
  <c r="EI16" i="74" s="1"/>
  <c r="DW16" i="74"/>
  <c r="DT16" i="74"/>
  <c r="DQ16" i="74"/>
  <c r="DN16" i="74"/>
  <c r="DK16" i="74"/>
  <c r="DH16" i="74"/>
  <c r="DE16" i="74"/>
  <c r="DB16" i="74"/>
  <c r="CY16" i="74"/>
  <c r="CV16" i="74"/>
  <c r="CS16" i="74"/>
  <c r="CP16" i="74"/>
  <c r="CM16" i="74"/>
  <c r="CJ16" i="74"/>
  <c r="CG16" i="74"/>
  <c r="CD16" i="74"/>
  <c r="CA16" i="74"/>
  <c r="BX16" i="74"/>
  <c r="BU16" i="74"/>
  <c r="BR16" i="74"/>
  <c r="BO16" i="74"/>
  <c r="BL16" i="74"/>
  <c r="BI16" i="74"/>
  <c r="BF16" i="74"/>
  <c r="BC16" i="74"/>
  <c r="AZ16" i="74"/>
  <c r="AW16" i="74"/>
  <c r="AT16" i="74"/>
  <c r="AO16" i="74"/>
  <c r="AQ16" i="74" s="1"/>
  <c r="AL16" i="74"/>
  <c r="EB16" i="74" s="1"/>
  <c r="AK16" i="74"/>
  <c r="AI16" i="74"/>
  <c r="AB16" i="74"/>
  <c r="EH16" i="74" s="1"/>
  <c r="Y16" i="74"/>
  <c r="V16" i="74"/>
  <c r="S16" i="74"/>
  <c r="P16" i="74"/>
  <c r="M16" i="74"/>
  <c r="J16" i="74"/>
  <c r="G16" i="74"/>
  <c r="D16" i="74"/>
  <c r="EL15" i="74"/>
  <c r="EG15" i="74"/>
  <c r="EI15" i="74" s="1"/>
  <c r="DW15" i="74"/>
  <c r="DT15" i="74"/>
  <c r="DQ15" i="74"/>
  <c r="DN15" i="74"/>
  <c r="DK15" i="74"/>
  <c r="DH15" i="74"/>
  <c r="DE15" i="74"/>
  <c r="DB15" i="74"/>
  <c r="CY15" i="74"/>
  <c r="CV15" i="74"/>
  <c r="CS15" i="74"/>
  <c r="CP15" i="74"/>
  <c r="CM15" i="74"/>
  <c r="CJ15" i="74"/>
  <c r="CG15" i="74"/>
  <c r="CD15" i="74"/>
  <c r="CA15" i="74"/>
  <c r="BX15" i="74"/>
  <c r="BU15" i="74"/>
  <c r="BR15" i="74"/>
  <c r="BO15" i="74"/>
  <c r="BL15" i="74"/>
  <c r="BI15" i="74"/>
  <c r="BF15" i="74"/>
  <c r="BC15" i="74"/>
  <c r="AZ15" i="74"/>
  <c r="AW15" i="74"/>
  <c r="AT15" i="74"/>
  <c r="AO15" i="74"/>
  <c r="EK15" i="74" s="1"/>
  <c r="AL15" i="74"/>
  <c r="AI15" i="74"/>
  <c r="AK15" i="74" s="1"/>
  <c r="AB15" i="74"/>
  <c r="EH15" i="74" s="1"/>
  <c r="Y15" i="74"/>
  <c r="V15" i="74"/>
  <c r="S15" i="74"/>
  <c r="P15" i="74"/>
  <c r="M15" i="74"/>
  <c r="J15" i="74"/>
  <c r="G15" i="74"/>
  <c r="D15" i="74"/>
  <c r="EL14" i="74"/>
  <c r="EI14" i="74"/>
  <c r="EG14" i="74"/>
  <c r="DW14" i="74"/>
  <c r="DT14" i="74"/>
  <c r="DQ14" i="74"/>
  <c r="DN14" i="74"/>
  <c r="DK14" i="74"/>
  <c r="DH14" i="74"/>
  <c r="DE14" i="74"/>
  <c r="DB14" i="74"/>
  <c r="CY14" i="74"/>
  <c r="CV14" i="74"/>
  <c r="CS14" i="74"/>
  <c r="CP14" i="74"/>
  <c r="CM14" i="74"/>
  <c r="CJ14" i="74"/>
  <c r="CJ39" i="74" s="1"/>
  <c r="CG14" i="74"/>
  <c r="CD14" i="74"/>
  <c r="CA14" i="74"/>
  <c r="BX14" i="74"/>
  <c r="BU14" i="74"/>
  <c r="BR14" i="74"/>
  <c r="BO14" i="74"/>
  <c r="BL14" i="74"/>
  <c r="BI14" i="74"/>
  <c r="BF14" i="74"/>
  <c r="BC14" i="74"/>
  <c r="AZ14" i="74"/>
  <c r="AW14" i="74"/>
  <c r="AT14" i="74"/>
  <c r="AO14" i="74"/>
  <c r="AQ14" i="74" s="1"/>
  <c r="AL14" i="74"/>
  <c r="AN14" i="74" s="1"/>
  <c r="AK14" i="74"/>
  <c r="AI14" i="74"/>
  <c r="AB14" i="74"/>
  <c r="Y14" i="74"/>
  <c r="V14" i="74"/>
  <c r="S14" i="74"/>
  <c r="EH14" i="74" s="1"/>
  <c r="P14" i="74"/>
  <c r="M14" i="74"/>
  <c r="J14" i="74"/>
  <c r="G14" i="74"/>
  <c r="D14" i="74"/>
  <c r="EL13" i="74"/>
  <c r="EI13" i="74"/>
  <c r="EG13" i="74"/>
  <c r="EB13" i="74"/>
  <c r="DW13" i="74"/>
  <c r="DT13" i="74"/>
  <c r="DQ13" i="74"/>
  <c r="DN13" i="74"/>
  <c r="DN39" i="74" s="1"/>
  <c r="DK13" i="74"/>
  <c r="DK39" i="74" s="1"/>
  <c r="DH13" i="74"/>
  <c r="DE13" i="74"/>
  <c r="DB13" i="74"/>
  <c r="CY13" i="74"/>
  <c r="CV13" i="74"/>
  <c r="CS13" i="74"/>
  <c r="CP13" i="74"/>
  <c r="CM13" i="74"/>
  <c r="CJ13" i="74"/>
  <c r="CG13" i="74"/>
  <c r="CG39" i="74" s="1"/>
  <c r="CD13" i="74"/>
  <c r="CA13" i="74"/>
  <c r="BX13" i="74"/>
  <c r="BU13" i="74"/>
  <c r="BR13" i="74"/>
  <c r="BO13" i="74"/>
  <c r="BL13" i="74"/>
  <c r="BI13" i="74"/>
  <c r="BF13" i="74"/>
  <c r="BC13" i="74"/>
  <c r="AZ13" i="74"/>
  <c r="AW13" i="74"/>
  <c r="AT13" i="74"/>
  <c r="AO13" i="74"/>
  <c r="AQ13" i="74" s="1"/>
  <c r="AN13" i="74"/>
  <c r="AL13" i="74"/>
  <c r="AI13" i="74"/>
  <c r="AK13" i="74" s="1"/>
  <c r="AB13" i="74"/>
  <c r="Y13" i="74"/>
  <c r="V13" i="74"/>
  <c r="EH13" i="74" s="1"/>
  <c r="S13" i="74"/>
  <c r="P13" i="74"/>
  <c r="M13" i="74"/>
  <c r="J13" i="74"/>
  <c r="G13" i="74"/>
  <c r="D13" i="74"/>
  <c r="EL12" i="74"/>
  <c r="EG12" i="74"/>
  <c r="EI12" i="74" s="1"/>
  <c r="DW12" i="74"/>
  <c r="DT12" i="74"/>
  <c r="DQ12" i="74"/>
  <c r="DN12" i="74"/>
  <c r="DK12" i="74"/>
  <c r="DH12" i="74"/>
  <c r="DE12" i="74"/>
  <c r="DB12" i="74"/>
  <c r="CY12" i="74"/>
  <c r="CV12" i="74"/>
  <c r="CS12" i="74"/>
  <c r="CP12" i="74"/>
  <c r="CM12" i="74"/>
  <c r="CJ12" i="74"/>
  <c r="CG12" i="74"/>
  <c r="CD12" i="74"/>
  <c r="CA12" i="74"/>
  <c r="BX12" i="74"/>
  <c r="BU12" i="74"/>
  <c r="BU39" i="74" s="1"/>
  <c r="BR12" i="74"/>
  <c r="BR39" i="74" s="1"/>
  <c r="BO12" i="74"/>
  <c r="BL12" i="74"/>
  <c r="BI12" i="74"/>
  <c r="BF12" i="74"/>
  <c r="BC12" i="74"/>
  <c r="AZ12" i="74"/>
  <c r="AW12" i="74"/>
  <c r="AT12" i="74"/>
  <c r="AQ12" i="74"/>
  <c r="AL12" i="74"/>
  <c r="AI12" i="74"/>
  <c r="AK12" i="74" s="1"/>
  <c r="EH12" i="74"/>
  <c r="AB12" i="74"/>
  <c r="Y12" i="74"/>
  <c r="V12" i="74"/>
  <c r="S12" i="74"/>
  <c r="P12" i="74"/>
  <c r="M12" i="74"/>
  <c r="J12" i="74"/>
  <c r="G12" i="74"/>
  <c r="EB12" i="74"/>
  <c r="EL11" i="74"/>
  <c r="EI11" i="74"/>
  <c r="EG11" i="74"/>
  <c r="EB11" i="74"/>
  <c r="DW11" i="74"/>
  <c r="DT11" i="74"/>
  <c r="DQ11" i="74"/>
  <c r="DN11" i="74"/>
  <c r="DK11" i="74"/>
  <c r="DH11" i="74"/>
  <c r="DE11" i="74"/>
  <c r="DB11" i="74"/>
  <c r="CY11" i="74"/>
  <c r="CY39" i="74" s="1"/>
  <c r="CV11" i="74"/>
  <c r="CS11" i="74"/>
  <c r="CP11" i="74"/>
  <c r="CM11" i="74"/>
  <c r="CM39" i="74" s="1"/>
  <c r="CJ11" i="74"/>
  <c r="CG11" i="74"/>
  <c r="CD11" i="74"/>
  <c r="CA11" i="74"/>
  <c r="BX11" i="74"/>
  <c r="BU11" i="74"/>
  <c r="BR11" i="74"/>
  <c r="BO11" i="74"/>
  <c r="BL11" i="74"/>
  <c r="BI11" i="74"/>
  <c r="BF11" i="74"/>
  <c r="BC11" i="74"/>
  <c r="AZ11" i="74"/>
  <c r="AW11" i="74"/>
  <c r="AT11" i="74"/>
  <c r="AQ11" i="74"/>
  <c r="AN11" i="74"/>
  <c r="AL11" i="74"/>
  <c r="AI11" i="74"/>
  <c r="AK11" i="74" s="1"/>
  <c r="AE39" i="74"/>
  <c r="AB11" i="74"/>
  <c r="Y11" i="74"/>
  <c r="V11" i="74"/>
  <c r="S11" i="74"/>
  <c r="EH11" i="74" s="1"/>
  <c r="P11" i="74"/>
  <c r="M11" i="74"/>
  <c r="J11" i="74"/>
  <c r="G11" i="74"/>
  <c r="D11" i="74"/>
  <c r="A12" i="74"/>
  <c r="A13" i="74" s="1"/>
  <c r="A14" i="74" s="1"/>
  <c r="A15" i="74" s="1"/>
  <c r="A16" i="74" s="1"/>
  <c r="A17" i="74" s="1"/>
  <c r="A18" i="74" s="1"/>
  <c r="A19" i="74" s="1"/>
  <c r="A20" i="74" s="1"/>
  <c r="A21" i="74" s="1"/>
  <c r="A22" i="74" s="1"/>
  <c r="A23" i="74" s="1"/>
  <c r="A24" i="74" s="1"/>
  <c r="A25" i="74" s="1"/>
  <c r="A26" i="74" s="1"/>
  <c r="A27" i="74" s="1"/>
  <c r="A28" i="74" s="1"/>
  <c r="A29" i="74" s="1"/>
  <c r="A30" i="74" s="1"/>
  <c r="A31" i="74" s="1"/>
  <c r="A32" i="74" s="1"/>
  <c r="A33" i="74" s="1"/>
  <c r="A34" i="74" s="1"/>
  <c r="A35" i="74" s="1"/>
  <c r="A36" i="74" s="1"/>
  <c r="A37" i="74" s="1"/>
  <c r="A38" i="74" s="1"/>
  <c r="EI2" i="74"/>
  <c r="EM28" i="74" l="1"/>
  <c r="EN28" i="74" s="1"/>
  <c r="ED33" i="74"/>
  <c r="EC37" i="74"/>
  <c r="EE26" i="74"/>
  <c r="EC19" i="74"/>
  <c r="EM32" i="74"/>
  <c r="EN32" i="74" s="1"/>
  <c r="EM25" i="74"/>
  <c r="EN26" i="74"/>
  <c r="ED27" i="74"/>
  <c r="EM29" i="74"/>
  <c r="EN29" i="74" s="1"/>
  <c r="EM14" i="74"/>
  <c r="AW39" i="74"/>
  <c r="EI3" i="74"/>
  <c r="EI4" i="74" s="1"/>
  <c r="D17" i="74"/>
  <c r="EB17" i="74"/>
  <c r="EK17" i="74"/>
  <c r="AN17" i="74"/>
  <c r="EM17" i="74" s="1"/>
  <c r="EM33" i="74"/>
  <c r="ED37" i="74"/>
  <c r="EE37" i="74" s="1"/>
  <c r="BC39" i="74"/>
  <c r="DW39" i="74"/>
  <c r="G39" i="74"/>
  <c r="EK12" i="74"/>
  <c r="DE39" i="74"/>
  <c r="ED18" i="74"/>
  <c r="EE18" i="74" s="1"/>
  <c r="AQ19" i="74"/>
  <c r="ED19" i="74" s="1"/>
  <c r="EE19" i="74" s="1"/>
  <c r="D20" i="74"/>
  <c r="ED20" i="74" s="1"/>
  <c r="EB20" i="74"/>
  <c r="EM24" i="74"/>
  <c r="EN24" i="74" s="1"/>
  <c r="EM30" i="74"/>
  <c r="Y39" i="74"/>
  <c r="BF39" i="74"/>
  <c r="CP39" i="74"/>
  <c r="AN12" i="74"/>
  <c r="ED13" i="74"/>
  <c r="EE13" i="74" s="1"/>
  <c r="EC21" i="74"/>
  <c r="ED23" i="74"/>
  <c r="EE23" i="74" s="1"/>
  <c r="EH34" i="74"/>
  <c r="ED35" i="74"/>
  <c r="EC36" i="74"/>
  <c r="AN37" i="74"/>
  <c r="AB39" i="74"/>
  <c r="BI39" i="74"/>
  <c r="CS39" i="74"/>
  <c r="M39" i="74"/>
  <c r="CA39" i="74"/>
  <c r="EK25" i="74"/>
  <c r="EN25" i="74" s="1"/>
  <c r="AQ25" i="74"/>
  <c r="EC30" i="74"/>
  <c r="D38" i="74"/>
  <c r="ED38" i="74" s="1"/>
  <c r="EE38" i="74" s="1"/>
  <c r="BL39" i="74"/>
  <c r="CV39" i="74"/>
  <c r="ED11" i="74"/>
  <c r="CD39" i="74"/>
  <c r="EM19" i="74"/>
  <c r="EN19" i="74" s="1"/>
  <c r="EM22" i="74"/>
  <c r="EK23" i="74"/>
  <c r="EN23" i="74" s="1"/>
  <c r="D26" i="74"/>
  <c r="ED26" i="74" s="1"/>
  <c r="AQ28" i="74"/>
  <c r="ED28" i="74" s="1"/>
  <c r="EB33" i="74"/>
  <c r="EB34" i="74"/>
  <c r="EC12" i="74"/>
  <c r="EE27" i="74"/>
  <c r="EE35" i="74"/>
  <c r="ED14" i="74"/>
  <c r="AN16" i="74"/>
  <c r="ED16" i="74" s="1"/>
  <c r="EE16" i="74" s="1"/>
  <c r="AQ24" i="74"/>
  <c r="AN27" i="74"/>
  <c r="EM27" i="74" s="1"/>
  <c r="D12" i="74"/>
  <c r="DB39" i="74"/>
  <c r="EC18" i="74"/>
  <c r="ED25" i="74"/>
  <c r="EE29" i="74"/>
  <c r="AH39" i="74"/>
  <c r="BO39" i="74"/>
  <c r="AZ39" i="74"/>
  <c r="DT39" i="74"/>
  <c r="EK33" i="74"/>
  <c r="AK39" i="74"/>
  <c r="EI5" i="74"/>
  <c r="EK13" i="74"/>
  <c r="EN13" i="74" s="1"/>
  <c r="EB24" i="74"/>
  <c r="EM37" i="74"/>
  <c r="AQ15" i="74"/>
  <c r="AQ39" i="74" s="1"/>
  <c r="EH20" i="74"/>
  <c r="AQ29" i="74"/>
  <c r="EN30" i="74"/>
  <c r="EK38" i="74"/>
  <c r="BX39" i="74"/>
  <c r="DH39" i="74"/>
  <c r="EM13" i="74"/>
  <c r="EK16" i="74"/>
  <c r="EH17" i="74"/>
  <c r="EH39" i="74" s="1"/>
  <c r="EK21" i="74"/>
  <c r="EB22" i="74"/>
  <c r="D24" i="74"/>
  <c r="ED24" i="74" s="1"/>
  <c r="EB25" i="74"/>
  <c r="EB32" i="74"/>
  <c r="EK34" i="74"/>
  <c r="EN34" i="74" s="1"/>
  <c r="EM35" i="74"/>
  <c r="AW38" i="74"/>
  <c r="EM38" i="74" s="1"/>
  <c r="J39" i="74"/>
  <c r="EM11" i="74"/>
  <c r="DQ39" i="74"/>
  <c r="EH26" i="74"/>
  <c r="EK27" i="74"/>
  <c r="D31" i="74"/>
  <c r="ED31" i="74" s="1"/>
  <c r="EB31" i="74"/>
  <c r="EK36" i="74"/>
  <c r="EN36" i="74" s="1"/>
  <c r="EH38" i="74"/>
  <c r="ED29" i="74"/>
  <c r="EB14" i="74"/>
  <c r="EB15" i="74"/>
  <c r="EK22" i="74"/>
  <c r="AQ22" i="74"/>
  <c r="ED22" i="74" s="1"/>
  <c r="EK37" i="74"/>
  <c r="EK11" i="74"/>
  <c r="AN15" i="74"/>
  <c r="ED15" i="74" s="1"/>
  <c r="EH19" i="74"/>
  <c r="EM23" i="74"/>
  <c r="EB28" i="74"/>
  <c r="AW37" i="74"/>
  <c r="EK14" i="74"/>
  <c r="EK31" i="74"/>
  <c r="EN31" i="74" s="1"/>
  <c r="EH32" i="74"/>
  <c r="V39" i="74"/>
  <c r="EK20" i="74"/>
  <c r="EN20" i="74" s="1"/>
  <c r="D30" i="74"/>
  <c r="ED30" i="74" s="1"/>
  <c r="EE30" i="74" s="1"/>
  <c r="EK35" i="74"/>
  <c r="EN35" i="74" s="1"/>
  <c r="AQ21" i="74"/>
  <c r="EM21" i="74" s="1"/>
  <c r="EE25" i="74" l="1"/>
  <c r="EC25" i="74"/>
  <c r="EN27" i="74"/>
  <c r="EM16" i="74"/>
  <c r="EN5" i="74"/>
  <c r="EN11" i="74"/>
  <c r="EN3" i="74"/>
  <c r="EC35" i="74"/>
  <c r="EC20" i="74"/>
  <c r="EE20" i="74"/>
  <c r="EN37" i="74"/>
  <c r="EE24" i="74"/>
  <c r="EC24" i="74"/>
  <c r="EC23" i="74"/>
  <c r="EN17" i="74"/>
  <c r="EE5" i="74"/>
  <c r="G7" i="74" s="1"/>
  <c r="EN16" i="74"/>
  <c r="EC27" i="74"/>
  <c r="EC17" i="74"/>
  <c r="EC15" i="74"/>
  <c r="EE15" i="74"/>
  <c r="EC13" i="74"/>
  <c r="EC22" i="74"/>
  <c r="EE22" i="74"/>
  <c r="EN21" i="74"/>
  <c r="AN39" i="74"/>
  <c r="EE11" i="74"/>
  <c r="EC11" i="74"/>
  <c r="EN22" i="74"/>
  <c r="ED12" i="74"/>
  <c r="EE12" i="74" s="1"/>
  <c r="ED17" i="74"/>
  <c r="EE17" i="74" s="1"/>
  <c r="EE14" i="74"/>
  <c r="EC14" i="74"/>
  <c r="EE3" i="74"/>
  <c r="EN33" i="74"/>
  <c r="ED21" i="74"/>
  <c r="EE21" i="74" s="1"/>
  <c r="EN14" i="74"/>
  <c r="EE34" i="74"/>
  <c r="EC34" i="74"/>
  <c r="EN12" i="74"/>
  <c r="EM15" i="74"/>
  <c r="EN15" i="74" s="1"/>
  <c r="EN2" i="74"/>
  <c r="EP2" i="74" s="1"/>
  <c r="EN38" i="74"/>
  <c r="EC38" i="74"/>
  <c r="EC33" i="74"/>
  <c r="EE33" i="74"/>
  <c r="EC28" i="74"/>
  <c r="EE28" i="74"/>
  <c r="EM12" i="74"/>
  <c r="EC16" i="74"/>
  <c r="EE31" i="74"/>
  <c r="EC31" i="74"/>
  <c r="EE32" i="74"/>
  <c r="EC32" i="74"/>
  <c r="D39" i="74"/>
  <c r="EM39" i="74" l="1"/>
  <c r="EN4" i="74"/>
  <c r="ED39" i="74"/>
  <c r="G5" i="74"/>
  <c r="EE4" i="74"/>
  <c r="G6" i="74" s="1"/>
  <c r="EL41" i="73"/>
  <c r="EH41" i="73"/>
  <c r="EG41" i="73"/>
  <c r="EI41" i="73" s="1"/>
  <c r="DW41" i="73"/>
  <c r="DT41" i="73"/>
  <c r="DQ41" i="73"/>
  <c r="DN41" i="73"/>
  <c r="DK41" i="73"/>
  <c r="DH41" i="73"/>
  <c r="DE41" i="73"/>
  <c r="DB41" i="73"/>
  <c r="CY41" i="73"/>
  <c r="CV41" i="73"/>
  <c r="CS41" i="73"/>
  <c r="CP41" i="73"/>
  <c r="CM41" i="73"/>
  <c r="CJ41" i="73"/>
  <c r="CG41" i="73"/>
  <c r="CD41" i="73"/>
  <c r="CA41" i="73"/>
  <c r="BX41" i="73"/>
  <c r="BU41" i="73"/>
  <c r="BR41" i="73"/>
  <c r="BO41" i="73"/>
  <c r="BL41" i="73"/>
  <c r="BI41" i="73"/>
  <c r="BF41" i="73"/>
  <c r="BC41" i="73"/>
  <c r="AZ41" i="73"/>
  <c r="AW41" i="73"/>
  <c r="AT41" i="73"/>
  <c r="AQ41" i="73"/>
  <c r="AL41" i="73"/>
  <c r="AI41" i="73"/>
  <c r="AK41" i="73" s="1"/>
  <c r="AB41" i="73"/>
  <c r="Y41" i="73"/>
  <c r="V41" i="73"/>
  <c r="S41" i="73"/>
  <c r="P41" i="73"/>
  <c r="M41" i="73"/>
  <c r="J41" i="73"/>
  <c r="G41" i="73"/>
  <c r="D41" i="73"/>
  <c r="EL40" i="73"/>
  <c r="EG40" i="73"/>
  <c r="EI2" i="73" s="1"/>
  <c r="DW40" i="73"/>
  <c r="DT40" i="73"/>
  <c r="DQ40" i="73"/>
  <c r="DN40" i="73"/>
  <c r="DK40" i="73"/>
  <c r="DH40" i="73"/>
  <c r="DE40" i="73"/>
  <c r="DB40" i="73"/>
  <c r="CY40" i="73"/>
  <c r="CV40" i="73"/>
  <c r="CS40" i="73"/>
  <c r="CP40" i="73"/>
  <c r="CM40" i="73"/>
  <c r="CJ40" i="73"/>
  <c r="CG40" i="73"/>
  <c r="CD40" i="73"/>
  <c r="CA40" i="73"/>
  <c r="BX40" i="73"/>
  <c r="BU40" i="73"/>
  <c r="BR40" i="73"/>
  <c r="BO40" i="73"/>
  <c r="BL40" i="73"/>
  <c r="BI40" i="73"/>
  <c r="BF40" i="73"/>
  <c r="BC40" i="73"/>
  <c r="AZ40" i="73"/>
  <c r="AW40" i="73"/>
  <c r="AT40" i="73"/>
  <c r="AQ40" i="73"/>
  <c r="AN40" i="73"/>
  <c r="AL40" i="73"/>
  <c r="AI40" i="73"/>
  <c r="EK40" i="73" s="1"/>
  <c r="AB40" i="73"/>
  <c r="Y40" i="73"/>
  <c r="V40" i="73"/>
  <c r="S40" i="73"/>
  <c r="P40" i="73"/>
  <c r="M40" i="73"/>
  <c r="J40" i="73"/>
  <c r="G40" i="73"/>
  <c r="EL39" i="73"/>
  <c r="EG39" i="73"/>
  <c r="EI39" i="73" s="1"/>
  <c r="DW39" i="73"/>
  <c r="DT39" i="73"/>
  <c r="DQ39" i="73"/>
  <c r="DN39" i="73"/>
  <c r="DK39" i="73"/>
  <c r="DH39" i="73"/>
  <c r="DE39" i="73"/>
  <c r="DB39" i="73"/>
  <c r="CY39" i="73"/>
  <c r="CV39" i="73"/>
  <c r="CS39" i="73"/>
  <c r="CP39" i="73"/>
  <c r="CM39" i="73"/>
  <c r="CJ39" i="73"/>
  <c r="CG39" i="73"/>
  <c r="CD39" i="73"/>
  <c r="CA39" i="73"/>
  <c r="BX39" i="73"/>
  <c r="BU39" i="73"/>
  <c r="BR39" i="73"/>
  <c r="BO39" i="73"/>
  <c r="BL39" i="73"/>
  <c r="BI39" i="73"/>
  <c r="BF39" i="73"/>
  <c r="BC39" i="73"/>
  <c r="AZ39" i="73"/>
  <c r="AW39" i="73"/>
  <c r="AT39" i="73"/>
  <c r="AQ39" i="73"/>
  <c r="AL39" i="73"/>
  <c r="EK39" i="73" s="1"/>
  <c r="AK39" i="73"/>
  <c r="AI39" i="73"/>
  <c r="EH39" i="73"/>
  <c r="AB39" i="73"/>
  <c r="Y39" i="73"/>
  <c r="V39" i="73"/>
  <c r="S39" i="73"/>
  <c r="P39" i="73"/>
  <c r="M39" i="73"/>
  <c r="J39" i="73"/>
  <c r="G39" i="73"/>
  <c r="EL38" i="73"/>
  <c r="EG38" i="73"/>
  <c r="EI38" i="73" s="1"/>
  <c r="DW38" i="73"/>
  <c r="DT38" i="73"/>
  <c r="DQ38" i="73"/>
  <c r="DN38" i="73"/>
  <c r="DK38" i="73"/>
  <c r="DH38" i="73"/>
  <c r="DE38" i="73"/>
  <c r="DB38" i="73"/>
  <c r="CY38" i="73"/>
  <c r="CV38" i="73"/>
  <c r="CS38" i="73"/>
  <c r="CP38" i="73"/>
  <c r="CM38" i="73"/>
  <c r="CJ38" i="73"/>
  <c r="CG38" i="73"/>
  <c r="CD38" i="73"/>
  <c r="CA38" i="73"/>
  <c r="BX38" i="73"/>
  <c r="BU38" i="73"/>
  <c r="BR38" i="73"/>
  <c r="BO38" i="73"/>
  <c r="BL38" i="73"/>
  <c r="BI38" i="73"/>
  <c r="BF38" i="73"/>
  <c r="BC38" i="73"/>
  <c r="AZ38" i="73"/>
  <c r="AW38" i="73"/>
  <c r="AT38" i="73"/>
  <c r="AQ38" i="73"/>
  <c r="AL38" i="73"/>
  <c r="AI38" i="73"/>
  <c r="AK38" i="73" s="1"/>
  <c r="AB38" i="73"/>
  <c r="Y38" i="73"/>
  <c r="V38" i="73"/>
  <c r="S38" i="73"/>
  <c r="EH38" i="73" s="1"/>
  <c r="P38" i="73"/>
  <c r="M38" i="73"/>
  <c r="J38" i="73"/>
  <c r="G38" i="73"/>
  <c r="EL37" i="73"/>
  <c r="EG37" i="73"/>
  <c r="EI37" i="73" s="1"/>
  <c r="DW37" i="73"/>
  <c r="DT37" i="73"/>
  <c r="DQ37" i="73"/>
  <c r="DN37" i="73"/>
  <c r="DK37" i="73"/>
  <c r="DH37" i="73"/>
  <c r="DE37" i="73"/>
  <c r="DB37" i="73"/>
  <c r="CY37" i="73"/>
  <c r="CV37" i="73"/>
  <c r="CS37" i="73"/>
  <c r="CP37" i="73"/>
  <c r="CM37" i="73"/>
  <c r="CJ37" i="73"/>
  <c r="CG37" i="73"/>
  <c r="CD37" i="73"/>
  <c r="CA37" i="73"/>
  <c r="BX37" i="73"/>
  <c r="BU37" i="73"/>
  <c r="BR37" i="73"/>
  <c r="BO37" i="73"/>
  <c r="BL37" i="73"/>
  <c r="BI37" i="73"/>
  <c r="BF37" i="73"/>
  <c r="BC37" i="73"/>
  <c r="AZ37" i="73"/>
  <c r="AW37" i="73"/>
  <c r="AT37" i="73"/>
  <c r="AQ37" i="73"/>
  <c r="AL37" i="73"/>
  <c r="AN37" i="73" s="1"/>
  <c r="AI37" i="73"/>
  <c r="AB37" i="73"/>
  <c r="Y37" i="73"/>
  <c r="V37" i="73"/>
  <c r="S37" i="73"/>
  <c r="EH37" i="73" s="1"/>
  <c r="P37" i="73"/>
  <c r="M37" i="73"/>
  <c r="J37" i="73"/>
  <c r="G37" i="73"/>
  <c r="EL36" i="73"/>
  <c r="EI36" i="73"/>
  <c r="EG36" i="73"/>
  <c r="DW36" i="73"/>
  <c r="DT36" i="73"/>
  <c r="DQ36" i="73"/>
  <c r="DN36" i="73"/>
  <c r="DK36" i="73"/>
  <c r="DH36" i="73"/>
  <c r="DE36" i="73"/>
  <c r="DB36" i="73"/>
  <c r="CY36" i="73"/>
  <c r="CV36" i="73"/>
  <c r="CS36" i="73"/>
  <c r="CP36" i="73"/>
  <c r="CM36" i="73"/>
  <c r="CJ36" i="73"/>
  <c r="CG36" i="73"/>
  <c r="CD36" i="73"/>
  <c r="CA36" i="73"/>
  <c r="BX36" i="73"/>
  <c r="BU36" i="73"/>
  <c r="BR36" i="73"/>
  <c r="BO36" i="73"/>
  <c r="BL36" i="73"/>
  <c r="BI36" i="73"/>
  <c r="BF36" i="73"/>
  <c r="BC36" i="73"/>
  <c r="AZ36" i="73"/>
  <c r="AW36" i="73"/>
  <c r="AT36" i="73"/>
  <c r="AQ36" i="73"/>
  <c r="AL36" i="73"/>
  <c r="AI36" i="73"/>
  <c r="AK36" i="73" s="1"/>
  <c r="AB36" i="73"/>
  <c r="Y36" i="73"/>
  <c r="V36" i="73"/>
  <c r="EH36" i="73" s="1"/>
  <c r="S36" i="73"/>
  <c r="P36" i="73"/>
  <c r="M36" i="73"/>
  <c r="J36" i="73"/>
  <c r="G36" i="73"/>
  <c r="EL35" i="73"/>
  <c r="EG35" i="73"/>
  <c r="EI35" i="73" s="1"/>
  <c r="DW35" i="73"/>
  <c r="DT35" i="73"/>
  <c r="DQ35" i="73"/>
  <c r="DN35" i="73"/>
  <c r="DK35" i="73"/>
  <c r="DH35" i="73"/>
  <c r="DE35" i="73"/>
  <c r="DB35" i="73"/>
  <c r="CY35" i="73"/>
  <c r="CV35" i="73"/>
  <c r="CS35" i="73"/>
  <c r="CP35" i="73"/>
  <c r="CM35" i="73"/>
  <c r="CJ35" i="73"/>
  <c r="CG35" i="73"/>
  <c r="CD35" i="73"/>
  <c r="CA35" i="73"/>
  <c r="BX35" i="73"/>
  <c r="BU35" i="73"/>
  <c r="BR35" i="73"/>
  <c r="BO35" i="73"/>
  <c r="BL35" i="73"/>
  <c r="BI35" i="73"/>
  <c r="BF35" i="73"/>
  <c r="BC35" i="73"/>
  <c r="AZ35" i="73"/>
  <c r="AW35" i="73"/>
  <c r="AT35" i="73"/>
  <c r="AQ35" i="73"/>
  <c r="AL35" i="73"/>
  <c r="AI35" i="73"/>
  <c r="AK35" i="73" s="1"/>
  <c r="AB35" i="73"/>
  <c r="Y35" i="73"/>
  <c r="V35" i="73"/>
  <c r="S35" i="73"/>
  <c r="EH35" i="73" s="1"/>
  <c r="P35" i="73"/>
  <c r="M35" i="73"/>
  <c r="J35" i="73"/>
  <c r="G35" i="73"/>
  <c r="D35" i="73"/>
  <c r="EL34" i="73"/>
  <c r="EK34" i="73"/>
  <c r="EI34" i="73"/>
  <c r="EG34" i="73"/>
  <c r="DW34" i="73"/>
  <c r="DT34" i="73"/>
  <c r="DQ34" i="73"/>
  <c r="DN34" i="73"/>
  <c r="DK34" i="73"/>
  <c r="DH34" i="73"/>
  <c r="DE34" i="73"/>
  <c r="DB34" i="73"/>
  <c r="CY34" i="73"/>
  <c r="CV34" i="73"/>
  <c r="CS34" i="73"/>
  <c r="CP34" i="73"/>
  <c r="CM34" i="73"/>
  <c r="CJ34" i="73"/>
  <c r="CG34" i="73"/>
  <c r="CD34" i="73"/>
  <c r="CA34" i="73"/>
  <c r="BX34" i="73"/>
  <c r="BU34" i="73"/>
  <c r="BR34" i="73"/>
  <c r="BO34" i="73"/>
  <c r="BL34" i="73"/>
  <c r="BI34" i="73"/>
  <c r="BF34" i="73"/>
  <c r="BC34" i="73"/>
  <c r="AZ34" i="73"/>
  <c r="AW34" i="73"/>
  <c r="AT34" i="73"/>
  <c r="AQ34" i="73"/>
  <c r="AN34" i="73"/>
  <c r="AL34" i="73"/>
  <c r="AK34" i="73"/>
  <c r="AI34" i="73"/>
  <c r="AB34" i="73"/>
  <c r="Y34" i="73"/>
  <c r="V34" i="73"/>
  <c r="S34" i="73"/>
  <c r="EH34" i="73" s="1"/>
  <c r="P34" i="73"/>
  <c r="M34" i="73"/>
  <c r="J34" i="73"/>
  <c r="G34" i="73"/>
  <c r="D34" i="73"/>
  <c r="EB34" i="73"/>
  <c r="EL33" i="73"/>
  <c r="EK33" i="73"/>
  <c r="EI33" i="73"/>
  <c r="EG33" i="73"/>
  <c r="EB33" i="73"/>
  <c r="DW33" i="73"/>
  <c r="DT33" i="73"/>
  <c r="DQ33" i="73"/>
  <c r="DN33" i="73"/>
  <c r="DK33" i="73"/>
  <c r="DH33" i="73"/>
  <c r="DE33" i="73"/>
  <c r="DB33" i="73"/>
  <c r="CY33" i="73"/>
  <c r="CV33" i="73"/>
  <c r="CS33" i="73"/>
  <c r="CP33" i="73"/>
  <c r="CM33" i="73"/>
  <c r="CJ33" i="73"/>
  <c r="CG33" i="73"/>
  <c r="CD33" i="73"/>
  <c r="CA33" i="73"/>
  <c r="BX33" i="73"/>
  <c r="BU33" i="73"/>
  <c r="BR33" i="73"/>
  <c r="BO33" i="73"/>
  <c r="BL33" i="73"/>
  <c r="BI33" i="73"/>
  <c r="BF33" i="73"/>
  <c r="BC33" i="73"/>
  <c r="AZ33" i="73"/>
  <c r="AW33" i="73"/>
  <c r="AT33" i="73"/>
  <c r="AQ33" i="73"/>
  <c r="AL33" i="73"/>
  <c r="AN33" i="73" s="1"/>
  <c r="AK33" i="73"/>
  <c r="AI33" i="73"/>
  <c r="AB33" i="73"/>
  <c r="EH33" i="73" s="1"/>
  <c r="Y33" i="73"/>
  <c r="V33" i="73"/>
  <c r="S33" i="73"/>
  <c r="P33" i="73"/>
  <c r="M33" i="73"/>
  <c r="J33" i="73"/>
  <c r="G33" i="73"/>
  <c r="D33" i="73"/>
  <c r="EL32" i="73"/>
  <c r="EG32" i="73"/>
  <c r="EI32" i="73" s="1"/>
  <c r="DW32" i="73"/>
  <c r="DT32" i="73"/>
  <c r="DQ32" i="73"/>
  <c r="DN32" i="73"/>
  <c r="DK32" i="73"/>
  <c r="DH32" i="73"/>
  <c r="DE32" i="73"/>
  <c r="DB32" i="73"/>
  <c r="CY32" i="73"/>
  <c r="CV32" i="73"/>
  <c r="CS32" i="73"/>
  <c r="CP32" i="73"/>
  <c r="CM32" i="73"/>
  <c r="CJ32" i="73"/>
  <c r="CG32" i="73"/>
  <c r="CD32" i="73"/>
  <c r="CA32" i="73"/>
  <c r="BX32" i="73"/>
  <c r="BU32" i="73"/>
  <c r="BR32" i="73"/>
  <c r="BO32" i="73"/>
  <c r="BL32" i="73"/>
  <c r="BI32" i="73"/>
  <c r="BF32" i="73"/>
  <c r="BC32" i="73"/>
  <c r="AZ32" i="73"/>
  <c r="AW32" i="73"/>
  <c r="AT32" i="73"/>
  <c r="AQ32" i="73"/>
  <c r="AL32" i="73"/>
  <c r="AI32" i="73"/>
  <c r="AK32" i="73" s="1"/>
  <c r="AB32" i="73"/>
  <c r="Y32" i="73"/>
  <c r="V32" i="73"/>
  <c r="S32" i="73"/>
  <c r="EH32" i="73" s="1"/>
  <c r="P32" i="73"/>
  <c r="M32" i="73"/>
  <c r="J32" i="73"/>
  <c r="G32" i="73"/>
  <c r="EL31" i="73"/>
  <c r="EG31" i="73"/>
  <c r="EI31" i="73" s="1"/>
  <c r="DW31" i="73"/>
  <c r="DT31" i="73"/>
  <c r="DQ31" i="73"/>
  <c r="DN31" i="73"/>
  <c r="DK31" i="73"/>
  <c r="DH31" i="73"/>
  <c r="DE31" i="73"/>
  <c r="DB31" i="73"/>
  <c r="CY31" i="73"/>
  <c r="CV31" i="73"/>
  <c r="CS31" i="73"/>
  <c r="CP31" i="73"/>
  <c r="CM31" i="73"/>
  <c r="CJ31" i="73"/>
  <c r="CG31" i="73"/>
  <c r="CD31" i="73"/>
  <c r="CA31" i="73"/>
  <c r="BX31" i="73"/>
  <c r="BU31" i="73"/>
  <c r="BR31" i="73"/>
  <c r="BO31" i="73"/>
  <c r="BL31" i="73"/>
  <c r="BI31" i="73"/>
  <c r="BF31" i="73"/>
  <c r="BC31" i="73"/>
  <c r="AZ31" i="73"/>
  <c r="AW31" i="73"/>
  <c r="AT31" i="73"/>
  <c r="AQ31" i="73"/>
  <c r="AL31" i="73"/>
  <c r="AN31" i="73" s="1"/>
  <c r="AI31" i="73"/>
  <c r="EK31" i="73" s="1"/>
  <c r="AB31" i="73"/>
  <c r="Y31" i="73"/>
  <c r="V31" i="73"/>
  <c r="S31" i="73"/>
  <c r="P31" i="73"/>
  <c r="M31" i="73"/>
  <c r="J31" i="73"/>
  <c r="G31" i="73"/>
  <c r="EL30" i="73"/>
  <c r="EI30" i="73"/>
  <c r="EG30" i="73"/>
  <c r="DW30" i="73"/>
  <c r="DT30" i="73"/>
  <c r="DQ30" i="73"/>
  <c r="DN30" i="73"/>
  <c r="DK30" i="73"/>
  <c r="DH30" i="73"/>
  <c r="DE30" i="73"/>
  <c r="DB30" i="73"/>
  <c r="CY30" i="73"/>
  <c r="CV30" i="73"/>
  <c r="CS30" i="73"/>
  <c r="CP30" i="73"/>
  <c r="CM30" i="73"/>
  <c r="CJ30" i="73"/>
  <c r="CG30" i="73"/>
  <c r="CD30" i="73"/>
  <c r="CA30" i="73"/>
  <c r="BX30" i="73"/>
  <c r="BU30" i="73"/>
  <c r="BR30" i="73"/>
  <c r="BO30" i="73"/>
  <c r="BL30" i="73"/>
  <c r="BI30" i="73"/>
  <c r="BF30" i="73"/>
  <c r="BC30" i="73"/>
  <c r="AZ30" i="73"/>
  <c r="AW30" i="73"/>
  <c r="AT30" i="73"/>
  <c r="AO30" i="73"/>
  <c r="AQ30" i="73" s="1"/>
  <c r="AN30" i="73"/>
  <c r="AL30" i="73"/>
  <c r="AI30" i="73"/>
  <c r="AK30" i="73" s="1"/>
  <c r="AB30" i="73"/>
  <c r="Y30" i="73"/>
  <c r="V30" i="73"/>
  <c r="S30" i="73"/>
  <c r="EH30" i="73" s="1"/>
  <c r="P30" i="73"/>
  <c r="M30" i="73"/>
  <c r="J30" i="73"/>
  <c r="G30" i="73"/>
  <c r="EL29" i="73"/>
  <c r="EK29" i="73"/>
  <c r="EI29" i="73"/>
  <c r="EG29" i="73"/>
  <c r="DW29" i="73"/>
  <c r="DT29" i="73"/>
  <c r="DQ29" i="73"/>
  <c r="DN29" i="73"/>
  <c r="DK29" i="73"/>
  <c r="DH29" i="73"/>
  <c r="DE29" i="73"/>
  <c r="DB29" i="73"/>
  <c r="CY29" i="73"/>
  <c r="CV29" i="73"/>
  <c r="CS29" i="73"/>
  <c r="CP29" i="73"/>
  <c r="CM29" i="73"/>
  <c r="CJ29" i="73"/>
  <c r="CG29" i="73"/>
  <c r="CD29" i="73"/>
  <c r="CA29" i="73"/>
  <c r="BX29" i="73"/>
  <c r="BU29" i="73"/>
  <c r="BR29" i="73"/>
  <c r="BO29" i="73"/>
  <c r="BL29" i="73"/>
  <c r="BI29" i="73"/>
  <c r="BF29" i="73"/>
  <c r="BC29" i="73"/>
  <c r="AZ29" i="73"/>
  <c r="AW29" i="73"/>
  <c r="AT29" i="73"/>
  <c r="AO29" i="73"/>
  <c r="AQ29" i="73" s="1"/>
  <c r="AL29" i="73"/>
  <c r="EB29" i="73" s="1"/>
  <c r="AI29" i="73"/>
  <c r="AK29" i="73" s="1"/>
  <c r="AB29" i="73"/>
  <c r="Y29" i="73"/>
  <c r="V29" i="73"/>
  <c r="EH29" i="73" s="1"/>
  <c r="S29" i="73"/>
  <c r="P29" i="73"/>
  <c r="M29" i="73"/>
  <c r="J29" i="73"/>
  <c r="G29" i="73"/>
  <c r="D29" i="73"/>
  <c r="EL28" i="73"/>
  <c r="EI28" i="73"/>
  <c r="EG28" i="73"/>
  <c r="DW28" i="73"/>
  <c r="DT28" i="73"/>
  <c r="DQ28" i="73"/>
  <c r="DN28" i="73"/>
  <c r="DK28" i="73"/>
  <c r="DH28" i="73"/>
  <c r="DE28" i="73"/>
  <c r="DB28" i="73"/>
  <c r="CY28" i="73"/>
  <c r="CV28" i="73"/>
  <c r="CS28" i="73"/>
  <c r="CP28" i="73"/>
  <c r="CM28" i="73"/>
  <c r="CJ28" i="73"/>
  <c r="CG28" i="73"/>
  <c r="CD28" i="73"/>
  <c r="CA28" i="73"/>
  <c r="BX28" i="73"/>
  <c r="BU28" i="73"/>
  <c r="BR28" i="73"/>
  <c r="BO28" i="73"/>
  <c r="BL28" i="73"/>
  <c r="BI28" i="73"/>
  <c r="BF28" i="73"/>
  <c r="BC28" i="73"/>
  <c r="AZ28" i="73"/>
  <c r="AW28" i="73"/>
  <c r="AT28" i="73"/>
  <c r="AO28" i="73"/>
  <c r="AL28" i="73"/>
  <c r="AK28" i="73"/>
  <c r="AI28" i="73"/>
  <c r="AB28" i="73"/>
  <c r="Y28" i="73"/>
  <c r="V28" i="73"/>
  <c r="EH28" i="73" s="1"/>
  <c r="S28" i="73"/>
  <c r="P28" i="73"/>
  <c r="M28" i="73"/>
  <c r="J28" i="73"/>
  <c r="G28" i="73"/>
  <c r="D28" i="73"/>
  <c r="EL27" i="73"/>
  <c r="EG27" i="73"/>
  <c r="EI27" i="73" s="1"/>
  <c r="DW27" i="73"/>
  <c r="DT27" i="73"/>
  <c r="DQ27" i="73"/>
  <c r="DN27" i="73"/>
  <c r="DK27" i="73"/>
  <c r="DH27" i="73"/>
  <c r="DE27" i="73"/>
  <c r="DB27" i="73"/>
  <c r="CY27" i="73"/>
  <c r="CV27" i="73"/>
  <c r="CS27" i="73"/>
  <c r="CP27" i="73"/>
  <c r="CM27" i="73"/>
  <c r="CJ27" i="73"/>
  <c r="CG27" i="73"/>
  <c r="CD27" i="73"/>
  <c r="CA27" i="73"/>
  <c r="BX27" i="73"/>
  <c r="BU27" i="73"/>
  <c r="BR27" i="73"/>
  <c r="BO27" i="73"/>
  <c r="BL27" i="73"/>
  <c r="BI27" i="73"/>
  <c r="BF27" i="73"/>
  <c r="BC27" i="73"/>
  <c r="AZ27" i="73"/>
  <c r="AW27" i="73"/>
  <c r="AT27" i="73"/>
  <c r="AQ27" i="73"/>
  <c r="AO27" i="73"/>
  <c r="AN27" i="73"/>
  <c r="AL27" i="73"/>
  <c r="AI27" i="73"/>
  <c r="AK27" i="73" s="1"/>
  <c r="AB27" i="73"/>
  <c r="Y27" i="73"/>
  <c r="V27" i="73"/>
  <c r="S27" i="73"/>
  <c r="EH27" i="73" s="1"/>
  <c r="P27" i="73"/>
  <c r="M27" i="73"/>
  <c r="J27" i="73"/>
  <c r="G27" i="73"/>
  <c r="D27" i="73"/>
  <c r="EL26" i="73"/>
  <c r="EG26" i="73"/>
  <c r="EI26" i="73" s="1"/>
  <c r="DW26" i="73"/>
  <c r="DT26" i="73"/>
  <c r="DQ26" i="73"/>
  <c r="DN26" i="73"/>
  <c r="DK26" i="73"/>
  <c r="DH26" i="73"/>
  <c r="DE26" i="73"/>
  <c r="DB26" i="73"/>
  <c r="CY26" i="73"/>
  <c r="CV26" i="73"/>
  <c r="CS26" i="73"/>
  <c r="CP26" i="73"/>
  <c r="CM26" i="73"/>
  <c r="CJ26" i="73"/>
  <c r="CG26" i="73"/>
  <c r="CD26" i="73"/>
  <c r="CA26" i="73"/>
  <c r="BX26" i="73"/>
  <c r="BU26" i="73"/>
  <c r="BR26" i="73"/>
  <c r="BO26" i="73"/>
  <c r="BL26" i="73"/>
  <c r="BI26" i="73"/>
  <c r="BF26" i="73"/>
  <c r="BC26" i="73"/>
  <c r="AZ26" i="73"/>
  <c r="AW26" i="73"/>
  <c r="AT26" i="73"/>
  <c r="AQ26" i="73"/>
  <c r="AN26" i="73"/>
  <c r="AL26" i="73"/>
  <c r="AI26" i="73"/>
  <c r="EK26" i="73" s="1"/>
  <c r="AB26" i="73"/>
  <c r="Y26" i="73"/>
  <c r="V26" i="73"/>
  <c r="S26" i="73"/>
  <c r="P26" i="73"/>
  <c r="M26" i="73"/>
  <c r="J26" i="73"/>
  <c r="G26" i="73"/>
  <c r="EL25" i="73"/>
  <c r="EH25" i="73"/>
  <c r="EG25" i="73"/>
  <c r="EI25" i="73" s="1"/>
  <c r="DW25" i="73"/>
  <c r="DT25" i="73"/>
  <c r="DQ25" i="73"/>
  <c r="DN25" i="73"/>
  <c r="DK25" i="73"/>
  <c r="DH25" i="73"/>
  <c r="DE25" i="73"/>
  <c r="DB25" i="73"/>
  <c r="CY25" i="73"/>
  <c r="CV25" i="73"/>
  <c r="CS25" i="73"/>
  <c r="CP25" i="73"/>
  <c r="CM25" i="73"/>
  <c r="CJ25" i="73"/>
  <c r="CG25" i="73"/>
  <c r="CD25" i="73"/>
  <c r="CA25" i="73"/>
  <c r="BX25" i="73"/>
  <c r="BU25" i="73"/>
  <c r="BR25" i="73"/>
  <c r="BO25" i="73"/>
  <c r="BL25" i="73"/>
  <c r="BI25" i="73"/>
  <c r="BF25" i="73"/>
  <c r="BC25" i="73"/>
  <c r="AZ25" i="73"/>
  <c r="AW25" i="73"/>
  <c r="AT25" i="73"/>
  <c r="AQ25" i="73"/>
  <c r="AN25" i="73"/>
  <c r="AI25" i="73"/>
  <c r="AB25" i="73"/>
  <c r="Y25" i="73"/>
  <c r="V25" i="73"/>
  <c r="S25" i="73"/>
  <c r="P25" i="73"/>
  <c r="M25" i="73"/>
  <c r="J25" i="73"/>
  <c r="G25" i="73"/>
  <c r="D25" i="73"/>
  <c r="EL24" i="73"/>
  <c r="EG24" i="73"/>
  <c r="EI24" i="73" s="1"/>
  <c r="DW24" i="73"/>
  <c r="DT24" i="73"/>
  <c r="DQ24" i="73"/>
  <c r="DN24" i="73"/>
  <c r="DK24" i="73"/>
  <c r="DH24" i="73"/>
  <c r="DE24" i="73"/>
  <c r="DB24" i="73"/>
  <c r="CY24" i="73"/>
  <c r="CV24" i="73"/>
  <c r="CS24" i="73"/>
  <c r="CP24" i="73"/>
  <c r="CM24" i="73"/>
  <c r="CJ24" i="73"/>
  <c r="CG24" i="73"/>
  <c r="CD24" i="73"/>
  <c r="CA24" i="73"/>
  <c r="BX24" i="73"/>
  <c r="BU24" i="73"/>
  <c r="BR24" i="73"/>
  <c r="BO24" i="73"/>
  <c r="BL24" i="73"/>
  <c r="BI24" i="73"/>
  <c r="BF24" i="73"/>
  <c r="BC24" i="73"/>
  <c r="AZ24" i="73"/>
  <c r="AW24" i="73"/>
  <c r="AT24" i="73"/>
  <c r="AQ24" i="73"/>
  <c r="AN24" i="73"/>
  <c r="AI24" i="73"/>
  <c r="EK24" i="73" s="1"/>
  <c r="AB24" i="73"/>
  <c r="Y24" i="73"/>
  <c r="V24" i="73"/>
  <c r="S24" i="73"/>
  <c r="P24" i="73"/>
  <c r="M24" i="73"/>
  <c r="J24" i="73"/>
  <c r="G24" i="73"/>
  <c r="EL23" i="73"/>
  <c r="EK23" i="73"/>
  <c r="EI23" i="73"/>
  <c r="EG23" i="73"/>
  <c r="EB23" i="73"/>
  <c r="DW23" i="73"/>
  <c r="DT23" i="73"/>
  <c r="DQ23" i="73"/>
  <c r="DN23" i="73"/>
  <c r="DK23" i="73"/>
  <c r="DH23" i="73"/>
  <c r="DE23" i="73"/>
  <c r="DB23" i="73"/>
  <c r="CY23" i="73"/>
  <c r="CV23" i="73"/>
  <c r="CS23" i="73"/>
  <c r="CP23" i="73"/>
  <c r="CM23" i="73"/>
  <c r="CJ23" i="73"/>
  <c r="CG23" i="73"/>
  <c r="CD23" i="73"/>
  <c r="CA23" i="73"/>
  <c r="BX23" i="73"/>
  <c r="BU23" i="73"/>
  <c r="BR23" i="73"/>
  <c r="BO23" i="73"/>
  <c r="BL23" i="73"/>
  <c r="BI23" i="73"/>
  <c r="BF23" i="73"/>
  <c r="BC23" i="73"/>
  <c r="AZ23" i="73"/>
  <c r="AW23" i="73"/>
  <c r="AT23" i="73"/>
  <c r="AQ23" i="73"/>
  <c r="AN23" i="73"/>
  <c r="AK23" i="73"/>
  <c r="AI23" i="73"/>
  <c r="AB23" i="73"/>
  <c r="Y23" i="73"/>
  <c r="V23" i="73"/>
  <c r="S23" i="73"/>
  <c r="EH23" i="73" s="1"/>
  <c r="P23" i="73"/>
  <c r="M23" i="73"/>
  <c r="J23" i="73"/>
  <c r="G23" i="73"/>
  <c r="D23" i="73"/>
  <c r="ED23" i="73" s="1"/>
  <c r="EL22" i="73"/>
  <c r="EK22" i="73"/>
  <c r="EG22" i="73"/>
  <c r="EI22" i="73" s="1"/>
  <c r="DW22" i="73"/>
  <c r="DT22" i="73"/>
  <c r="DQ22" i="73"/>
  <c r="DN22" i="73"/>
  <c r="DK22" i="73"/>
  <c r="DH22" i="73"/>
  <c r="DE22" i="73"/>
  <c r="DB22" i="73"/>
  <c r="CY22" i="73"/>
  <c r="CV22" i="73"/>
  <c r="CS22" i="73"/>
  <c r="CP22" i="73"/>
  <c r="CM22" i="73"/>
  <c r="CJ22" i="73"/>
  <c r="CG22" i="73"/>
  <c r="CD22" i="73"/>
  <c r="CA22" i="73"/>
  <c r="BX22" i="73"/>
  <c r="BU22" i="73"/>
  <c r="BR22" i="73"/>
  <c r="BO22" i="73"/>
  <c r="BL22" i="73"/>
  <c r="BI22" i="73"/>
  <c r="BF22" i="73"/>
  <c r="BC22" i="73"/>
  <c r="AZ22" i="73"/>
  <c r="AW22" i="73"/>
  <c r="AT22" i="73"/>
  <c r="AQ22" i="73"/>
  <c r="AN22" i="73"/>
  <c r="AI22" i="73"/>
  <c r="AK22" i="73" s="1"/>
  <c r="AB22" i="73"/>
  <c r="Y22" i="73"/>
  <c r="V22" i="73"/>
  <c r="S22" i="73"/>
  <c r="EH22" i="73" s="1"/>
  <c r="P22" i="73"/>
  <c r="M22" i="73"/>
  <c r="J22" i="73"/>
  <c r="G22" i="73"/>
  <c r="EL21" i="73"/>
  <c r="EG21" i="73"/>
  <c r="EI21" i="73" s="1"/>
  <c r="DW21" i="73"/>
  <c r="DT21" i="73"/>
  <c r="DQ21" i="73"/>
  <c r="DN21" i="73"/>
  <c r="DK21" i="73"/>
  <c r="DH21" i="73"/>
  <c r="DE21" i="73"/>
  <c r="DB21" i="73"/>
  <c r="CY21" i="73"/>
  <c r="CV21" i="73"/>
  <c r="CS21" i="73"/>
  <c r="CP21" i="73"/>
  <c r="CM21" i="73"/>
  <c r="CJ21" i="73"/>
  <c r="CG21" i="73"/>
  <c r="CD21" i="73"/>
  <c r="CA21" i="73"/>
  <c r="BX21" i="73"/>
  <c r="BU21" i="73"/>
  <c r="BR21" i="73"/>
  <c r="BO21" i="73"/>
  <c r="BL21" i="73"/>
  <c r="BI21" i="73"/>
  <c r="BF21" i="73"/>
  <c r="BC21" i="73"/>
  <c r="AZ21" i="73"/>
  <c r="AW21" i="73"/>
  <c r="AT21" i="73"/>
  <c r="AQ21" i="73"/>
  <c r="AN21" i="73"/>
  <c r="AI21" i="73"/>
  <c r="AB21" i="73"/>
  <c r="Y21" i="73"/>
  <c r="V21" i="73"/>
  <c r="EH21" i="73" s="1"/>
  <c r="S21" i="73"/>
  <c r="P21" i="73"/>
  <c r="M21" i="73"/>
  <c r="J21" i="73"/>
  <c r="G21" i="73"/>
  <c r="D21" i="73"/>
  <c r="EL20" i="73"/>
  <c r="EG20" i="73"/>
  <c r="EI20" i="73" s="1"/>
  <c r="DW20" i="73"/>
  <c r="DT20" i="73"/>
  <c r="DQ20" i="73"/>
  <c r="DN20" i="73"/>
  <c r="DK20" i="73"/>
  <c r="DH20" i="73"/>
  <c r="DE20" i="73"/>
  <c r="DB20" i="73"/>
  <c r="CY20" i="73"/>
  <c r="CV20" i="73"/>
  <c r="CS20" i="73"/>
  <c r="CP20" i="73"/>
  <c r="CM20" i="73"/>
  <c r="CJ20" i="73"/>
  <c r="CJ42" i="73" s="1"/>
  <c r="CG20" i="73"/>
  <c r="CD20" i="73"/>
  <c r="CA20" i="73"/>
  <c r="BX20" i="73"/>
  <c r="BU20" i="73"/>
  <c r="BR20" i="73"/>
  <c r="BO20" i="73"/>
  <c r="BL20" i="73"/>
  <c r="BI20" i="73"/>
  <c r="BF20" i="73"/>
  <c r="BC20" i="73"/>
  <c r="AZ20" i="73"/>
  <c r="AW20" i="73"/>
  <c r="AT20" i="73"/>
  <c r="AQ20" i="73"/>
  <c r="AN20" i="73"/>
  <c r="AI20" i="73"/>
  <c r="EK20" i="73" s="1"/>
  <c r="AB20" i="73"/>
  <c r="Y20" i="73"/>
  <c r="V20" i="73"/>
  <c r="S20" i="73"/>
  <c r="EH20" i="73" s="1"/>
  <c r="P20" i="73"/>
  <c r="M20" i="73"/>
  <c r="J20" i="73"/>
  <c r="G20" i="73"/>
  <c r="D20" i="73"/>
  <c r="EL19" i="73"/>
  <c r="EK19" i="73"/>
  <c r="EI19" i="73"/>
  <c r="EG19" i="73"/>
  <c r="EB19" i="73"/>
  <c r="DW19" i="73"/>
  <c r="DT19" i="73"/>
  <c r="DQ19" i="73"/>
  <c r="DN19" i="73"/>
  <c r="DK19" i="73"/>
  <c r="DH19" i="73"/>
  <c r="DE19" i="73"/>
  <c r="DB19" i="73"/>
  <c r="CY19" i="73"/>
  <c r="CV19" i="73"/>
  <c r="CS19" i="73"/>
  <c r="CP19" i="73"/>
  <c r="CM19" i="73"/>
  <c r="CM42" i="73" s="1"/>
  <c r="CJ19" i="73"/>
  <c r="CG19" i="73"/>
  <c r="CD19" i="73"/>
  <c r="CA19" i="73"/>
  <c r="BX19" i="73"/>
  <c r="BU19" i="73"/>
  <c r="BR19" i="73"/>
  <c r="BO19" i="73"/>
  <c r="BL19" i="73"/>
  <c r="BI19" i="73"/>
  <c r="BF19" i="73"/>
  <c r="BC19" i="73"/>
  <c r="AZ19" i="73"/>
  <c r="AW19" i="73"/>
  <c r="AT19" i="73"/>
  <c r="AQ19" i="73"/>
  <c r="AN19" i="73"/>
  <c r="AK19" i="73"/>
  <c r="AB19" i="73"/>
  <c r="Y19" i="73"/>
  <c r="V19" i="73"/>
  <c r="S19" i="73"/>
  <c r="EH19" i="73" s="1"/>
  <c r="P19" i="73"/>
  <c r="M19" i="73"/>
  <c r="J19" i="73"/>
  <c r="G19" i="73"/>
  <c r="D19" i="73"/>
  <c r="EL18" i="73"/>
  <c r="EK18" i="73"/>
  <c r="EG18" i="73"/>
  <c r="EI18" i="73" s="1"/>
  <c r="DW18" i="73"/>
  <c r="DT18" i="73"/>
  <c r="DQ18" i="73"/>
  <c r="DN18" i="73"/>
  <c r="DK18" i="73"/>
  <c r="DH18" i="73"/>
  <c r="DE18" i="73"/>
  <c r="DB18" i="73"/>
  <c r="CY18" i="73"/>
  <c r="CV18" i="73"/>
  <c r="CS18" i="73"/>
  <c r="CP18" i="73"/>
  <c r="CM18" i="73"/>
  <c r="CJ18" i="73"/>
  <c r="CG18" i="73"/>
  <c r="CD18" i="73"/>
  <c r="CA18" i="73"/>
  <c r="BX18" i="73"/>
  <c r="BU18" i="73"/>
  <c r="BR18" i="73"/>
  <c r="BO18" i="73"/>
  <c r="BL18" i="73"/>
  <c r="BI18" i="73"/>
  <c r="BF18" i="73"/>
  <c r="BC18" i="73"/>
  <c r="AZ18" i="73"/>
  <c r="AW18" i="73"/>
  <c r="AT18" i="73"/>
  <c r="AQ18" i="73"/>
  <c r="AN18" i="73"/>
  <c r="AK18" i="73"/>
  <c r="AB18" i="73"/>
  <c r="Y18" i="73"/>
  <c r="V18" i="73"/>
  <c r="S18" i="73"/>
  <c r="P18" i="73"/>
  <c r="M18" i="73"/>
  <c r="J18" i="73"/>
  <c r="G18" i="73"/>
  <c r="EL17" i="73"/>
  <c r="EI17" i="73"/>
  <c r="EH17" i="73"/>
  <c r="EG17" i="73"/>
  <c r="DW17" i="73"/>
  <c r="DT17" i="73"/>
  <c r="DQ17" i="73"/>
  <c r="DN17" i="73"/>
  <c r="DK17" i="73"/>
  <c r="DH17" i="73"/>
  <c r="DE17" i="73"/>
  <c r="DB17" i="73"/>
  <c r="CY17" i="73"/>
  <c r="CV17" i="73"/>
  <c r="CS17" i="73"/>
  <c r="CP17" i="73"/>
  <c r="CM17" i="73"/>
  <c r="CJ17" i="73"/>
  <c r="CG17" i="73"/>
  <c r="CD17" i="73"/>
  <c r="CA17" i="73"/>
  <c r="BX17" i="73"/>
  <c r="BU17" i="73"/>
  <c r="BR17" i="73"/>
  <c r="BO17" i="73"/>
  <c r="BL17" i="73"/>
  <c r="BI17" i="73"/>
  <c r="BF17" i="73"/>
  <c r="BC17" i="73"/>
  <c r="AZ17" i="73"/>
  <c r="AW17" i="73"/>
  <c r="AT17" i="73"/>
  <c r="AQ17" i="73"/>
  <c r="AN17" i="73"/>
  <c r="AI17" i="73"/>
  <c r="EK17" i="73" s="1"/>
  <c r="AB17" i="73"/>
  <c r="Y17" i="73"/>
  <c r="V17" i="73"/>
  <c r="S17" i="73"/>
  <c r="P17" i="73"/>
  <c r="M17" i="73"/>
  <c r="J17" i="73"/>
  <c r="G17" i="73"/>
  <c r="EL16" i="73"/>
  <c r="EK16" i="73"/>
  <c r="EI16" i="73"/>
  <c r="EG16" i="73"/>
  <c r="DW16" i="73"/>
  <c r="DT16" i="73"/>
  <c r="DQ16" i="73"/>
  <c r="DN16" i="73"/>
  <c r="DK16" i="73"/>
  <c r="DH16" i="73"/>
  <c r="DE16" i="73"/>
  <c r="DB16" i="73"/>
  <c r="CY16" i="73"/>
  <c r="CV16" i="73"/>
  <c r="CS16" i="73"/>
  <c r="CP16" i="73"/>
  <c r="CM16" i="73"/>
  <c r="CJ16" i="73"/>
  <c r="CG16" i="73"/>
  <c r="CD16" i="73"/>
  <c r="CA16" i="73"/>
  <c r="BX16" i="73"/>
  <c r="BU16" i="73"/>
  <c r="BR16" i="73"/>
  <c r="BO16" i="73"/>
  <c r="BL16" i="73"/>
  <c r="BI16" i="73"/>
  <c r="BF16" i="73"/>
  <c r="BC16" i="73"/>
  <c r="AZ16" i="73"/>
  <c r="AW16" i="73"/>
  <c r="AT16" i="73"/>
  <c r="AQ16" i="73"/>
  <c r="AN16" i="73"/>
  <c r="AI16" i="73"/>
  <c r="AK16" i="73" s="1"/>
  <c r="AB16" i="73"/>
  <c r="Y16" i="73"/>
  <c r="V16" i="73"/>
  <c r="S16" i="73"/>
  <c r="P16" i="73"/>
  <c r="M16" i="73"/>
  <c r="J16" i="73"/>
  <c r="G16" i="73"/>
  <c r="A16" i="73"/>
  <c r="A17" i="73" s="1"/>
  <c r="A18" i="73" s="1"/>
  <c r="A19" i="73" s="1"/>
  <c r="A20" i="73" s="1"/>
  <c r="A21" i="73" s="1"/>
  <c r="A22" i="73" s="1"/>
  <c r="A23" i="73" s="1"/>
  <c r="A24" i="73" s="1"/>
  <c r="A25" i="73" s="1"/>
  <c r="A26" i="73" s="1"/>
  <c r="A27" i="73" s="1"/>
  <c r="A28" i="73" s="1"/>
  <c r="A29" i="73" s="1"/>
  <c r="A30" i="73" s="1"/>
  <c r="A31" i="73" s="1"/>
  <c r="A32" i="73" s="1"/>
  <c r="A33" i="73" s="1"/>
  <c r="A34" i="73" s="1"/>
  <c r="A35" i="73" s="1"/>
  <c r="A36" i="73" s="1"/>
  <c r="A37" i="73" s="1"/>
  <c r="A38" i="73" s="1"/>
  <c r="A39" i="73" s="1"/>
  <c r="A40" i="73" s="1"/>
  <c r="A41" i="73" s="1"/>
  <c r="EN15" i="73"/>
  <c r="EL15" i="73"/>
  <c r="EK15" i="73"/>
  <c r="EG15" i="73"/>
  <c r="EI15" i="73" s="1"/>
  <c r="DW15" i="73"/>
  <c r="DT15" i="73"/>
  <c r="DQ15" i="73"/>
  <c r="DN15" i="73"/>
  <c r="DK15" i="73"/>
  <c r="DH15" i="73"/>
  <c r="DE15" i="73"/>
  <c r="DB15" i="73"/>
  <c r="CY15" i="73"/>
  <c r="CV15" i="73"/>
  <c r="CS15" i="73"/>
  <c r="CP15" i="73"/>
  <c r="CM15" i="73"/>
  <c r="CJ15" i="73"/>
  <c r="CG15" i="73"/>
  <c r="CD15" i="73"/>
  <c r="CA15" i="73"/>
  <c r="BX15" i="73"/>
  <c r="BU15" i="73"/>
  <c r="BR15" i="73"/>
  <c r="BO15" i="73"/>
  <c r="BL15" i="73"/>
  <c r="BI15" i="73"/>
  <c r="BF15" i="73"/>
  <c r="BC15" i="73"/>
  <c r="AZ15" i="73"/>
  <c r="AW15" i="73"/>
  <c r="AT15" i="73"/>
  <c r="AQ15" i="73"/>
  <c r="AN15" i="73"/>
  <c r="AK15" i="73"/>
  <c r="AB15" i="73"/>
  <c r="Y15" i="73"/>
  <c r="V15" i="73"/>
  <c r="S15" i="73"/>
  <c r="EH15" i="73" s="1"/>
  <c r="P15" i="73"/>
  <c r="M15" i="73"/>
  <c r="J15" i="73"/>
  <c r="G15" i="73"/>
  <c r="A15" i="73"/>
  <c r="EL14" i="73"/>
  <c r="EK14" i="73"/>
  <c r="EN14" i="73" s="1"/>
  <c r="EG14" i="73"/>
  <c r="EI14" i="73" s="1"/>
  <c r="DW14" i="73"/>
  <c r="DT14" i="73"/>
  <c r="DQ14" i="73"/>
  <c r="DN14" i="73"/>
  <c r="DK14" i="73"/>
  <c r="DH14" i="73"/>
  <c r="DE14" i="73"/>
  <c r="DB14" i="73"/>
  <c r="CY14" i="73"/>
  <c r="CV14" i="73"/>
  <c r="CS14" i="73"/>
  <c r="CP14" i="73"/>
  <c r="CM14" i="73"/>
  <c r="CJ14" i="73"/>
  <c r="CG14" i="73"/>
  <c r="CD14" i="73"/>
  <c r="CA14" i="73"/>
  <c r="BX14" i="73"/>
  <c r="BU14" i="73"/>
  <c r="BR14" i="73"/>
  <c r="BO14" i="73"/>
  <c r="BL14" i="73"/>
  <c r="BI14" i="73"/>
  <c r="BF14" i="73"/>
  <c r="BC14" i="73"/>
  <c r="AZ14" i="73"/>
  <c r="AW14" i="73"/>
  <c r="AT14" i="73"/>
  <c r="AQ14" i="73"/>
  <c r="AN14" i="73"/>
  <c r="AK14" i="73"/>
  <c r="AB14" i="73"/>
  <c r="EH14" i="73" s="1"/>
  <c r="Y14" i="73"/>
  <c r="V14" i="73"/>
  <c r="S14" i="73"/>
  <c r="P14" i="73"/>
  <c r="M14" i="73"/>
  <c r="J14" i="73"/>
  <c r="G14" i="73"/>
  <c r="EN13" i="73"/>
  <c r="EL13" i="73"/>
  <c r="EK13" i="73"/>
  <c r="EG13" i="73"/>
  <c r="EI13" i="73" s="1"/>
  <c r="EC13" i="73"/>
  <c r="EB13" i="73"/>
  <c r="DW13" i="73"/>
  <c r="DT13" i="73"/>
  <c r="DQ13" i="73"/>
  <c r="DN13" i="73"/>
  <c r="DK13" i="73"/>
  <c r="DH13" i="73"/>
  <c r="DE13" i="73"/>
  <c r="DB13" i="73"/>
  <c r="CY13" i="73"/>
  <c r="CV13" i="73"/>
  <c r="CS13" i="73"/>
  <c r="CP13" i="73"/>
  <c r="CM13" i="73"/>
  <c r="CJ13" i="73"/>
  <c r="CG13" i="73"/>
  <c r="CD13" i="73"/>
  <c r="CA13" i="73"/>
  <c r="BX13" i="73"/>
  <c r="BU13" i="73"/>
  <c r="BR13" i="73"/>
  <c r="BO13" i="73"/>
  <c r="BL13" i="73"/>
  <c r="BI13" i="73"/>
  <c r="BI42" i="73" s="1"/>
  <c r="BF13" i="73"/>
  <c r="BC13" i="73"/>
  <c r="AZ13" i="73"/>
  <c r="AW13" i="73"/>
  <c r="AT13" i="73"/>
  <c r="AQ13" i="73"/>
  <c r="AN13" i="73"/>
  <c r="AK13" i="73"/>
  <c r="AB13" i="73"/>
  <c r="Y13" i="73"/>
  <c r="V13" i="73"/>
  <c r="S13" i="73"/>
  <c r="P13" i="73"/>
  <c r="M13" i="73"/>
  <c r="J13" i="73"/>
  <c r="G13" i="73"/>
  <c r="D13" i="73"/>
  <c r="A13" i="73"/>
  <c r="A14" i="73" s="1"/>
  <c r="EN12" i="73"/>
  <c r="EL12" i="73"/>
  <c r="EK12" i="73"/>
  <c r="EG12" i="73"/>
  <c r="EB12" i="73"/>
  <c r="DW12" i="73"/>
  <c r="DT12" i="73"/>
  <c r="DQ12" i="73"/>
  <c r="DN12" i="73"/>
  <c r="DK12" i="73"/>
  <c r="DH12" i="73"/>
  <c r="DE12" i="73"/>
  <c r="EM12" i="73" s="1"/>
  <c r="DB12" i="73"/>
  <c r="CY12" i="73"/>
  <c r="CV12" i="73"/>
  <c r="CS12" i="73"/>
  <c r="CP12" i="73"/>
  <c r="CM12" i="73"/>
  <c r="CJ12" i="73"/>
  <c r="CG12" i="73"/>
  <c r="CD12" i="73"/>
  <c r="CA12" i="73"/>
  <c r="BX12" i="73"/>
  <c r="BU12" i="73"/>
  <c r="BR12" i="73"/>
  <c r="BO12" i="73"/>
  <c r="BL12" i="73"/>
  <c r="BI12" i="73"/>
  <c r="BF12" i="73"/>
  <c r="BC12" i="73"/>
  <c r="AZ12" i="73"/>
  <c r="AW12" i="73"/>
  <c r="AT12" i="73"/>
  <c r="AQ12" i="73"/>
  <c r="AN12" i="73"/>
  <c r="AK12" i="73"/>
  <c r="AB12" i="73"/>
  <c r="Y12" i="73"/>
  <c r="V12" i="73"/>
  <c r="EH12" i="73" s="1"/>
  <c r="S12" i="73"/>
  <c r="P12" i="73"/>
  <c r="M12" i="73"/>
  <c r="J12" i="73"/>
  <c r="G12" i="73"/>
  <c r="D12" i="73"/>
  <c r="ED12" i="73" s="1"/>
  <c r="A12" i="73"/>
  <c r="EL11" i="73"/>
  <c r="EC11" i="73" s="1"/>
  <c r="EK11" i="73"/>
  <c r="EN11" i="73" s="1"/>
  <c r="EI11" i="73"/>
  <c r="EG11" i="73"/>
  <c r="EB11" i="73"/>
  <c r="DW11" i="73"/>
  <c r="DT11" i="73"/>
  <c r="DQ11" i="73"/>
  <c r="DN11" i="73"/>
  <c r="DK11" i="73"/>
  <c r="DH11" i="73"/>
  <c r="DH42" i="73" s="1"/>
  <c r="DE11" i="73"/>
  <c r="DB11" i="73"/>
  <c r="CY11" i="73"/>
  <c r="CV11" i="73"/>
  <c r="CS11" i="73"/>
  <c r="CP11" i="73"/>
  <c r="CM11" i="73"/>
  <c r="CJ11" i="73"/>
  <c r="CG11" i="73"/>
  <c r="CD11" i="73"/>
  <c r="CA11" i="73"/>
  <c r="BX11" i="73"/>
  <c r="BX42" i="73" s="1"/>
  <c r="BU11" i="73"/>
  <c r="BR11" i="73"/>
  <c r="BO11" i="73"/>
  <c r="BL11" i="73"/>
  <c r="BI11" i="73"/>
  <c r="BF11" i="73"/>
  <c r="BC11" i="73"/>
  <c r="AZ11" i="73"/>
  <c r="AW11" i="73"/>
  <c r="AT11" i="73"/>
  <c r="AQ11" i="73"/>
  <c r="AN11" i="73"/>
  <c r="AK11" i="73"/>
  <c r="AB11" i="73"/>
  <c r="Y11" i="73"/>
  <c r="V11" i="73"/>
  <c r="S11" i="73"/>
  <c r="P11" i="73"/>
  <c r="M11" i="73"/>
  <c r="J11" i="73"/>
  <c r="G11" i="73"/>
  <c r="D11" i="73"/>
  <c r="ED11" i="73" l="1"/>
  <c r="EM14" i="73"/>
  <c r="EE19" i="73"/>
  <c r="EC19" i="73"/>
  <c r="EE33" i="73"/>
  <c r="EC33" i="73"/>
  <c r="P42" i="73"/>
  <c r="ED21" i="73"/>
  <c r="EM28" i="73"/>
  <c r="D32" i="73"/>
  <c r="ED32" i="73" s="1"/>
  <c r="EB32" i="73"/>
  <c r="CY42" i="73"/>
  <c r="EM27" i="73"/>
  <c r="BU42" i="73"/>
  <c r="DE42" i="73"/>
  <c r="DB42" i="73"/>
  <c r="AE42" i="73"/>
  <c r="BO42" i="73"/>
  <c r="ED20" i="73"/>
  <c r="ED27" i="73"/>
  <c r="AN42" i="73"/>
  <c r="ED19" i="73"/>
  <c r="G42" i="73"/>
  <c r="AQ42" i="73"/>
  <c r="CA42" i="73"/>
  <c r="DK42" i="73"/>
  <c r="AH42" i="73"/>
  <c r="D16" i="73"/>
  <c r="ED16" i="73" s="1"/>
  <c r="EB16" i="73"/>
  <c r="EB17" i="73"/>
  <c r="D17" i="73"/>
  <c r="ED17" i="73" s="1"/>
  <c r="EM13" i="73"/>
  <c r="EM40" i="73"/>
  <c r="EN40" i="73" s="1"/>
  <c r="EI12" i="73"/>
  <c r="EI5" i="73"/>
  <c r="ED13" i="73"/>
  <c r="CP42" i="73"/>
  <c r="EE13" i="73"/>
  <c r="EM34" i="73"/>
  <c r="EM41" i="73"/>
  <c r="EM22" i="73"/>
  <c r="EN22" i="73" s="1"/>
  <c r="EB25" i="73"/>
  <c r="EK25" i="73"/>
  <c r="AK25" i="73"/>
  <c r="ED25" i="73" s="1"/>
  <c r="EM30" i="73"/>
  <c r="EM35" i="73"/>
  <c r="EM15" i="73"/>
  <c r="AK17" i="73"/>
  <c r="ED33" i="73"/>
  <c r="EN33" i="73"/>
  <c r="Y42" i="73"/>
  <c r="CS42" i="73"/>
  <c r="ED34" i="73"/>
  <c r="D38" i="73"/>
  <c r="ED38" i="73" s="1"/>
  <c r="EB38" i="73"/>
  <c r="EB40" i="73"/>
  <c r="D40" i="73"/>
  <c r="BR42" i="73"/>
  <c r="EM17" i="73"/>
  <c r="EN17" i="73" s="1"/>
  <c r="AK20" i="73"/>
  <c r="EM20" i="73" s="1"/>
  <c r="EN20" i="73" s="1"/>
  <c r="EB21" i="73"/>
  <c r="EK21" i="73"/>
  <c r="EH24" i="73"/>
  <c r="EC29" i="73"/>
  <c r="D30" i="73"/>
  <c r="ED30" i="73" s="1"/>
  <c r="EB30" i="73"/>
  <c r="D36" i="73"/>
  <c r="EB36" i="73"/>
  <c r="EB37" i="73"/>
  <c r="D37" i="73"/>
  <c r="EK37" i="73"/>
  <c r="AK37" i="73"/>
  <c r="EM37" i="73" s="1"/>
  <c r="EC12" i="73"/>
  <c r="D14" i="73"/>
  <c r="ED14" i="73" s="1"/>
  <c r="EB14" i="73"/>
  <c r="EM18" i="73"/>
  <c r="EN18" i="73" s="1"/>
  <c r="AK21" i="73"/>
  <c r="EM21" i="73" s="1"/>
  <c r="EB22" i="73"/>
  <c r="D22" i="73"/>
  <c r="ED22" i="73" s="1"/>
  <c r="EH26" i="73"/>
  <c r="EB28" i="73"/>
  <c r="AN28" i="73"/>
  <c r="ED28" i="73" s="1"/>
  <c r="AN29" i="73"/>
  <c r="EM29" i="73" s="1"/>
  <c r="EN29" i="73" s="1"/>
  <c r="EK36" i="73"/>
  <c r="AN36" i="73"/>
  <c r="EM36" i="73" s="1"/>
  <c r="ED41" i="73"/>
  <c r="EE12" i="73"/>
  <c r="AZ42" i="73"/>
  <c r="EB15" i="73"/>
  <c r="D15" i="73"/>
  <c r="ED15" i="73" s="1"/>
  <c r="EN16" i="73"/>
  <c r="EH18" i="73"/>
  <c r="EM19" i="73"/>
  <c r="EN19" i="73" s="1"/>
  <c r="D31" i="73"/>
  <c r="ED31" i="73" s="1"/>
  <c r="EB31" i="73"/>
  <c r="EB24" i="73"/>
  <c r="D24" i="73"/>
  <c r="ED24" i="73" s="1"/>
  <c r="EB26" i="73"/>
  <c r="D26" i="73"/>
  <c r="ED26" i="73" s="1"/>
  <c r="EM16" i="73"/>
  <c r="EB18" i="73"/>
  <c r="D18" i="73"/>
  <c r="ED18" i="73" s="1"/>
  <c r="EM23" i="73"/>
  <c r="EN23" i="73" s="1"/>
  <c r="S42" i="73"/>
  <c r="EH11" i="73"/>
  <c r="EH42" i="73" s="1"/>
  <c r="BC42" i="73"/>
  <c r="DW42" i="73"/>
  <c r="EE34" i="73"/>
  <c r="EN34" i="73"/>
  <c r="EC34" i="73"/>
  <c r="V42" i="73"/>
  <c r="BF42" i="73"/>
  <c r="EE11" i="73"/>
  <c r="EH16" i="73"/>
  <c r="EB20" i="73"/>
  <c r="EM25" i="73"/>
  <c r="EB39" i="73"/>
  <c r="D39" i="73"/>
  <c r="ED39" i="73" s="1"/>
  <c r="DT42" i="73"/>
  <c r="EH31" i="73"/>
  <c r="EK35" i="73"/>
  <c r="EH40" i="73"/>
  <c r="AB42" i="73"/>
  <c r="BL42" i="73"/>
  <c r="CV42" i="73"/>
  <c r="EK28" i="73"/>
  <c r="AQ28" i="73"/>
  <c r="EK30" i="73"/>
  <c r="AN35" i="73"/>
  <c r="ED35" i="73" s="1"/>
  <c r="EI3" i="73"/>
  <c r="EI4" i="73" s="1"/>
  <c r="EK32" i="73"/>
  <c r="EN32" i="73" s="1"/>
  <c r="EM33" i="73"/>
  <c r="AN39" i="73"/>
  <c r="EM39" i="73" s="1"/>
  <c r="EN39" i="73" s="1"/>
  <c r="EK41" i="73"/>
  <c r="EB41" i="73"/>
  <c r="EB27" i="73"/>
  <c r="EK27" i="73"/>
  <c r="EN27" i="73" s="1"/>
  <c r="ED29" i="73"/>
  <c r="EE29" i="73" s="1"/>
  <c r="AN32" i="73"/>
  <c r="EM32" i="73" s="1"/>
  <c r="AN41" i="73"/>
  <c r="J42" i="73"/>
  <c r="AT42" i="73"/>
  <c r="CD42" i="73"/>
  <c r="DN42" i="73"/>
  <c r="EE23" i="73"/>
  <c r="AK24" i="73"/>
  <c r="EM24" i="73" s="1"/>
  <c r="EN24" i="73" s="1"/>
  <c r="AK26" i="73"/>
  <c r="EM26" i="73" s="1"/>
  <c r="EN26" i="73" s="1"/>
  <c r="AK31" i="73"/>
  <c r="EM31" i="73" s="1"/>
  <c r="EN31" i="73" s="1"/>
  <c r="EB35" i="73"/>
  <c r="EK38" i="73"/>
  <c r="AN38" i="73"/>
  <c r="EM38" i="73" s="1"/>
  <c r="AK40" i="73"/>
  <c r="EI40" i="73"/>
  <c r="M42" i="73"/>
  <c r="AW42" i="73"/>
  <c r="CG42" i="73"/>
  <c r="DQ42" i="73"/>
  <c r="EH13" i="73"/>
  <c r="EC23" i="73"/>
  <c r="EM11" i="73"/>
  <c r="EN3" i="73" l="1"/>
  <c r="EN4" i="73" s="1"/>
  <c r="EC26" i="73"/>
  <c r="EE26" i="73"/>
  <c r="EE14" i="73"/>
  <c r="EC14" i="73"/>
  <c r="EE39" i="73"/>
  <c r="EC39" i="73"/>
  <c r="EN38" i="73"/>
  <c r="EN28" i="73"/>
  <c r="EN21" i="73"/>
  <c r="EN37" i="73"/>
  <c r="EM42" i="73"/>
  <c r="EE5" i="73"/>
  <c r="G7" i="73" s="1"/>
  <c r="EC28" i="73"/>
  <c r="EE28" i="73"/>
  <c r="ED37" i="73"/>
  <c r="EE37" i="73" s="1"/>
  <c r="EC37" i="73"/>
  <c r="EN2" i="73"/>
  <c r="EP2" i="73" s="1"/>
  <c r="EN41" i="73"/>
  <c r="EC36" i="73"/>
  <c r="EN35" i="73"/>
  <c r="EE18" i="73"/>
  <c r="EC18" i="73"/>
  <c r="EC22" i="73"/>
  <c r="EE22" i="73"/>
  <c r="ED36" i="73"/>
  <c r="ED42" i="73" s="1"/>
  <c r="AK42" i="73"/>
  <c r="EC38" i="73"/>
  <c r="EE38" i="73"/>
  <c r="EC17" i="73"/>
  <c r="EE17" i="73"/>
  <c r="EE20" i="73"/>
  <c r="EC20" i="73"/>
  <c r="EC31" i="73"/>
  <c r="EE31" i="73"/>
  <c r="EE25" i="73"/>
  <c r="EC25" i="73"/>
  <c r="EC35" i="73"/>
  <c r="EE35" i="73"/>
  <c r="EE21" i="73"/>
  <c r="EC21" i="73"/>
  <c r="EC27" i="73"/>
  <c r="EE27" i="73"/>
  <c r="EC41" i="73"/>
  <c r="EE41" i="73"/>
  <c r="EE2" i="73"/>
  <c r="EQ2" i="73" s="1"/>
  <c r="G4" i="73" s="1"/>
  <c r="EC15" i="73"/>
  <c r="EE15" i="73"/>
  <c r="EE30" i="73"/>
  <c r="EC30" i="73"/>
  <c r="ED40" i="73"/>
  <c r="EE40" i="73" s="1"/>
  <c r="EE3" i="73"/>
  <c r="EN5" i="73"/>
  <c r="EC32" i="73"/>
  <c r="EE32" i="73"/>
  <c r="EC40" i="73"/>
  <c r="EE16" i="73"/>
  <c r="EC16" i="73"/>
  <c r="EN30" i="73"/>
  <c r="EC24" i="73"/>
  <c r="EE24" i="73"/>
  <c r="D42" i="73"/>
  <c r="EN36" i="73"/>
  <c r="EN25" i="73"/>
  <c r="EE36" i="73" l="1"/>
  <c r="G5" i="73"/>
  <c r="EE4" i="73"/>
  <c r="G6" i="73" s="1"/>
  <c r="EL41" i="72" l="1"/>
  <c r="EK41" i="72"/>
  <c r="EG41" i="72"/>
  <c r="EI41" i="72" s="1"/>
  <c r="EB41" i="72"/>
  <c r="DW41" i="72"/>
  <c r="DT41" i="72"/>
  <c r="DQ41" i="72"/>
  <c r="DN41" i="72"/>
  <c r="DK41" i="72"/>
  <c r="DH41" i="72"/>
  <c r="DE41" i="72"/>
  <c r="DB41" i="72"/>
  <c r="CY41" i="72"/>
  <c r="CV41" i="72"/>
  <c r="CS41" i="72"/>
  <c r="CP41" i="72"/>
  <c r="CM41" i="72"/>
  <c r="CJ41" i="72"/>
  <c r="CG41" i="72"/>
  <c r="CD41" i="72"/>
  <c r="CA41" i="72"/>
  <c r="BX41" i="72"/>
  <c r="BU41" i="72"/>
  <c r="BR41" i="72"/>
  <c r="BO41" i="72"/>
  <c r="BL41" i="72"/>
  <c r="BI41" i="72"/>
  <c r="BF41" i="72"/>
  <c r="BC41" i="72"/>
  <c r="AZ41" i="72"/>
  <c r="AW41" i="72"/>
  <c r="AT41" i="72"/>
  <c r="AQ41" i="72"/>
  <c r="AN41" i="72"/>
  <c r="AK41" i="72"/>
  <c r="AB41" i="72"/>
  <c r="ED41" i="72" s="1"/>
  <c r="Y41" i="72"/>
  <c r="V41" i="72"/>
  <c r="S41" i="72"/>
  <c r="P41" i="72"/>
  <c r="M41" i="72"/>
  <c r="J41" i="72"/>
  <c r="G41" i="72"/>
  <c r="D41" i="72"/>
  <c r="EL40" i="72"/>
  <c r="EI40" i="72"/>
  <c r="EG40" i="72"/>
  <c r="DW40" i="72"/>
  <c r="DT40" i="72"/>
  <c r="DQ40" i="72"/>
  <c r="DN40" i="72"/>
  <c r="DK40" i="72"/>
  <c r="EM40" i="72" s="1"/>
  <c r="DH40" i="72"/>
  <c r="DE40" i="72"/>
  <c r="DB40" i="72"/>
  <c r="CY40" i="72"/>
  <c r="CV40" i="72"/>
  <c r="CS40" i="72"/>
  <c r="CP40" i="72"/>
  <c r="CM40" i="72"/>
  <c r="CJ40" i="72"/>
  <c r="CG40" i="72"/>
  <c r="CD40" i="72"/>
  <c r="CA40" i="72"/>
  <c r="BX40" i="72"/>
  <c r="BU40" i="72"/>
  <c r="BR40" i="72"/>
  <c r="BO40" i="72"/>
  <c r="BL40" i="72"/>
  <c r="BI40" i="72"/>
  <c r="BF40" i="72"/>
  <c r="BC40" i="72"/>
  <c r="AZ40" i="72"/>
  <c r="AW40" i="72"/>
  <c r="AT40" i="72"/>
  <c r="AQ40" i="72"/>
  <c r="AN40" i="72"/>
  <c r="AK40" i="72"/>
  <c r="AI40" i="72"/>
  <c r="EK40" i="72" s="1"/>
  <c r="EN40" i="72" s="1"/>
  <c r="AB40" i="72"/>
  <c r="Y40" i="72"/>
  <c r="V40" i="72"/>
  <c r="S40" i="72"/>
  <c r="EH40" i="72" s="1"/>
  <c r="P40" i="72"/>
  <c r="M40" i="72"/>
  <c r="J40" i="72"/>
  <c r="G40" i="72"/>
  <c r="D40" i="72"/>
  <c r="ED40" i="72" s="1"/>
  <c r="EB40" i="72"/>
  <c r="EL39" i="72"/>
  <c r="EG39" i="72"/>
  <c r="EI39" i="72" s="1"/>
  <c r="EB39" i="72"/>
  <c r="DW39" i="72"/>
  <c r="DT39" i="72"/>
  <c r="DQ39" i="72"/>
  <c r="DN39" i="72"/>
  <c r="DK39" i="72"/>
  <c r="DH39" i="72"/>
  <c r="DE39" i="72"/>
  <c r="DB39" i="72"/>
  <c r="CY39" i="72"/>
  <c r="CV39" i="72"/>
  <c r="CS39" i="72"/>
  <c r="CP39" i="72"/>
  <c r="CM39" i="72"/>
  <c r="CJ39" i="72"/>
  <c r="CG39" i="72"/>
  <c r="CD39" i="72"/>
  <c r="CA39" i="72"/>
  <c r="BX39" i="72"/>
  <c r="BU39" i="72"/>
  <c r="BR39" i="72"/>
  <c r="BO39" i="72"/>
  <c r="BL39" i="72"/>
  <c r="BI39" i="72"/>
  <c r="BF39" i="72"/>
  <c r="BC39" i="72"/>
  <c r="AZ39" i="72"/>
  <c r="AW39" i="72"/>
  <c r="AT39" i="72"/>
  <c r="AQ39" i="72"/>
  <c r="AN39" i="72"/>
  <c r="AI39" i="72"/>
  <c r="EK39" i="72" s="1"/>
  <c r="AB39" i="72"/>
  <c r="Y39" i="72"/>
  <c r="EH39" i="72" s="1"/>
  <c r="V39" i="72"/>
  <c r="S39" i="72"/>
  <c r="P39" i="72"/>
  <c r="M39" i="72"/>
  <c r="J39" i="72"/>
  <c r="G39" i="72"/>
  <c r="D39" i="72"/>
  <c r="EL38" i="72"/>
  <c r="EG38" i="72"/>
  <c r="EI38" i="72" s="1"/>
  <c r="DW38" i="72"/>
  <c r="DT38" i="72"/>
  <c r="DQ38" i="72"/>
  <c r="DN38" i="72"/>
  <c r="DK38" i="72"/>
  <c r="DH38" i="72"/>
  <c r="DE38" i="72"/>
  <c r="DB38" i="72"/>
  <c r="CY38" i="72"/>
  <c r="CV38" i="72"/>
  <c r="CS38" i="72"/>
  <c r="CP38" i="72"/>
  <c r="CM38" i="72"/>
  <c r="CJ38" i="72"/>
  <c r="CG38" i="72"/>
  <c r="CD38" i="72"/>
  <c r="CA38" i="72"/>
  <c r="BX38" i="72"/>
  <c r="BU38" i="72"/>
  <c r="BR38" i="72"/>
  <c r="BO38" i="72"/>
  <c r="BL38" i="72"/>
  <c r="BI38" i="72"/>
  <c r="BF38" i="72"/>
  <c r="BC38" i="72"/>
  <c r="AZ38" i="72"/>
  <c r="AW38" i="72"/>
  <c r="AT38" i="72"/>
  <c r="AQ38" i="72"/>
  <c r="AN38" i="72"/>
  <c r="AI38" i="72"/>
  <c r="AB38" i="72"/>
  <c r="Y38" i="72"/>
  <c r="V38" i="72"/>
  <c r="S38" i="72"/>
  <c r="P38" i="72"/>
  <c r="M38" i="72"/>
  <c r="J38" i="72"/>
  <c r="G38" i="72"/>
  <c r="EL37" i="72"/>
  <c r="EK37" i="72"/>
  <c r="EI37" i="72"/>
  <c r="EG37" i="72"/>
  <c r="EB37" i="72"/>
  <c r="DW37" i="72"/>
  <c r="DT37" i="72"/>
  <c r="DQ37" i="72"/>
  <c r="DN37" i="72"/>
  <c r="DK37" i="72"/>
  <c r="DH37" i="72"/>
  <c r="DE37" i="72"/>
  <c r="DB37" i="72"/>
  <c r="CY37" i="72"/>
  <c r="CV37" i="72"/>
  <c r="CS37" i="72"/>
  <c r="CP37" i="72"/>
  <c r="CM37" i="72"/>
  <c r="CJ37" i="72"/>
  <c r="CG37" i="72"/>
  <c r="CD37" i="72"/>
  <c r="CA37" i="72"/>
  <c r="BX37" i="72"/>
  <c r="BU37" i="72"/>
  <c r="BR37" i="72"/>
  <c r="BO37" i="72"/>
  <c r="BL37" i="72"/>
  <c r="BI37" i="72"/>
  <c r="BF37" i="72"/>
  <c r="BC37" i="72"/>
  <c r="AZ37" i="72"/>
  <c r="AW37" i="72"/>
  <c r="AT37" i="72"/>
  <c r="AQ37" i="72"/>
  <c r="AN37" i="72"/>
  <c r="AK37" i="72"/>
  <c r="AI37" i="72"/>
  <c r="AB37" i="72"/>
  <c r="Y37" i="72"/>
  <c r="V37" i="72"/>
  <c r="S37" i="72"/>
  <c r="EH37" i="72" s="1"/>
  <c r="P37" i="72"/>
  <c r="M37" i="72"/>
  <c r="J37" i="72"/>
  <c r="G37" i="72"/>
  <c r="D37" i="72"/>
  <c r="EL36" i="72"/>
  <c r="EH36" i="72"/>
  <c r="EG36" i="72"/>
  <c r="EI36" i="72" s="1"/>
  <c r="DW36" i="72"/>
  <c r="DT36" i="72"/>
  <c r="DQ36" i="72"/>
  <c r="DN36" i="72"/>
  <c r="DK36" i="72"/>
  <c r="DH36" i="72"/>
  <c r="DE36" i="72"/>
  <c r="DB36" i="72"/>
  <c r="CY36" i="72"/>
  <c r="CV36" i="72"/>
  <c r="CS36" i="72"/>
  <c r="CP36" i="72"/>
  <c r="CM36" i="72"/>
  <c r="CJ36" i="72"/>
  <c r="CG36" i="72"/>
  <c r="CD36" i="72"/>
  <c r="CA36" i="72"/>
  <c r="BX36" i="72"/>
  <c r="BU36" i="72"/>
  <c r="BR36" i="72"/>
  <c r="BO36" i="72"/>
  <c r="BL36" i="72"/>
  <c r="BI36" i="72"/>
  <c r="BF36" i="72"/>
  <c r="BC36" i="72"/>
  <c r="AZ36" i="72"/>
  <c r="AW36" i="72"/>
  <c r="AT36" i="72"/>
  <c r="AQ36" i="72"/>
  <c r="AN36" i="72"/>
  <c r="AI36" i="72"/>
  <c r="AK36" i="72" s="1"/>
  <c r="AB36" i="72"/>
  <c r="Y36" i="72"/>
  <c r="V36" i="72"/>
  <c r="S36" i="72"/>
  <c r="P36" i="72"/>
  <c r="M36" i="72"/>
  <c r="J36" i="72"/>
  <c r="G36" i="72"/>
  <c r="EL35" i="72"/>
  <c r="EK35" i="72"/>
  <c r="EN35" i="72" s="1"/>
  <c r="EI35" i="72"/>
  <c r="EH35" i="72"/>
  <c r="EG35" i="72"/>
  <c r="EB35" i="72"/>
  <c r="EE35" i="72" s="1"/>
  <c r="DW35" i="72"/>
  <c r="DT35" i="72"/>
  <c r="DQ35" i="72"/>
  <c r="EM35" i="72" s="1"/>
  <c r="DN35" i="72"/>
  <c r="DK35" i="72"/>
  <c r="DH35" i="72"/>
  <c r="DE35" i="72"/>
  <c r="DB35" i="72"/>
  <c r="CY35" i="72"/>
  <c r="CV35" i="72"/>
  <c r="CS35" i="72"/>
  <c r="CP35" i="72"/>
  <c r="CM35" i="72"/>
  <c r="CJ35" i="72"/>
  <c r="CG35" i="72"/>
  <c r="CD35" i="72"/>
  <c r="CA35" i="72"/>
  <c r="BX35" i="72"/>
  <c r="BU35" i="72"/>
  <c r="BR35" i="72"/>
  <c r="BO35" i="72"/>
  <c r="BL35" i="72"/>
  <c r="BI35" i="72"/>
  <c r="BF35" i="72"/>
  <c r="BC35" i="72"/>
  <c r="AZ35" i="72"/>
  <c r="AW35" i="72"/>
  <c r="AT35" i="72"/>
  <c r="AQ35" i="72"/>
  <c r="AN35" i="72"/>
  <c r="AK35" i="72"/>
  <c r="AI35" i="72"/>
  <c r="AB35" i="72"/>
  <c r="Y35" i="72"/>
  <c r="V35" i="72"/>
  <c r="S35" i="72"/>
  <c r="P35" i="72"/>
  <c r="M35" i="72"/>
  <c r="J35" i="72"/>
  <c r="G35" i="72"/>
  <c r="D35" i="72"/>
  <c r="ED35" i="72" s="1"/>
  <c r="EL34" i="72"/>
  <c r="EG34" i="72"/>
  <c r="EI34" i="72" s="1"/>
  <c r="EB34" i="72"/>
  <c r="DW34" i="72"/>
  <c r="DT34" i="72"/>
  <c r="DQ34" i="72"/>
  <c r="DN34" i="72"/>
  <c r="DK34" i="72"/>
  <c r="DH34" i="72"/>
  <c r="DE34" i="72"/>
  <c r="DB34" i="72"/>
  <c r="CY34" i="72"/>
  <c r="CV34" i="72"/>
  <c r="CS34" i="72"/>
  <c r="CP34" i="72"/>
  <c r="CM34" i="72"/>
  <c r="CJ34" i="72"/>
  <c r="CG34" i="72"/>
  <c r="CD34" i="72"/>
  <c r="CA34" i="72"/>
  <c r="BX34" i="72"/>
  <c r="BU34" i="72"/>
  <c r="BR34" i="72"/>
  <c r="BO34" i="72"/>
  <c r="BL34" i="72"/>
  <c r="BI34" i="72"/>
  <c r="BF34" i="72"/>
  <c r="BC34" i="72"/>
  <c r="AZ34" i="72"/>
  <c r="AW34" i="72"/>
  <c r="AT34" i="72"/>
  <c r="AQ34" i="72"/>
  <c r="AN34" i="72"/>
  <c r="AI34" i="72"/>
  <c r="AB34" i="72"/>
  <c r="Y34" i="72"/>
  <c r="V34" i="72"/>
  <c r="S34" i="72"/>
  <c r="P34" i="72"/>
  <c r="M34" i="72"/>
  <c r="J34" i="72"/>
  <c r="G34" i="72"/>
  <c r="D34" i="72"/>
  <c r="EM33" i="72"/>
  <c r="EN33" i="72" s="1"/>
  <c r="EL33" i="72"/>
  <c r="EK33" i="72"/>
  <c r="EI33" i="72"/>
  <c r="EG33" i="72"/>
  <c r="DW33" i="72"/>
  <c r="DT33" i="72"/>
  <c r="DQ33" i="72"/>
  <c r="DN33" i="72"/>
  <c r="DK33" i="72"/>
  <c r="DH33" i="72"/>
  <c r="DE33" i="72"/>
  <c r="DB33" i="72"/>
  <c r="CY33" i="72"/>
  <c r="CV33" i="72"/>
  <c r="CS33" i="72"/>
  <c r="CP33" i="72"/>
  <c r="CM33" i="72"/>
  <c r="CJ33" i="72"/>
  <c r="CG33" i="72"/>
  <c r="CD33" i="72"/>
  <c r="CA33" i="72"/>
  <c r="BX33" i="72"/>
  <c r="BU33" i="72"/>
  <c r="BR33" i="72"/>
  <c r="BO33" i="72"/>
  <c r="BL33" i="72"/>
  <c r="BI33" i="72"/>
  <c r="BF33" i="72"/>
  <c r="BC33" i="72"/>
  <c r="AX33" i="72"/>
  <c r="AZ33" i="72" s="1"/>
  <c r="AW33" i="72"/>
  <c r="AT33" i="72"/>
  <c r="AQ33" i="72"/>
  <c r="AN33" i="72"/>
  <c r="AI33" i="72"/>
  <c r="AK33" i="72" s="1"/>
  <c r="AB33" i="72"/>
  <c r="Y33" i="72"/>
  <c r="V33" i="72"/>
  <c r="S33" i="72"/>
  <c r="EH33" i="72" s="1"/>
  <c r="P33" i="72"/>
  <c r="M33" i="72"/>
  <c r="J33" i="72"/>
  <c r="G33" i="72"/>
  <c r="EL32" i="72"/>
  <c r="EK32" i="72"/>
  <c r="EN32" i="72" s="1"/>
  <c r="EG32" i="72"/>
  <c r="EI32" i="72" s="1"/>
  <c r="EB32" i="72"/>
  <c r="DW32" i="72"/>
  <c r="DT32" i="72"/>
  <c r="DQ32" i="72"/>
  <c r="DN32" i="72"/>
  <c r="DK32" i="72"/>
  <c r="DH32" i="72"/>
  <c r="DE32" i="72"/>
  <c r="DB32" i="72"/>
  <c r="CY32" i="72"/>
  <c r="CV32" i="72"/>
  <c r="CS32" i="72"/>
  <c r="CP32" i="72"/>
  <c r="CM32" i="72"/>
  <c r="CJ32" i="72"/>
  <c r="CG32" i="72"/>
  <c r="CD32" i="72"/>
  <c r="CA32" i="72"/>
  <c r="BX32" i="72"/>
  <c r="BU32" i="72"/>
  <c r="BR32" i="72"/>
  <c r="BO32" i="72"/>
  <c r="BL32" i="72"/>
  <c r="BI32" i="72"/>
  <c r="BF32" i="72"/>
  <c r="BC32" i="72"/>
  <c r="AZ32" i="72"/>
  <c r="AW32" i="72"/>
  <c r="AT32" i="72"/>
  <c r="AQ32" i="72"/>
  <c r="AN32" i="72"/>
  <c r="AK32" i="72"/>
  <c r="AB32" i="72"/>
  <c r="Y32" i="72"/>
  <c r="V32" i="72"/>
  <c r="S32" i="72"/>
  <c r="P32" i="72"/>
  <c r="M32" i="72"/>
  <c r="J32" i="72"/>
  <c r="G32" i="72"/>
  <c r="D32" i="72"/>
  <c r="ED32" i="72" s="1"/>
  <c r="EL31" i="72"/>
  <c r="EK31" i="72"/>
  <c r="EN31" i="72" s="1"/>
  <c r="EI31" i="72"/>
  <c r="EG31" i="72"/>
  <c r="DW31" i="72"/>
  <c r="DT31" i="72"/>
  <c r="DQ31" i="72"/>
  <c r="DN31" i="72"/>
  <c r="DK31" i="72"/>
  <c r="DH31" i="72"/>
  <c r="DE31" i="72"/>
  <c r="DB31" i="72"/>
  <c r="CY31" i="72"/>
  <c r="CV31" i="72"/>
  <c r="CS31" i="72"/>
  <c r="CP31" i="72"/>
  <c r="CM31" i="72"/>
  <c r="CJ31" i="72"/>
  <c r="CG31" i="72"/>
  <c r="CD31" i="72"/>
  <c r="CA31" i="72"/>
  <c r="BX31" i="72"/>
  <c r="BU31" i="72"/>
  <c r="BR31" i="72"/>
  <c r="BO31" i="72"/>
  <c r="BL31" i="72"/>
  <c r="BI31" i="72"/>
  <c r="BF31" i="72"/>
  <c r="BC31" i="72"/>
  <c r="AZ31" i="72"/>
  <c r="AW31" i="72"/>
  <c r="AT31" i="72"/>
  <c r="AQ31" i="72"/>
  <c r="AN31" i="72"/>
  <c r="AK31" i="72"/>
  <c r="AB31" i="72"/>
  <c r="EH31" i="72" s="1"/>
  <c r="Y31" i="72"/>
  <c r="V31" i="72"/>
  <c r="S31" i="72"/>
  <c r="P31" i="72"/>
  <c r="M31" i="72"/>
  <c r="J31" i="72"/>
  <c r="G31" i="72"/>
  <c r="EB31" i="72"/>
  <c r="EC31" i="72" s="1"/>
  <c r="EN30" i="72"/>
  <c r="EL30" i="72"/>
  <c r="EK30" i="72"/>
  <c r="EG30" i="72"/>
  <c r="EI30" i="72" s="1"/>
  <c r="EB30" i="72"/>
  <c r="DW30" i="72"/>
  <c r="DT30" i="72"/>
  <c r="DQ30" i="72"/>
  <c r="DN30" i="72"/>
  <c r="DK30" i="72"/>
  <c r="DH30" i="72"/>
  <c r="DE30" i="72"/>
  <c r="DB30" i="72"/>
  <c r="CY30" i="72"/>
  <c r="CV30" i="72"/>
  <c r="CS30" i="72"/>
  <c r="CP30" i="72"/>
  <c r="CM30" i="72"/>
  <c r="CJ30" i="72"/>
  <c r="CG30" i="72"/>
  <c r="CD30" i="72"/>
  <c r="CA30" i="72"/>
  <c r="BX30" i="72"/>
  <c r="BU30" i="72"/>
  <c r="BR30" i="72"/>
  <c r="BO30" i="72"/>
  <c r="BL30" i="72"/>
  <c r="BI30" i="72"/>
  <c r="BF30" i="72"/>
  <c r="BC30" i="72"/>
  <c r="AZ30" i="72"/>
  <c r="AW30" i="72"/>
  <c r="AT30" i="72"/>
  <c r="AQ30" i="72"/>
  <c r="AN30" i="72"/>
  <c r="AK30" i="72"/>
  <c r="AB30" i="72"/>
  <c r="Y30" i="72"/>
  <c r="V30" i="72"/>
  <c r="S30" i="72"/>
  <c r="EH30" i="72" s="1"/>
  <c r="P30" i="72"/>
  <c r="M30" i="72"/>
  <c r="J30" i="72"/>
  <c r="ED30" i="72" s="1"/>
  <c r="G30" i="72"/>
  <c r="D30" i="72"/>
  <c r="EL29" i="72"/>
  <c r="EK29" i="72"/>
  <c r="EG29" i="72"/>
  <c r="EI29" i="72" s="1"/>
  <c r="EB29" i="72"/>
  <c r="DW29" i="72"/>
  <c r="DT29" i="72"/>
  <c r="DQ29" i="72"/>
  <c r="DN29" i="72"/>
  <c r="DK29" i="72"/>
  <c r="DH29" i="72"/>
  <c r="DE29" i="72"/>
  <c r="DB29" i="72"/>
  <c r="CY29" i="72"/>
  <c r="CV29" i="72"/>
  <c r="CS29" i="72"/>
  <c r="CP29" i="72"/>
  <c r="CM29" i="72"/>
  <c r="CJ29" i="72"/>
  <c r="CG29" i="72"/>
  <c r="CD29" i="72"/>
  <c r="CA29" i="72"/>
  <c r="BX29" i="72"/>
  <c r="BU29" i="72"/>
  <c r="BR29" i="72"/>
  <c r="BO29" i="72"/>
  <c r="BL29" i="72"/>
  <c r="BI29" i="72"/>
  <c r="BF29" i="72"/>
  <c r="BC29" i="72"/>
  <c r="AZ29" i="72"/>
  <c r="AX29" i="72"/>
  <c r="AW29" i="72"/>
  <c r="AT29" i="72"/>
  <c r="AO29" i="72"/>
  <c r="AQ29" i="72" s="1"/>
  <c r="AN29" i="72"/>
  <c r="AL29" i="72"/>
  <c r="AI29" i="72"/>
  <c r="AK29" i="72" s="1"/>
  <c r="EH29" i="72"/>
  <c r="AB29" i="72"/>
  <c r="Y29" i="72"/>
  <c r="V29" i="72"/>
  <c r="S29" i="72"/>
  <c r="P29" i="72"/>
  <c r="M29" i="72"/>
  <c r="J29" i="72"/>
  <c r="G29" i="72"/>
  <c r="D29" i="72"/>
  <c r="EL28" i="72"/>
  <c r="EG28" i="72"/>
  <c r="EI28" i="72" s="1"/>
  <c r="DW28" i="72"/>
  <c r="DT28" i="72"/>
  <c r="DQ28" i="72"/>
  <c r="DN28" i="72"/>
  <c r="DK28" i="72"/>
  <c r="DH28" i="72"/>
  <c r="DE28" i="72"/>
  <c r="DB28" i="72"/>
  <c r="CY28" i="72"/>
  <c r="CV28" i="72"/>
  <c r="CS28" i="72"/>
  <c r="CP28" i="72"/>
  <c r="CM28" i="72"/>
  <c r="CJ28" i="72"/>
  <c r="CG28" i="72"/>
  <c r="CD28" i="72"/>
  <c r="CA28" i="72"/>
  <c r="BX28" i="72"/>
  <c r="BU28" i="72"/>
  <c r="BR28" i="72"/>
  <c r="BO28" i="72"/>
  <c r="BL28" i="72"/>
  <c r="BI28" i="72"/>
  <c r="BF28" i="72"/>
  <c r="BC28" i="72"/>
  <c r="AX28" i="72"/>
  <c r="AW28" i="72"/>
  <c r="AT28" i="72"/>
  <c r="AO28" i="72"/>
  <c r="AQ28" i="72" s="1"/>
  <c r="AN28" i="72"/>
  <c r="AL28" i="72"/>
  <c r="AI28" i="72"/>
  <c r="AK28" i="72" s="1"/>
  <c r="AB28" i="72"/>
  <c r="Y28" i="72"/>
  <c r="V28" i="72"/>
  <c r="S28" i="72"/>
  <c r="EH28" i="72" s="1"/>
  <c r="P28" i="72"/>
  <c r="M28" i="72"/>
  <c r="J28" i="72"/>
  <c r="G28" i="72"/>
  <c r="D28" i="72"/>
  <c r="EL27" i="72"/>
  <c r="EK27" i="72"/>
  <c r="EI27" i="72"/>
  <c r="EH27" i="72"/>
  <c r="EG27" i="72"/>
  <c r="DW27" i="72"/>
  <c r="DT27" i="72"/>
  <c r="DQ27" i="72"/>
  <c r="DN27" i="72"/>
  <c r="DK27" i="72"/>
  <c r="DH27" i="72"/>
  <c r="DE27" i="72"/>
  <c r="DB27" i="72"/>
  <c r="CY27" i="72"/>
  <c r="CV27" i="72"/>
  <c r="CS27" i="72"/>
  <c r="CP27" i="72"/>
  <c r="CM27" i="72"/>
  <c r="CJ27" i="72"/>
  <c r="CG27" i="72"/>
  <c r="CD27" i="72"/>
  <c r="CA27" i="72"/>
  <c r="BX27" i="72"/>
  <c r="BU27" i="72"/>
  <c r="BR27" i="72"/>
  <c r="BO27" i="72"/>
  <c r="BL27" i="72"/>
  <c r="BI27" i="72"/>
  <c r="BF27" i="72"/>
  <c r="BC27" i="72"/>
  <c r="AX27" i="72"/>
  <c r="AZ27" i="72" s="1"/>
  <c r="AW27" i="72"/>
  <c r="AR27" i="72"/>
  <c r="AT27" i="72" s="1"/>
  <c r="AO27" i="72"/>
  <c r="EB27" i="72" s="1"/>
  <c r="AN27" i="72"/>
  <c r="AL27" i="72"/>
  <c r="AI27" i="72"/>
  <c r="AK27" i="72" s="1"/>
  <c r="AB27" i="72"/>
  <c r="Y27" i="72"/>
  <c r="V27" i="72"/>
  <c r="S27" i="72"/>
  <c r="P27" i="72"/>
  <c r="M27" i="72"/>
  <c r="J27" i="72"/>
  <c r="G27" i="72"/>
  <c r="EL26" i="72"/>
  <c r="EI26" i="72"/>
  <c r="EG26" i="72"/>
  <c r="DW26" i="72"/>
  <c r="DT26" i="72"/>
  <c r="DQ26" i="72"/>
  <c r="DN26" i="72"/>
  <c r="DK26" i="72"/>
  <c r="DH26" i="72"/>
  <c r="DE26" i="72"/>
  <c r="DB26" i="72"/>
  <c r="CY26" i="72"/>
  <c r="CV26" i="72"/>
  <c r="CS26" i="72"/>
  <c r="CP26" i="72"/>
  <c r="CM26" i="72"/>
  <c r="CJ26" i="72"/>
  <c r="CG26" i="72"/>
  <c r="CD26" i="72"/>
  <c r="CA26" i="72"/>
  <c r="BX26" i="72"/>
  <c r="BU26" i="72"/>
  <c r="BR26" i="72"/>
  <c r="BO26" i="72"/>
  <c r="BL26" i="72"/>
  <c r="BI26" i="72"/>
  <c r="BF26" i="72"/>
  <c r="BC26" i="72"/>
  <c r="AX26" i="72"/>
  <c r="AZ26" i="72" s="1"/>
  <c r="AU26" i="72"/>
  <c r="AW26" i="72" s="1"/>
  <c r="AR26" i="72"/>
  <c r="AT26" i="72" s="1"/>
  <c r="AQ26" i="72"/>
  <c r="AO26" i="72"/>
  <c r="AL26" i="72"/>
  <c r="AN26" i="72" s="1"/>
  <c r="AI26" i="72"/>
  <c r="AK26" i="72" s="1"/>
  <c r="EH26" i="72"/>
  <c r="AB26" i="72"/>
  <c r="Y26" i="72"/>
  <c r="V26" i="72"/>
  <c r="S26" i="72"/>
  <c r="P26" i="72"/>
  <c r="M26" i="72"/>
  <c r="J26" i="72"/>
  <c r="G26" i="72"/>
  <c r="EB26" i="72"/>
  <c r="EL25" i="72"/>
  <c r="EG25" i="72"/>
  <c r="EI25" i="72" s="1"/>
  <c r="DW25" i="72"/>
  <c r="DT25" i="72"/>
  <c r="DQ25" i="72"/>
  <c r="DN25" i="72"/>
  <c r="DK25" i="72"/>
  <c r="DH25" i="72"/>
  <c r="DE25" i="72"/>
  <c r="DB25" i="72"/>
  <c r="CY25" i="72"/>
  <c r="CV25" i="72"/>
  <c r="CS25" i="72"/>
  <c r="CP25" i="72"/>
  <c r="CM25" i="72"/>
  <c r="CJ25" i="72"/>
  <c r="CG25" i="72"/>
  <c r="CD25" i="72"/>
  <c r="CA25" i="72"/>
  <c r="BX25" i="72"/>
  <c r="BU25" i="72"/>
  <c r="BR25" i="72"/>
  <c r="BO25" i="72"/>
  <c r="BL25" i="72"/>
  <c r="BI25" i="72"/>
  <c r="BF25" i="72"/>
  <c r="BC25" i="72"/>
  <c r="AZ25" i="72"/>
  <c r="AX25" i="72"/>
  <c r="AW25" i="72"/>
  <c r="AT25" i="72"/>
  <c r="AQ25" i="72"/>
  <c r="AO25" i="72"/>
  <c r="AN25" i="72"/>
  <c r="AI25" i="72"/>
  <c r="AB25" i="72"/>
  <c r="Y25" i="72"/>
  <c r="V25" i="72"/>
  <c r="S25" i="72"/>
  <c r="P25" i="72"/>
  <c r="M25" i="72"/>
  <c r="J25" i="72"/>
  <c r="G25" i="72"/>
  <c r="D25" i="72"/>
  <c r="EL24" i="72"/>
  <c r="EI24" i="72"/>
  <c r="EG24" i="72"/>
  <c r="DW24" i="72"/>
  <c r="DT24" i="72"/>
  <c r="DQ24" i="72"/>
  <c r="DN24" i="72"/>
  <c r="DK24" i="72"/>
  <c r="DH24" i="72"/>
  <c r="DE24" i="72"/>
  <c r="DB24" i="72"/>
  <c r="CY24" i="72"/>
  <c r="CV24" i="72"/>
  <c r="CS24" i="72"/>
  <c r="CP24" i="72"/>
  <c r="CM24" i="72"/>
  <c r="CJ24" i="72"/>
  <c r="CG24" i="72"/>
  <c r="CD24" i="72"/>
  <c r="CA24" i="72"/>
  <c r="BX24" i="72"/>
  <c r="BU24" i="72"/>
  <c r="BR24" i="72"/>
  <c r="BO24" i="72"/>
  <c r="BL24" i="72"/>
  <c r="BI24" i="72"/>
  <c r="BF24" i="72"/>
  <c r="BC24" i="72"/>
  <c r="AX24" i="72"/>
  <c r="AW24" i="72"/>
  <c r="AT24" i="72"/>
  <c r="AQ24" i="72"/>
  <c r="AO24" i="72"/>
  <c r="AN24" i="72"/>
  <c r="AI24" i="72"/>
  <c r="AK24" i="72" s="1"/>
  <c r="AB24" i="72"/>
  <c r="Y24" i="72"/>
  <c r="V24" i="72"/>
  <c r="S24" i="72"/>
  <c r="EH24" i="72" s="1"/>
  <c r="P24" i="72"/>
  <c r="M24" i="72"/>
  <c r="J24" i="72"/>
  <c r="G24" i="72"/>
  <c r="D24" i="72"/>
  <c r="EL23" i="72"/>
  <c r="EK23" i="72"/>
  <c r="EI23" i="72"/>
  <c r="EH23" i="72"/>
  <c r="EG23" i="72"/>
  <c r="DW23" i="72"/>
  <c r="DT23" i="72"/>
  <c r="DQ23" i="72"/>
  <c r="DN23" i="72"/>
  <c r="DK23" i="72"/>
  <c r="DH23" i="72"/>
  <c r="DE23" i="72"/>
  <c r="DB23" i="72"/>
  <c r="CY23" i="72"/>
  <c r="CV23" i="72"/>
  <c r="CS23" i="72"/>
  <c r="CP23" i="72"/>
  <c r="CM23" i="72"/>
  <c r="CJ23" i="72"/>
  <c r="CG23" i="72"/>
  <c r="CD23" i="72"/>
  <c r="CA23" i="72"/>
  <c r="BX23" i="72"/>
  <c r="BU23" i="72"/>
  <c r="BR23" i="72"/>
  <c r="BO23" i="72"/>
  <c r="BL23" i="72"/>
  <c r="BI23" i="72"/>
  <c r="BF23" i="72"/>
  <c r="BC23" i="72"/>
  <c r="AX23" i="72"/>
  <c r="AZ23" i="72" s="1"/>
  <c r="AW23" i="72"/>
  <c r="AT23" i="72"/>
  <c r="AO23" i="72"/>
  <c r="AQ23" i="72" s="1"/>
  <c r="AN23" i="72"/>
  <c r="AI23" i="72"/>
  <c r="AK23" i="72" s="1"/>
  <c r="AB23" i="72"/>
  <c r="Y23" i="72"/>
  <c r="V23" i="72"/>
  <c r="S23" i="72"/>
  <c r="P23" i="72"/>
  <c r="M23" i="72"/>
  <c r="J23" i="72"/>
  <c r="G23" i="72"/>
  <c r="EL22" i="72"/>
  <c r="EK22" i="72"/>
  <c r="EG22" i="72"/>
  <c r="EI22" i="72" s="1"/>
  <c r="EB22" i="72"/>
  <c r="DW22" i="72"/>
  <c r="DT22" i="72"/>
  <c r="DQ22" i="72"/>
  <c r="DN22" i="72"/>
  <c r="DK22" i="72"/>
  <c r="DH22" i="72"/>
  <c r="DE22" i="72"/>
  <c r="DB22" i="72"/>
  <c r="CY22" i="72"/>
  <c r="CV22" i="72"/>
  <c r="CS22" i="72"/>
  <c r="CP22" i="72"/>
  <c r="CM22" i="72"/>
  <c r="CJ22" i="72"/>
  <c r="CG22" i="72"/>
  <c r="CD22" i="72"/>
  <c r="CA22" i="72"/>
  <c r="BX22" i="72"/>
  <c r="BU22" i="72"/>
  <c r="BR22" i="72"/>
  <c r="BO22" i="72"/>
  <c r="BL22" i="72"/>
  <c r="BI22" i="72"/>
  <c r="BF22" i="72"/>
  <c r="BC22" i="72"/>
  <c r="AZ22" i="72"/>
  <c r="AW22" i="72"/>
  <c r="AT22" i="72"/>
  <c r="AR22" i="72"/>
  <c r="AQ22" i="72"/>
  <c r="AO22" i="72"/>
  <c r="AN22" i="72"/>
  <c r="AK22" i="72"/>
  <c r="AB22" i="72"/>
  <c r="Y22" i="72"/>
  <c r="V22" i="72"/>
  <c r="S22" i="72"/>
  <c r="P22" i="72"/>
  <c r="M22" i="72"/>
  <c r="J22" i="72"/>
  <c r="G22" i="72"/>
  <c r="D22" i="72"/>
  <c r="EL21" i="72"/>
  <c r="EK21" i="72"/>
  <c r="EI21" i="72"/>
  <c r="EH21" i="72"/>
  <c r="EG21" i="72"/>
  <c r="DW21" i="72"/>
  <c r="DT21" i="72"/>
  <c r="DQ21" i="72"/>
  <c r="DN21" i="72"/>
  <c r="DK21" i="72"/>
  <c r="DH21" i="72"/>
  <c r="DE21" i="72"/>
  <c r="DB21" i="72"/>
  <c r="CY21" i="72"/>
  <c r="CV21" i="72"/>
  <c r="CS21" i="72"/>
  <c r="CP21" i="72"/>
  <c r="CM21" i="72"/>
  <c r="CJ21" i="72"/>
  <c r="CG21" i="72"/>
  <c r="CD21" i="72"/>
  <c r="CA21" i="72"/>
  <c r="BX21" i="72"/>
  <c r="BU21" i="72"/>
  <c r="BR21" i="72"/>
  <c r="BO21" i="72"/>
  <c r="BL21" i="72"/>
  <c r="BI21" i="72"/>
  <c r="BF21" i="72"/>
  <c r="BC21" i="72"/>
  <c r="AZ21" i="72"/>
  <c r="AW21" i="72"/>
  <c r="AR21" i="72"/>
  <c r="AT21" i="72" s="1"/>
  <c r="AO21" i="72"/>
  <c r="AQ21" i="72" s="1"/>
  <c r="AN21" i="72"/>
  <c r="AK21" i="72"/>
  <c r="AB21" i="72"/>
  <c r="Y21" i="72"/>
  <c r="V21" i="72"/>
  <c r="S21" i="72"/>
  <c r="P21" i="72"/>
  <c r="M21" i="72"/>
  <c r="J21" i="72"/>
  <c r="G21" i="72"/>
  <c r="D21" i="72"/>
  <c r="ED21" i="72" s="1"/>
  <c r="EL20" i="72"/>
  <c r="EG20" i="72"/>
  <c r="EI20" i="72" s="1"/>
  <c r="DW20" i="72"/>
  <c r="DT20" i="72"/>
  <c r="DQ20" i="72"/>
  <c r="DN20" i="72"/>
  <c r="DK20" i="72"/>
  <c r="DH20" i="72"/>
  <c r="DE20" i="72"/>
  <c r="DB20" i="72"/>
  <c r="CY20" i="72"/>
  <c r="CV20" i="72"/>
  <c r="CS20" i="72"/>
  <c r="CP20" i="72"/>
  <c r="CM20" i="72"/>
  <c r="CJ20" i="72"/>
  <c r="CG20" i="72"/>
  <c r="CD20" i="72"/>
  <c r="CA20" i="72"/>
  <c r="BX20" i="72"/>
  <c r="BU20" i="72"/>
  <c r="BR20" i="72"/>
  <c r="BO20" i="72"/>
  <c r="BL20" i="72"/>
  <c r="BI20" i="72"/>
  <c r="BF20" i="72"/>
  <c r="BC20" i="72"/>
  <c r="AZ20" i="72"/>
  <c r="AW20" i="72"/>
  <c r="AT20" i="72"/>
  <c r="AR20" i="72"/>
  <c r="EK20" i="72" s="1"/>
  <c r="AO20" i="72"/>
  <c r="AQ20" i="72" s="1"/>
  <c r="AL20" i="72"/>
  <c r="AN20" i="72" s="1"/>
  <c r="AI20" i="72"/>
  <c r="AK20" i="72" s="1"/>
  <c r="EH20" i="72"/>
  <c r="AB20" i="72"/>
  <c r="Y20" i="72"/>
  <c r="V20" i="72"/>
  <c r="S20" i="72"/>
  <c r="P20" i="72"/>
  <c r="M20" i="72"/>
  <c r="J20" i="72"/>
  <c r="G20" i="72"/>
  <c r="D20" i="72"/>
  <c r="ED20" i="72" s="1"/>
  <c r="EL19" i="72"/>
  <c r="EI19" i="72"/>
  <c r="EG19" i="72"/>
  <c r="DW19" i="72"/>
  <c r="DT19" i="72"/>
  <c r="DQ19" i="72"/>
  <c r="DN19" i="72"/>
  <c r="DK19" i="72"/>
  <c r="DH19" i="72"/>
  <c r="DE19" i="72"/>
  <c r="DB19" i="72"/>
  <c r="CY19" i="72"/>
  <c r="CV19" i="72"/>
  <c r="CS19" i="72"/>
  <c r="CP19" i="72"/>
  <c r="CM19" i="72"/>
  <c r="CJ19" i="72"/>
  <c r="CG19" i="72"/>
  <c r="CD19" i="72"/>
  <c r="CA19" i="72"/>
  <c r="BX19" i="72"/>
  <c r="BU19" i="72"/>
  <c r="BR19" i="72"/>
  <c r="BO19" i="72"/>
  <c r="BL19" i="72"/>
  <c r="BI19" i="72"/>
  <c r="BF19" i="72"/>
  <c r="BC19" i="72"/>
  <c r="AZ19" i="72"/>
  <c r="AW19" i="72"/>
  <c r="AR19" i="72"/>
  <c r="EK19" i="72" s="1"/>
  <c r="AO19" i="72"/>
  <c r="AQ19" i="72" s="1"/>
  <c r="AL19" i="72"/>
  <c r="AN19" i="72" s="1"/>
  <c r="AI19" i="72"/>
  <c r="AK19" i="72" s="1"/>
  <c r="AB19" i="72"/>
  <c r="Y19" i="72"/>
  <c r="V19" i="72"/>
  <c r="S19" i="72"/>
  <c r="EH19" i="72" s="1"/>
  <c r="P19" i="72"/>
  <c r="M19" i="72"/>
  <c r="J19" i="72"/>
  <c r="G19" i="72"/>
  <c r="D19" i="72"/>
  <c r="EL18" i="72"/>
  <c r="EG18" i="72"/>
  <c r="EI18" i="72" s="1"/>
  <c r="DW18" i="72"/>
  <c r="DT18" i="72"/>
  <c r="DQ18" i="72"/>
  <c r="DN18" i="72"/>
  <c r="DK18" i="72"/>
  <c r="DH18" i="72"/>
  <c r="DE18" i="72"/>
  <c r="DB18" i="72"/>
  <c r="CY18" i="72"/>
  <c r="CV18" i="72"/>
  <c r="CS18" i="72"/>
  <c r="CP18" i="72"/>
  <c r="CM18" i="72"/>
  <c r="CJ18" i="72"/>
  <c r="CG18" i="72"/>
  <c r="CD18" i="72"/>
  <c r="CA18" i="72"/>
  <c r="BX18" i="72"/>
  <c r="BU18" i="72"/>
  <c r="BR18" i="72"/>
  <c r="BO18" i="72"/>
  <c r="BL18" i="72"/>
  <c r="BI18" i="72"/>
  <c r="BF18" i="72"/>
  <c r="BC18" i="72"/>
  <c r="AZ18" i="72"/>
  <c r="AW18" i="72"/>
  <c r="AT18" i="72"/>
  <c r="AO18" i="72"/>
  <c r="AQ18" i="72" s="1"/>
  <c r="AL18" i="72"/>
  <c r="AI18" i="72"/>
  <c r="AK18" i="72" s="1"/>
  <c r="AB18" i="72"/>
  <c r="Y18" i="72"/>
  <c r="V18" i="72"/>
  <c r="S18" i="72"/>
  <c r="EH18" i="72" s="1"/>
  <c r="P18" i="72"/>
  <c r="M18" i="72"/>
  <c r="J18" i="72"/>
  <c r="G18" i="72"/>
  <c r="D18" i="72"/>
  <c r="EL17" i="72"/>
  <c r="EG17" i="72"/>
  <c r="EI17" i="72" s="1"/>
  <c r="DW17" i="72"/>
  <c r="DT17" i="72"/>
  <c r="DQ17" i="72"/>
  <c r="DN17" i="72"/>
  <c r="DK17" i="72"/>
  <c r="DH17" i="72"/>
  <c r="DE17" i="72"/>
  <c r="DB17" i="72"/>
  <c r="CY17" i="72"/>
  <c r="CV17" i="72"/>
  <c r="CS17" i="72"/>
  <c r="CP17" i="72"/>
  <c r="CM17" i="72"/>
  <c r="CJ17" i="72"/>
  <c r="CG17" i="72"/>
  <c r="CD17" i="72"/>
  <c r="CA17" i="72"/>
  <c r="BX17" i="72"/>
  <c r="BU17" i="72"/>
  <c r="BR17" i="72"/>
  <c r="BO17" i="72"/>
  <c r="BL17" i="72"/>
  <c r="BI17" i="72"/>
  <c r="BF17" i="72"/>
  <c r="BC17" i="72"/>
  <c r="AZ17" i="72"/>
  <c r="AW17" i="72"/>
  <c r="AT17" i="72"/>
  <c r="AO17" i="72"/>
  <c r="AL17" i="72"/>
  <c r="AN17" i="72" s="1"/>
  <c r="AI17" i="72"/>
  <c r="AK17" i="72" s="1"/>
  <c r="EH17" i="72"/>
  <c r="AB17" i="72"/>
  <c r="Y17" i="72"/>
  <c r="V17" i="72"/>
  <c r="S17" i="72"/>
  <c r="P17" i="72"/>
  <c r="M17" i="72"/>
  <c r="J17" i="72"/>
  <c r="G17" i="72"/>
  <c r="EB17" i="72"/>
  <c r="EL16" i="72"/>
  <c r="EG16" i="72"/>
  <c r="EI16" i="72" s="1"/>
  <c r="DW16" i="72"/>
  <c r="DT16" i="72"/>
  <c r="DQ16" i="72"/>
  <c r="DN16" i="72"/>
  <c r="DK16" i="72"/>
  <c r="DH16" i="72"/>
  <c r="DE16" i="72"/>
  <c r="DB16" i="72"/>
  <c r="CY16" i="72"/>
  <c r="CV16" i="72"/>
  <c r="CS16" i="72"/>
  <c r="CP16" i="72"/>
  <c r="CM16" i="72"/>
  <c r="CJ16" i="72"/>
  <c r="CG16" i="72"/>
  <c r="CD16" i="72"/>
  <c r="CA16" i="72"/>
  <c r="BX16" i="72"/>
  <c r="BU16" i="72"/>
  <c r="BR16" i="72"/>
  <c r="BO16" i="72"/>
  <c r="BL16" i="72"/>
  <c r="BI16" i="72"/>
  <c r="BF16" i="72"/>
  <c r="BC16" i="72"/>
  <c r="AZ16" i="72"/>
  <c r="AW16" i="72"/>
  <c r="AT16" i="72"/>
  <c r="AO16" i="72"/>
  <c r="AL16" i="72"/>
  <c r="AN16" i="72" s="1"/>
  <c r="AI16" i="72"/>
  <c r="AK16" i="72" s="1"/>
  <c r="AB16" i="72"/>
  <c r="Y16" i="72"/>
  <c r="V16" i="72"/>
  <c r="S16" i="72"/>
  <c r="P16" i="72"/>
  <c r="M16" i="72"/>
  <c r="J16" i="72"/>
  <c r="G16" i="72"/>
  <c r="D16" i="72"/>
  <c r="EL15" i="72"/>
  <c r="EG15" i="72"/>
  <c r="EI15" i="72" s="1"/>
  <c r="EB15" i="72"/>
  <c r="DW15" i="72"/>
  <c r="DT15" i="72"/>
  <c r="DQ15" i="72"/>
  <c r="DN15" i="72"/>
  <c r="DK15" i="72"/>
  <c r="DH15" i="72"/>
  <c r="DE15" i="72"/>
  <c r="DB15" i="72"/>
  <c r="CY15" i="72"/>
  <c r="CV15" i="72"/>
  <c r="CS15" i="72"/>
  <c r="CP15" i="72"/>
  <c r="CM15" i="72"/>
  <c r="CJ15" i="72"/>
  <c r="CG15" i="72"/>
  <c r="CD15" i="72"/>
  <c r="CA15" i="72"/>
  <c r="BX15" i="72"/>
  <c r="BU15" i="72"/>
  <c r="BR15" i="72"/>
  <c r="BO15" i="72"/>
  <c r="BL15" i="72"/>
  <c r="BI15" i="72"/>
  <c r="BF15" i="72"/>
  <c r="BC15" i="72"/>
  <c r="AZ15" i="72"/>
  <c r="AW15" i="72"/>
  <c r="AT15" i="72"/>
  <c r="AO15" i="72"/>
  <c r="EK15" i="72" s="1"/>
  <c r="AN15" i="72"/>
  <c r="AL15" i="72"/>
  <c r="AK15" i="72"/>
  <c r="AI15" i="72"/>
  <c r="AB15" i="72"/>
  <c r="Y15" i="72"/>
  <c r="V15" i="72"/>
  <c r="EH15" i="72" s="1"/>
  <c r="S15" i="72"/>
  <c r="P15" i="72"/>
  <c r="M15" i="72"/>
  <c r="J15" i="72"/>
  <c r="J42" i="72" s="1"/>
  <c r="G15" i="72"/>
  <c r="D15" i="72"/>
  <c r="EL14" i="72"/>
  <c r="EG14" i="72"/>
  <c r="DW14" i="72"/>
  <c r="DT14" i="72"/>
  <c r="DQ14" i="72"/>
  <c r="DN14" i="72"/>
  <c r="DK14" i="72"/>
  <c r="DH14" i="72"/>
  <c r="DE14" i="72"/>
  <c r="DB14" i="72"/>
  <c r="CY14" i="72"/>
  <c r="CV14" i="72"/>
  <c r="CS14" i="72"/>
  <c r="CP14" i="72"/>
  <c r="CM14" i="72"/>
  <c r="CJ14" i="72"/>
  <c r="CG14" i="72"/>
  <c r="CD14" i="72"/>
  <c r="CA14" i="72"/>
  <c r="BX14" i="72"/>
  <c r="BU14" i="72"/>
  <c r="BR14" i="72"/>
  <c r="BO14" i="72"/>
  <c r="BL14" i="72"/>
  <c r="BI14" i="72"/>
  <c r="BF14" i="72"/>
  <c r="BC14" i="72"/>
  <c r="AZ14" i="72"/>
  <c r="AW14" i="72"/>
  <c r="AT14" i="72"/>
  <c r="AQ14" i="72"/>
  <c r="AO14" i="72"/>
  <c r="AL14" i="72"/>
  <c r="AI14" i="72"/>
  <c r="AK14" i="72" s="1"/>
  <c r="AB14" i="72"/>
  <c r="Y14" i="72"/>
  <c r="V14" i="72"/>
  <c r="S14" i="72"/>
  <c r="P14" i="72"/>
  <c r="M14" i="72"/>
  <c r="J14" i="72"/>
  <c r="G14" i="72"/>
  <c r="EB14" i="72"/>
  <c r="EL13" i="72"/>
  <c r="EG13" i="72"/>
  <c r="EI13" i="72" s="1"/>
  <c r="EB13" i="72"/>
  <c r="DW13" i="72"/>
  <c r="DT13" i="72"/>
  <c r="DQ13" i="72"/>
  <c r="DN13" i="72"/>
  <c r="DK13" i="72"/>
  <c r="DH13" i="72"/>
  <c r="DE13" i="72"/>
  <c r="DB13" i="72"/>
  <c r="CY13" i="72"/>
  <c r="CV13" i="72"/>
  <c r="CV42" i="72" s="1"/>
  <c r="CS13" i="72"/>
  <c r="CP13" i="72"/>
  <c r="CM13" i="72"/>
  <c r="CJ13" i="72"/>
  <c r="CG13" i="72"/>
  <c r="CD13" i="72"/>
  <c r="CA13" i="72"/>
  <c r="BX13" i="72"/>
  <c r="BU13" i="72"/>
  <c r="BR13" i="72"/>
  <c r="BO13" i="72"/>
  <c r="BL13" i="72"/>
  <c r="BI13" i="72"/>
  <c r="BF13" i="72"/>
  <c r="BC13" i="72"/>
  <c r="AZ13" i="72"/>
  <c r="AW13" i="72"/>
  <c r="AT13" i="72"/>
  <c r="AQ13" i="72"/>
  <c r="AO13" i="72"/>
  <c r="AL13" i="72"/>
  <c r="AN13" i="72" s="1"/>
  <c r="AI13" i="72"/>
  <c r="EK13" i="72" s="1"/>
  <c r="AH42" i="72"/>
  <c r="AE42" i="72"/>
  <c r="AB13" i="72"/>
  <c r="AB42" i="72" s="1"/>
  <c r="Y13" i="72"/>
  <c r="V13" i="72"/>
  <c r="S13" i="72"/>
  <c r="P13" i="72"/>
  <c r="M13" i="72"/>
  <c r="J13" i="72"/>
  <c r="G13" i="72"/>
  <c r="D13" i="72"/>
  <c r="A13" i="72"/>
  <c r="A14" i="72" s="1"/>
  <c r="A15" i="72" s="1"/>
  <c r="A16" i="72" s="1"/>
  <c r="A17" i="72" s="1"/>
  <c r="A18" i="72" s="1"/>
  <c r="A19" i="72" s="1"/>
  <c r="A20" i="72" s="1"/>
  <c r="A21" i="72" s="1"/>
  <c r="A22" i="72" s="1"/>
  <c r="A23" i="72" s="1"/>
  <c r="A24" i="72" s="1"/>
  <c r="A25" i="72" s="1"/>
  <c r="A26" i="72" s="1"/>
  <c r="A27" i="72" s="1"/>
  <c r="A28" i="72" s="1"/>
  <c r="A29" i="72" s="1"/>
  <c r="A30" i="72" s="1"/>
  <c r="A31" i="72" s="1"/>
  <c r="A32" i="72" s="1"/>
  <c r="A33" i="72" s="1"/>
  <c r="A34" i="72" s="1"/>
  <c r="A35" i="72" s="1"/>
  <c r="A36" i="72" s="1"/>
  <c r="A37" i="72" s="1"/>
  <c r="A38" i="72" s="1"/>
  <c r="A39" i="72" s="1"/>
  <c r="A40" i="72" s="1"/>
  <c r="A41" i="72" s="1"/>
  <c r="EL12" i="72"/>
  <c r="EI12" i="72"/>
  <c r="EG12" i="72"/>
  <c r="DW12" i="72"/>
  <c r="DT12" i="72"/>
  <c r="DQ12" i="72"/>
  <c r="DN12" i="72"/>
  <c r="DK12" i="72"/>
  <c r="DH12" i="72"/>
  <c r="DE12" i="72"/>
  <c r="DB12" i="72"/>
  <c r="CY12" i="72"/>
  <c r="CV12" i="72"/>
  <c r="CS12" i="72"/>
  <c r="CP12" i="72"/>
  <c r="CM12" i="72"/>
  <c r="CJ12" i="72"/>
  <c r="CG12" i="72"/>
  <c r="CG42" i="72" s="1"/>
  <c r="CD12" i="72"/>
  <c r="CD42" i="72" s="1"/>
  <c r="CA12" i="72"/>
  <c r="CA42" i="72" s="1"/>
  <c r="BX12" i="72"/>
  <c r="BX42" i="72" s="1"/>
  <c r="BU12" i="72"/>
  <c r="BR12" i="72"/>
  <c r="BO12" i="72"/>
  <c r="BL12" i="72"/>
  <c r="BI12" i="72"/>
  <c r="BF12" i="72"/>
  <c r="BC12" i="72"/>
  <c r="AZ12" i="72"/>
  <c r="AW12" i="72"/>
  <c r="AT12" i="72"/>
  <c r="AO12" i="72"/>
  <c r="EB12" i="72" s="1"/>
  <c r="AN12" i="72"/>
  <c r="AL12" i="72"/>
  <c r="AI12" i="72"/>
  <c r="AK12" i="72" s="1"/>
  <c r="AB12" i="72"/>
  <c r="Y12" i="72"/>
  <c r="V12" i="72"/>
  <c r="S12" i="72"/>
  <c r="EH12" i="72" s="1"/>
  <c r="P12" i="72"/>
  <c r="M12" i="72"/>
  <c r="J12" i="72"/>
  <c r="G12" i="72"/>
  <c r="D12" i="72"/>
  <c r="EL11" i="72"/>
  <c r="EI11" i="72"/>
  <c r="EG11" i="72"/>
  <c r="DW11" i="72"/>
  <c r="DT11" i="72"/>
  <c r="DQ11" i="72"/>
  <c r="DN11" i="72"/>
  <c r="DK11" i="72"/>
  <c r="DK42" i="72" s="1"/>
  <c r="DH11" i="72"/>
  <c r="DE11" i="72"/>
  <c r="DB11" i="72"/>
  <c r="CY11" i="72"/>
  <c r="CV11" i="72"/>
  <c r="CS11" i="72"/>
  <c r="CP11" i="72"/>
  <c r="CM11" i="72"/>
  <c r="CJ11" i="72"/>
  <c r="CG11" i="72"/>
  <c r="CD11" i="72"/>
  <c r="CA11" i="72"/>
  <c r="BX11" i="72"/>
  <c r="BU11" i="72"/>
  <c r="BR11" i="72"/>
  <c r="BO11" i="72"/>
  <c r="BL11" i="72"/>
  <c r="BI11" i="72"/>
  <c r="BF11" i="72"/>
  <c r="BC11" i="72"/>
  <c r="AZ11" i="72"/>
  <c r="AW11" i="72"/>
  <c r="AR11" i="72"/>
  <c r="AT11" i="72" s="1"/>
  <c r="AO11" i="72"/>
  <c r="AQ11" i="72" s="1"/>
  <c r="AN11" i="72"/>
  <c r="AL11" i="72"/>
  <c r="AI11" i="72"/>
  <c r="AK11" i="72" s="1"/>
  <c r="EH11" i="72"/>
  <c r="AB11" i="72"/>
  <c r="Y11" i="72"/>
  <c r="V11" i="72"/>
  <c r="S11" i="72"/>
  <c r="P11" i="72"/>
  <c r="M11" i="72"/>
  <c r="J11" i="72"/>
  <c r="G11" i="72"/>
  <c r="A12" i="72"/>
  <c r="EI2" i="72"/>
  <c r="EM21" i="72" l="1"/>
  <c r="EM27" i="72"/>
  <c r="EN27" i="72" s="1"/>
  <c r="ED16" i="72"/>
  <c r="EN21" i="72"/>
  <c r="M42" i="72"/>
  <c r="DN42" i="72"/>
  <c r="AT19" i="72"/>
  <c r="AT42" i="72" s="1"/>
  <c r="EE22" i="72"/>
  <c r="EC22" i="72"/>
  <c r="EB28" i="72"/>
  <c r="EK28" i="72"/>
  <c r="BO42" i="72"/>
  <c r="EM30" i="72"/>
  <c r="BF42" i="72"/>
  <c r="EB11" i="72"/>
  <c r="EN23" i="72"/>
  <c r="EM25" i="72"/>
  <c r="BI42" i="72"/>
  <c r="CS42" i="72"/>
  <c r="AW42" i="72"/>
  <c r="D23" i="72"/>
  <c r="ED23" i="72" s="1"/>
  <c r="EB23" i="72"/>
  <c r="EC30" i="72"/>
  <c r="EE30" i="72"/>
  <c r="CY42" i="72"/>
  <c r="EI14" i="72"/>
  <c r="EI5" i="72"/>
  <c r="EM16" i="72"/>
  <c r="EK18" i="72"/>
  <c r="EB20" i="72"/>
  <c r="EB25" i="72"/>
  <c r="EM26" i="72"/>
  <c r="EE27" i="72"/>
  <c r="EC27" i="72"/>
  <c r="EC39" i="72"/>
  <c r="D14" i="72"/>
  <c r="ED14" i="72" s="1"/>
  <c r="EE14" i="72" s="1"/>
  <c r="BR42" i="72"/>
  <c r="DB42" i="72"/>
  <c r="EK17" i="72"/>
  <c r="AQ17" i="72"/>
  <c r="EB18" i="72"/>
  <c r="AQ27" i="72"/>
  <c r="ED29" i="72"/>
  <c r="EE29" i="72" s="1"/>
  <c r="EM32" i="72"/>
  <c r="EB36" i="72"/>
  <c r="D36" i="72"/>
  <c r="ED36" i="72" s="1"/>
  <c r="EE2" i="72"/>
  <c r="EQ2" i="72" s="1"/>
  <c r="G4" i="72" s="1"/>
  <c r="EE41" i="72"/>
  <c r="D11" i="72"/>
  <c r="G42" i="72"/>
  <c r="EK14" i="72"/>
  <c r="AN14" i="72"/>
  <c r="EM14" i="72" s="1"/>
  <c r="EB16" i="72"/>
  <c r="AN18" i="72"/>
  <c r="ED18" i="72" s="1"/>
  <c r="EM23" i="72"/>
  <c r="EE31" i="72"/>
  <c r="EH32" i="72"/>
  <c r="EM36" i="72"/>
  <c r="EC41" i="72"/>
  <c r="EN2" i="72"/>
  <c r="EP2" i="72" s="1"/>
  <c r="EN41" i="72"/>
  <c r="EC13" i="72"/>
  <c r="EK24" i="72"/>
  <c r="EB24" i="72"/>
  <c r="DQ42" i="72"/>
  <c r="BL42" i="72"/>
  <c r="AZ24" i="72"/>
  <c r="AZ42" i="72" s="1"/>
  <c r="D26" i="72"/>
  <c r="ED26" i="72" s="1"/>
  <c r="EE26" i="72" s="1"/>
  <c r="AZ28" i="72"/>
  <c r="EM28" i="72"/>
  <c r="D31" i="72"/>
  <c r="ED31" i="72" s="1"/>
  <c r="D33" i="72"/>
  <c r="ED33" i="72" s="1"/>
  <c r="EB33" i="72"/>
  <c r="EM37" i="72"/>
  <c r="EN37" i="72" s="1"/>
  <c r="AQ12" i="72"/>
  <c r="EM12" i="72" s="1"/>
  <c r="EN13" i="72"/>
  <c r="EI3" i="72"/>
  <c r="EI4" i="72" s="1"/>
  <c r="CP42" i="72"/>
  <c r="D17" i="72"/>
  <c r="ED17" i="72" s="1"/>
  <c r="EE17" i="72" s="1"/>
  <c r="EC29" i="72"/>
  <c r="BU42" i="72"/>
  <c r="DE42" i="72"/>
  <c r="EK11" i="72"/>
  <c r="EH13" i="72"/>
  <c r="EH42" i="72" s="1"/>
  <c r="EM13" i="72"/>
  <c r="EH16" i="72"/>
  <c r="EH22" i="72"/>
  <c r="EK25" i="72"/>
  <c r="EN25" i="72" s="1"/>
  <c r="AK25" i="72"/>
  <c r="ED25" i="72" s="1"/>
  <c r="EE32" i="72"/>
  <c r="EC32" i="72"/>
  <c r="EC40" i="72"/>
  <c r="EE40" i="72"/>
  <c r="EM41" i="72"/>
  <c r="DH42" i="72"/>
  <c r="EK12" i="72"/>
  <c r="EM22" i="72"/>
  <c r="EN22" i="72" s="1"/>
  <c r="EM29" i="72"/>
  <c r="EN29" i="72" s="1"/>
  <c r="EH34" i="72"/>
  <c r="D38" i="72"/>
  <c r="EB38" i="72"/>
  <c r="EK38" i="72"/>
  <c r="AK38" i="72"/>
  <c r="EM38" i="72" s="1"/>
  <c r="EM18" i="72"/>
  <c r="EB19" i="72"/>
  <c r="EK34" i="72"/>
  <c r="AK34" i="72"/>
  <c r="ED34" i="72" s="1"/>
  <c r="EE34" i="72" s="1"/>
  <c r="EK36" i="72"/>
  <c r="EN36" i="72" s="1"/>
  <c r="EK26" i="72"/>
  <c r="EN26" i="72" s="1"/>
  <c r="P42" i="72"/>
  <c r="EM11" i="72"/>
  <c r="AK13" i="72"/>
  <c r="ED13" i="72" s="1"/>
  <c r="EE13" i="72" s="1"/>
  <c r="EC15" i="72"/>
  <c r="ED28" i="72"/>
  <c r="EM31" i="72"/>
  <c r="S42" i="72"/>
  <c r="EH14" i="72"/>
  <c r="ED22" i="72"/>
  <c r="EC35" i="72"/>
  <c r="EH38" i="72"/>
  <c r="AK39" i="72"/>
  <c r="ED39" i="72" s="1"/>
  <c r="EE39" i="72" s="1"/>
  <c r="V42" i="72"/>
  <c r="AQ16" i="72"/>
  <c r="EK16" i="72"/>
  <c r="EM17" i="72"/>
  <c r="ED37" i="72"/>
  <c r="EE37" i="72" s="1"/>
  <c r="EC37" i="72"/>
  <c r="Y42" i="72"/>
  <c r="CJ42" i="72"/>
  <c r="DT42" i="72"/>
  <c r="EH25" i="72"/>
  <c r="BC42" i="72"/>
  <c r="CM42" i="72"/>
  <c r="DW42" i="72"/>
  <c r="EM20" i="72"/>
  <c r="EN20" i="72" s="1"/>
  <c r="EB21" i="72"/>
  <c r="D27" i="72"/>
  <c r="ED27" i="72" s="1"/>
  <c r="EH41" i="72"/>
  <c r="AQ15" i="72"/>
  <c r="EM15" i="72" s="1"/>
  <c r="EN15" i="72" s="1"/>
  <c r="ED11" i="72" l="1"/>
  <c r="D42" i="72"/>
  <c r="EM24" i="72"/>
  <c r="EE11" i="72"/>
  <c r="EE5" i="72"/>
  <c r="G7" i="72" s="1"/>
  <c r="EC11" i="72"/>
  <c r="EE3" i="72"/>
  <c r="EM34" i="72"/>
  <c r="EE19" i="72"/>
  <c r="EC19" i="72"/>
  <c r="EN5" i="72"/>
  <c r="EN11" i="72"/>
  <c r="EN3" i="72"/>
  <c r="EN24" i="72"/>
  <c r="EC36" i="72"/>
  <c r="EE36" i="72"/>
  <c r="EM19" i="72"/>
  <c r="EN19" i="72" s="1"/>
  <c r="ED19" i="72"/>
  <c r="EM39" i="72"/>
  <c r="EN39" i="72" s="1"/>
  <c r="ED15" i="72"/>
  <c r="EE15" i="72" s="1"/>
  <c r="EN17" i="72"/>
  <c r="EC17" i="72"/>
  <c r="ED24" i="72"/>
  <c r="EE24" i="72" s="1"/>
  <c r="EN34" i="72"/>
  <c r="EC34" i="72"/>
  <c r="EC26" i="72"/>
  <c r="EC24" i="72"/>
  <c r="EC21" i="72"/>
  <c r="EE21" i="72"/>
  <c r="EE33" i="72"/>
  <c r="EC33" i="72"/>
  <c r="EE23" i="72"/>
  <c r="EC23" i="72"/>
  <c r="EC16" i="72"/>
  <c r="EE16" i="72"/>
  <c r="AQ42" i="72"/>
  <c r="EN16" i="72"/>
  <c r="AK42" i="72"/>
  <c r="EN38" i="72"/>
  <c r="EE18" i="72"/>
  <c r="EC18" i="72"/>
  <c r="EE25" i="72"/>
  <c r="EC25" i="72"/>
  <c r="EN12" i="72"/>
  <c r="EC12" i="72"/>
  <c r="EM42" i="72"/>
  <c r="EC38" i="72"/>
  <c r="EE38" i="72"/>
  <c r="AN42" i="72"/>
  <c r="EE20" i="72"/>
  <c r="EC20" i="72"/>
  <c r="EN28" i="72"/>
  <c r="ED38" i="72"/>
  <c r="ED12" i="72"/>
  <c r="EE12" i="72" s="1"/>
  <c r="EN14" i="72"/>
  <c r="EC14" i="72"/>
  <c r="EN18" i="72"/>
  <c r="EE28" i="72"/>
  <c r="EC28" i="72"/>
  <c r="EE4" i="72" l="1"/>
  <c r="G6" i="72" s="1"/>
  <c r="G5" i="72"/>
  <c r="EN4" i="72"/>
  <c r="ED42" i="72"/>
  <c r="E13" i="32" l="1"/>
  <c r="E10" i="32" l="1"/>
  <c r="E9" i="32"/>
  <c r="E11" i="32"/>
  <c r="E12" i="32"/>
  <c r="O3" i="10" l="1"/>
  <c r="O4" i="10"/>
  <c r="O5" i="10"/>
  <c r="O6" i="10"/>
  <c r="O7" i="10"/>
  <c r="O8" i="10"/>
  <c r="O9" i="10"/>
  <c r="O10" i="10"/>
  <c r="O11" i="10"/>
  <c r="O12" i="10"/>
  <c r="O13" i="10"/>
  <c r="O2" i="10"/>
  <c r="C18" i="2" l="1"/>
  <c r="H31" i="62"/>
  <c r="B13" i="32" l="1"/>
  <c r="B11" i="9" l="1"/>
  <c r="B10" i="9"/>
  <c r="B9" i="9"/>
  <c r="B8" i="9"/>
  <c r="I25" i="63"/>
  <c r="I26" i="63" s="1"/>
  <c r="J25" i="63"/>
  <c r="J26" i="63" s="1"/>
  <c r="K25" i="63"/>
  <c r="K26" i="63" s="1"/>
  <c r="L25" i="63"/>
  <c r="L26" i="63" s="1"/>
  <c r="M25" i="63"/>
  <c r="M26" i="63" s="1"/>
  <c r="N25" i="63"/>
  <c r="H25" i="63"/>
  <c r="H26" i="63" s="1"/>
  <c r="G8" i="32"/>
  <c r="D8" i="9" l="1"/>
  <c r="D10" i="9"/>
  <c r="D9" i="9"/>
  <c r="D11" i="9"/>
  <c r="B19" i="32"/>
  <c r="B18" i="32"/>
  <c r="B17" i="32"/>
  <c r="B16" i="32"/>
  <c r="B15" i="32"/>
  <c r="B14" i="32"/>
  <c r="B12" i="32"/>
  <c r="B11" i="32"/>
  <c r="B10" i="32"/>
  <c r="B9" i="32"/>
  <c r="B8" i="32"/>
  <c r="N25" i="62" l="1"/>
  <c r="N26" i="62" s="1"/>
  <c r="J25" i="62"/>
  <c r="J26" i="62" s="1"/>
  <c r="K25" i="62"/>
  <c r="K26" i="62" s="1"/>
  <c r="L25" i="62"/>
  <c r="L26" i="62" s="1"/>
  <c r="M25" i="62"/>
  <c r="M26" i="62" s="1"/>
  <c r="I25" i="62"/>
  <c r="I26" i="62" s="1"/>
  <c r="N28" i="63" l="1"/>
  <c r="N28" i="62"/>
  <c r="M28" i="67"/>
  <c r="M28" i="63" l="1"/>
  <c r="M28" i="62"/>
  <c r="L28" i="67"/>
  <c r="L28" i="63" l="1"/>
  <c r="L28" i="62"/>
  <c r="K28" i="67"/>
  <c r="K28" i="63" l="1"/>
  <c r="K28" i="62"/>
  <c r="J28" i="67"/>
  <c r="J28" i="63" l="1"/>
  <c r="J28" i="62"/>
  <c r="I28" i="67"/>
  <c r="I28" i="63" l="1"/>
  <c r="H28" i="67"/>
  <c r="I28" i="62"/>
  <c r="H28" i="63" l="1"/>
  <c r="G28" i="67"/>
  <c r="H28" i="62"/>
  <c r="G28" i="63" l="1"/>
  <c r="F28" i="67"/>
  <c r="G28" i="62"/>
  <c r="F28" i="63" l="1"/>
  <c r="E28" i="67"/>
  <c r="F28" i="62"/>
  <c r="E28" i="63" l="1"/>
  <c r="D28" i="67"/>
  <c r="E28" i="62"/>
  <c r="D28" i="62" l="1"/>
  <c r="D28" i="63"/>
  <c r="C28" i="67"/>
  <c r="C28" i="62" l="1"/>
  <c r="C28" i="63"/>
  <c r="B28" i="67"/>
  <c r="G25" i="67"/>
  <c r="F25" i="67"/>
  <c r="E25" i="67"/>
  <c r="D25" i="67"/>
  <c r="C25" i="67"/>
  <c r="B25" i="67"/>
  <c r="M20" i="67"/>
  <c r="L20" i="67"/>
  <c r="K20" i="67"/>
  <c r="J20" i="67"/>
  <c r="I20" i="67"/>
  <c r="H20" i="67"/>
  <c r="G20" i="67"/>
  <c r="F20" i="67"/>
  <c r="E20" i="67"/>
  <c r="D20" i="67"/>
  <c r="C20" i="67"/>
  <c r="B20" i="67"/>
  <c r="E26" i="67" l="1"/>
  <c r="C9" i="2"/>
  <c r="G26" i="67"/>
  <c r="F26" i="67"/>
  <c r="C26" i="67"/>
  <c r="B26" i="67"/>
  <c r="B29" i="67" s="1"/>
  <c r="B31" i="67" s="1"/>
  <c r="D26" i="67"/>
  <c r="C29" i="67" l="1"/>
  <c r="C31" i="67" s="1"/>
  <c r="D29" i="67" s="1"/>
  <c r="D31" i="67" s="1"/>
  <c r="E29" i="67" s="1"/>
  <c r="E31" i="67" s="1"/>
  <c r="F29" i="67" s="1"/>
  <c r="F31" i="67" s="1"/>
  <c r="G29" i="67" s="1"/>
  <c r="G31" i="67" s="1"/>
  <c r="C12" i="9" l="1"/>
  <c r="B12" i="9" l="1"/>
  <c r="G25" i="63" l="1"/>
  <c r="F25" i="63"/>
  <c r="E25" i="63"/>
  <c r="D25" i="63"/>
  <c r="C25" i="63"/>
  <c r="N20" i="63"/>
  <c r="G20" i="63"/>
  <c r="F20" i="63"/>
  <c r="E20" i="63"/>
  <c r="D20" i="63"/>
  <c r="C20" i="63"/>
  <c r="C26" i="63" l="1"/>
  <c r="C29" i="63" s="1"/>
  <c r="C33" i="63" s="1"/>
  <c r="D26" i="63"/>
  <c r="E26" i="63"/>
  <c r="F26" i="63"/>
  <c r="G26" i="63"/>
  <c r="N26" i="63"/>
  <c r="D29" i="63" l="1"/>
  <c r="D33" i="63" s="1"/>
  <c r="E29" i="63" s="1"/>
  <c r="E33" i="63" s="1"/>
  <c r="F29" i="63" s="1"/>
  <c r="F33" i="63" s="1"/>
  <c r="G29" i="63" s="1"/>
  <c r="G33" i="63" s="1"/>
  <c r="H29" i="63" s="1"/>
  <c r="H33" i="63" s="1"/>
  <c r="I29" i="63" s="1"/>
  <c r="I33" i="63" s="1"/>
  <c r="J29" i="63" s="1"/>
  <c r="J33" i="63" s="1"/>
  <c r="K29" i="63" s="1"/>
  <c r="K33" i="63" s="1"/>
  <c r="L29" i="63" s="1"/>
  <c r="L33" i="63" s="1"/>
  <c r="M29" i="63" s="1"/>
  <c r="M33" i="63" s="1"/>
  <c r="N29" i="63" s="1"/>
  <c r="N33" i="63" s="1"/>
  <c r="H25" i="62"/>
  <c r="G25" i="62"/>
  <c r="F25" i="62"/>
  <c r="E25" i="62"/>
  <c r="D25" i="62"/>
  <c r="C25" i="62"/>
  <c r="N20" i="62"/>
  <c r="M20" i="62"/>
  <c r="L20" i="62"/>
  <c r="K20" i="62"/>
  <c r="J20" i="62"/>
  <c r="I20" i="62"/>
  <c r="H20" i="62"/>
  <c r="G20" i="62"/>
  <c r="F20" i="62"/>
  <c r="F26" i="62" s="1"/>
  <c r="E20" i="62"/>
  <c r="E26" i="62" s="1"/>
  <c r="D20" i="62"/>
  <c r="D26" i="62" s="1"/>
  <c r="C20" i="62"/>
  <c r="G26" i="62" l="1"/>
  <c r="H26" i="62"/>
  <c r="C26" i="62"/>
  <c r="B7" i="48" l="1"/>
  <c r="B10" i="48" s="1"/>
  <c r="B17" i="48" l="1"/>
  <c r="G9" i="32" l="1"/>
  <c r="G10" i="32"/>
  <c r="G11" i="32"/>
  <c r="G12" i="32"/>
  <c r="G13" i="32"/>
  <c r="B27" i="32" l="1"/>
  <c r="H13" i="32"/>
  <c r="H11" i="32"/>
  <c r="H9" i="32"/>
  <c r="H8" i="32"/>
  <c r="H12" i="32" l="1"/>
  <c r="H10" i="32"/>
  <c r="D27" i="32" l="1"/>
  <c r="D12" i="9" l="1"/>
  <c r="C14" i="2" s="1"/>
  <c r="G14" i="32" l="1"/>
  <c r="E25" i="32"/>
  <c r="E24" i="32"/>
  <c r="E23" i="32"/>
  <c r="E22" i="32"/>
  <c r="E21" i="32"/>
  <c r="E20" i="32"/>
  <c r="C20" i="32" s="1"/>
  <c r="E19" i="32"/>
  <c r="G19" i="32" s="1"/>
  <c r="H19" i="32" s="1"/>
  <c r="E18" i="32"/>
  <c r="G18" i="32" s="1"/>
  <c r="H18" i="32" s="1"/>
  <c r="E17" i="32"/>
  <c r="G17" i="32" s="1"/>
  <c r="H17" i="32" s="1"/>
  <c r="E16" i="32"/>
  <c r="G16" i="32" s="1"/>
  <c r="H16" i="32" s="1"/>
  <c r="E15" i="32"/>
  <c r="G15" i="32" s="1"/>
  <c r="H15" i="32" s="1"/>
  <c r="G20" i="32" l="1"/>
  <c r="H20" i="32" s="1"/>
  <c r="G21" i="32"/>
  <c r="C21" i="32"/>
  <c r="G22" i="32"/>
  <c r="C22" i="32"/>
  <c r="G23" i="32"/>
  <c r="C23" i="32"/>
  <c r="G24" i="32"/>
  <c r="C24" i="32"/>
  <c r="G25" i="32"/>
  <c r="C25" i="32"/>
  <c r="H14" i="32"/>
  <c r="H25" i="32" l="1"/>
  <c r="H24" i="32"/>
  <c r="H23" i="32"/>
  <c r="H22" i="32"/>
  <c r="H21" i="32"/>
  <c r="C27" i="32"/>
  <c r="G27" i="32"/>
  <c r="H27" i="32" l="1"/>
  <c r="C15" i="2" s="1"/>
  <c r="M25" i="67"/>
  <c r="M26" i="67" s="1"/>
  <c r="I25" i="67"/>
  <c r="I26" i="67" s="1"/>
  <c r="J25" i="67"/>
  <c r="J26" i="67" s="1"/>
  <c r="K25" i="67"/>
  <c r="K26" i="67" s="1"/>
  <c r="L25" i="67"/>
  <c r="L26" i="67" s="1"/>
  <c r="H25" i="67"/>
  <c r="C10" i="2" l="1"/>
  <c r="C13" i="2" s="1"/>
  <c r="H26" i="67"/>
  <c r="H29" i="67" s="1"/>
  <c r="H31" i="67" l="1"/>
  <c r="I29" i="67" s="1"/>
  <c r="I31" i="67" s="1"/>
  <c r="J29" i="67" s="1"/>
  <c r="J31" i="67" s="1"/>
  <c r="K29" i="67" s="1"/>
  <c r="K31" i="67" s="1"/>
  <c r="L29" i="67" s="1"/>
  <c r="L31" i="67" s="1"/>
  <c r="M29" i="67" s="1"/>
  <c r="M31" i="67" s="1"/>
  <c r="C29" i="62" l="1"/>
  <c r="C33" i="62" l="1"/>
  <c r="D29" i="62" s="1"/>
  <c r="D33" i="62" s="1"/>
  <c r="E29" i="62" s="1"/>
  <c r="E33" i="62" s="1"/>
  <c r="F29" i="62" s="1"/>
  <c r="F33" i="62" s="1"/>
  <c r="G29" i="62" s="1"/>
  <c r="G33" i="62" s="1"/>
  <c r="H29" i="62" s="1"/>
  <c r="H33" i="62" s="1"/>
  <c r="I29" i="62" s="1"/>
  <c r="I33" i="62" s="1"/>
  <c r="J29" i="62" s="1"/>
  <c r="J33" i="62" s="1"/>
  <c r="K29" i="62" s="1"/>
  <c r="K33" i="62" s="1"/>
  <c r="L29" i="62" s="1"/>
  <c r="L33" i="62" s="1"/>
  <c r="M29" i="62" s="1"/>
  <c r="M33" i="62" s="1"/>
  <c r="N29" i="62" s="1"/>
  <c r="N33" i="62" s="1"/>
  <c r="C12" i="2" l="1"/>
  <c r="C11" i="2" l="1"/>
  <c r="C17" i="2" s="1"/>
  <c r="C19" i="2" l="1"/>
  <c r="C21" i="2" s="1"/>
</calcChain>
</file>

<file path=xl/sharedStrings.xml><?xml version="1.0" encoding="utf-8"?>
<sst xmlns="http://schemas.openxmlformats.org/spreadsheetml/2006/main" count="3389" uniqueCount="280">
  <si>
    <t>Ameren Missouri</t>
  </si>
  <si>
    <t>RESRAM Monthly Accounting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</si>
  <si>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</si>
  <si>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</si>
  <si>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</si>
  <si>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</si>
  <si>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</si>
  <si>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</si>
  <si>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</si>
  <si>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</si>
  <si>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</si>
  <si>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Rider RESRAM</t>
  </si>
  <si>
    <t>Interest</t>
  </si>
  <si>
    <t>(Over)/Under Recovered Costs</t>
  </si>
  <si>
    <t>Required Offset Amount</t>
  </si>
  <si>
    <t>RESRAM Rate</t>
  </si>
  <si>
    <t>Actual RES Costs (ARC)</t>
  </si>
  <si>
    <t>RESRAM Base Amount (RBA)</t>
  </si>
  <si>
    <t>Monthly Base Amount (MBA)</t>
  </si>
  <si>
    <t>RCR (RES Costs Recovered)</t>
  </si>
  <si>
    <t>REC Costs</t>
  </si>
  <si>
    <t>Solar Rebates</t>
  </si>
  <si>
    <t>Year</t>
  </si>
  <si>
    <t>Month</t>
  </si>
  <si>
    <t>RES</t>
  </si>
  <si>
    <t>COMSGS</t>
  </si>
  <si>
    <t>COMLGS</t>
  </si>
  <si>
    <t>COMSPS</t>
  </si>
  <si>
    <t>COMLPS</t>
  </si>
  <si>
    <t>INDSGS</t>
  </si>
  <si>
    <t>INDLGS</t>
  </si>
  <si>
    <t>INDSPS</t>
  </si>
  <si>
    <t>INDLPS</t>
  </si>
  <si>
    <t>LIGHTING</t>
  </si>
  <si>
    <t>TOTAL Retail</t>
  </si>
  <si>
    <t>Total</t>
  </si>
  <si>
    <t>Total RESRAM Recoveries (TRR)</t>
  </si>
  <si>
    <t>Total (PAR CP)</t>
  </si>
  <si>
    <t>Revolver</t>
  </si>
  <si>
    <t>PAR CP</t>
  </si>
  <si>
    <t>ACCRUED AFTER REPORT PERIOD</t>
  </si>
  <si>
    <t>CP BALANCE</t>
  </si>
  <si>
    <t>TOTAL ST BALANCE</t>
  </si>
  <si>
    <t>MONTHLY SHORT-TERM BORROWING ANALYSIS</t>
  </si>
  <si>
    <t>Amount Outstanding</t>
  </si>
  <si>
    <t>TOTAL FOR MONTH</t>
  </si>
  <si>
    <t>Avg Daily Borrowing</t>
  </si>
  <si>
    <t>ST Balance on GL</t>
  </si>
  <si>
    <t>Weighted Average Rate</t>
  </si>
  <si>
    <t>Peak Borrowing</t>
  </si>
  <si>
    <t>Total Borrowings</t>
  </si>
  <si>
    <t>Total Revolver Borrowings</t>
  </si>
  <si>
    <t>Total Commercial Paper Borrowings</t>
  </si>
  <si>
    <t>PAR AMT USED FOR RATE CALC ONLY</t>
  </si>
  <si>
    <t>Weighted</t>
  </si>
  <si>
    <t>PAR</t>
  </si>
  <si>
    <t>NET</t>
  </si>
  <si>
    <t>CP</t>
  </si>
  <si>
    <t>Regulated Money Pool</t>
  </si>
  <si>
    <t>Non-Regulated Money Pool</t>
  </si>
  <si>
    <t>AMC Direct Loan</t>
  </si>
  <si>
    <t>AMC Subordinated Loan</t>
  </si>
  <si>
    <t>AMC Direct Loan (Notes Backed)</t>
  </si>
  <si>
    <t>Revolver Loan 1</t>
  </si>
  <si>
    <t>Revolver Loan 2</t>
  </si>
  <si>
    <t>Revolver Loan 3</t>
  </si>
  <si>
    <t>Revolver Loan 4</t>
  </si>
  <si>
    <t>Revolver Loan 5 (ABR 365)</t>
  </si>
  <si>
    <t>Revolver Loan 6 (ABR 365)</t>
  </si>
  <si>
    <t>Commercial Paper 1</t>
  </si>
  <si>
    <t>Commercial Paper 2</t>
  </si>
  <si>
    <t>Commercial Paper 3</t>
  </si>
  <si>
    <t>Commercial Paper 4</t>
  </si>
  <si>
    <t>Commercial Paper 5</t>
  </si>
  <si>
    <t>Commercial Paper 6</t>
  </si>
  <si>
    <t>Commercial Paper 7</t>
  </si>
  <si>
    <t>Commercial Paper 8</t>
  </si>
  <si>
    <t>Commercial Paper 9</t>
  </si>
  <si>
    <t>Commercial Paper 10</t>
  </si>
  <si>
    <t>Commercial Paper 11</t>
  </si>
  <si>
    <t>Commercial Paper 12</t>
  </si>
  <si>
    <t>Commercial Paper 13</t>
  </si>
  <si>
    <t>Commercial Paper 14</t>
  </si>
  <si>
    <t>Commercial Paper 15</t>
  </si>
  <si>
    <t>Commercial Paper 16</t>
  </si>
  <si>
    <t>Commercial Paper 17</t>
  </si>
  <si>
    <t>Commercial Paper 18</t>
  </si>
  <si>
    <t>Commercial Paper 19</t>
  </si>
  <si>
    <t>Commercial Paper 20</t>
  </si>
  <si>
    <t>Commercial Paper 21</t>
  </si>
  <si>
    <t>Commercial Paper 22</t>
  </si>
  <si>
    <t>Commercial Paper 23</t>
  </si>
  <si>
    <t>Commercial Paper 24</t>
  </si>
  <si>
    <t>Commercial Paper 25</t>
  </si>
  <si>
    <t>Commercial Paper 26</t>
  </si>
  <si>
    <t>Commercial Paper 27</t>
  </si>
  <si>
    <t>Commercial Paper 28</t>
  </si>
  <si>
    <t>Commercial Paper 29</t>
  </si>
  <si>
    <t>Commercial Paper 30</t>
  </si>
  <si>
    <t>Future Use 1 - Term Loan</t>
  </si>
  <si>
    <t>TOTAL NET CP PROCEEDS</t>
  </si>
  <si>
    <t>(PAR CP)</t>
  </si>
  <si>
    <t>(NET CP)</t>
  </si>
  <si>
    <t>Daily</t>
  </si>
  <si>
    <t>Average</t>
  </si>
  <si>
    <t>Revolvers</t>
  </si>
  <si>
    <t>Date</t>
  </si>
  <si>
    <t>Amount</t>
  </si>
  <si>
    <t>Rate</t>
  </si>
  <si>
    <t>Outstanding</t>
  </si>
  <si>
    <t>Projected RESRAM Billed kWh</t>
  </si>
  <si>
    <t>Calculated Projected RESRAM Revenues</t>
  </si>
  <si>
    <t>Revenue Authorized for Collection</t>
  </si>
  <si>
    <t>True-Up Calculation</t>
  </si>
  <si>
    <t>Annual Total</t>
  </si>
  <si>
    <t>(Over)/Under Difference between Billed/Authorized and Projected</t>
  </si>
  <si>
    <t>ROUR+True-Up Amortization</t>
  </si>
  <si>
    <t>Interconnection Expenses</t>
  </si>
  <si>
    <t>Billed RESRAM ROUR &amp; True-Up Revenues</t>
  </si>
  <si>
    <t>Final ROUR &amp; True-Up RESRAM Rate</t>
  </si>
  <si>
    <t>Capital Investments</t>
  </si>
  <si>
    <t>PLANT IN-SERVICE ACCOUNTING</t>
  </si>
  <si>
    <t>Electric plant placed in-service</t>
  </si>
  <si>
    <t>Less: New Business</t>
  </si>
  <si>
    <t>Total qualifying electric plant</t>
  </si>
  <si>
    <t>Less: Assets depreciated to clearing accounts</t>
  </si>
  <si>
    <t>Less:  Retirements of plant related to in-service additions</t>
  </si>
  <si>
    <t>Total Plant for Deferred Depreciation</t>
  </si>
  <si>
    <t>Incremental rate base</t>
  </si>
  <si>
    <t>Total qualifying electric plant (from above)</t>
  </si>
  <si>
    <t>Less: Change in accumulated depreciation</t>
  </si>
  <si>
    <t>Less: Marginal increase in ADIT</t>
  </si>
  <si>
    <t>Qualifying electric plant rate base for cost of capital return</t>
  </si>
  <si>
    <t xml:space="preserve">            1 - Tax Rate</t>
  </si>
  <si>
    <t>(1) Tax Rate</t>
  </si>
  <si>
    <t>Weighted Cost of Debt</t>
  </si>
  <si>
    <t>Tax weighted Cost of Equity (Including Preferred Stock)</t>
  </si>
  <si>
    <t>Tax Multiplier (1/1-tax rate) (1)</t>
  </si>
  <si>
    <t>Tax Weighted Rate of Return</t>
  </si>
  <si>
    <t>TOTAL</t>
  </si>
  <si>
    <t>Common Equity</t>
  </si>
  <si>
    <t>Preferred Stock</t>
  </si>
  <si>
    <t>Short Term Debt</t>
  </si>
  <si>
    <t>Long Term Debt</t>
  </si>
  <si>
    <t>Cost</t>
  </si>
  <si>
    <t>Each Type</t>
  </si>
  <si>
    <t>of Total</t>
  </si>
  <si>
    <t>Type of Capital</t>
  </si>
  <si>
    <t xml:space="preserve">Cost of </t>
  </si>
  <si>
    <t>Proportion</t>
  </si>
  <si>
    <t>Pro Forma</t>
  </si>
  <si>
    <t>input 08/02/05</t>
  </si>
  <si>
    <t>CONFIDENTIAL</t>
  </si>
  <si>
    <t>PRO FORMA</t>
  </si>
  <si>
    <t>COST OF CAPITAL SUMMARY</t>
  </si>
  <si>
    <t>AMEREN MISSOURI</t>
  </si>
  <si>
    <t>RESRAM-eligible capital investments</t>
  </si>
  <si>
    <t>Qualifying electric plant</t>
  </si>
  <si>
    <t>Cumulative Depreciation</t>
  </si>
  <si>
    <t>OSSR</t>
  </si>
  <si>
    <t>4074RR</t>
  </si>
  <si>
    <t>MBA pieces</t>
  </si>
  <si>
    <t>Monthly Total</t>
  </si>
  <si>
    <t>Under-recovery</t>
  </si>
  <si>
    <t>Under FSLI</t>
  </si>
  <si>
    <t>Over-recovery</t>
  </si>
  <si>
    <t>Over FSLI</t>
  </si>
  <si>
    <t>4074RM</t>
  </si>
  <si>
    <t>Purchased Power</t>
  </si>
  <si>
    <t>4073RV</t>
  </si>
  <si>
    <t>Other Misc Electric Revenues</t>
  </si>
  <si>
    <t>O&amp;M Expense</t>
  </si>
  <si>
    <t>Other Interchange and Wholesale Billed Revenue</t>
  </si>
  <si>
    <t>Return on Plant</t>
  </si>
  <si>
    <t>Return-Debt</t>
  </si>
  <si>
    <t>431RRM</t>
  </si>
  <si>
    <t>Interest Charges</t>
  </si>
  <si>
    <t>Return-Equity</t>
  </si>
  <si>
    <t>Remaining Plant</t>
  </si>
  <si>
    <t>4074RE</t>
  </si>
  <si>
    <t>Depreciation &amp; Amortization</t>
  </si>
  <si>
    <t>Weighter Cost of Equity and Preferred Stock</t>
  </si>
  <si>
    <t xml:space="preserve">        Total Current Income Tax</t>
  </si>
  <si>
    <t xml:space="preserve">        Divide by Net Taxable Income</t>
  </si>
  <si>
    <t>÷</t>
  </si>
  <si>
    <t xml:space="preserve">            Tax Rate</t>
  </si>
  <si>
    <t>Accumulation Period 5</t>
  </si>
  <si>
    <t>ER-2022-0337</t>
  </si>
  <si>
    <t>Renewable Energy Standard Rate Adjustment Mechanism Base Cost (RESRAM)</t>
  </si>
  <si>
    <t>Difference</t>
  </si>
  <si>
    <t>Costs &amp; Expenses</t>
  </si>
  <si>
    <t xml:space="preserve">  Plant Related Costs</t>
  </si>
  <si>
    <t xml:space="preserve">     Depreciation High Prairie &amp; Atchison - Acct 403</t>
  </si>
  <si>
    <t xml:space="preserve">     Property Taxes - Acct 408</t>
  </si>
  <si>
    <t xml:space="preserve">     Non-Labor O&amp;M High Prairie - Acct 546-554</t>
  </si>
  <si>
    <t xml:space="preserve">     Non-Labor O&amp;M Atchison - Acct 546-554</t>
  </si>
  <si>
    <t xml:space="preserve">     Property Insurance - Acct 924</t>
  </si>
  <si>
    <t xml:space="preserve">     Return on Plant</t>
  </si>
  <si>
    <t xml:space="preserve">  Total Plant Related Costs</t>
  </si>
  <si>
    <t xml:space="preserve">  Transmission Related Costs</t>
  </si>
  <si>
    <t xml:space="preserve">     FSA Agreements - Acct 565</t>
  </si>
  <si>
    <t xml:space="preserve">  Total Transmission Related Costs</t>
  </si>
  <si>
    <t xml:space="preserve">  Other Costs</t>
  </si>
  <si>
    <t xml:space="preserve">     REC Costs Acct 509/557</t>
  </si>
  <si>
    <t xml:space="preserve">     Ancillary Expenses Acct 555</t>
  </si>
  <si>
    <t xml:space="preserve">     MISO &amp; SPP Day 2 Expenses - Acct 555</t>
  </si>
  <si>
    <t xml:space="preserve">     Solar Rebates - Acct 908</t>
  </si>
  <si>
    <t xml:space="preserve">  Total Other Costs</t>
  </si>
  <si>
    <t>Revenues &amp; Credits</t>
  </si>
  <si>
    <t xml:space="preserve">     Production Tax Credits - Acct 409</t>
  </si>
  <si>
    <t xml:space="preserve">     Off System Energy Sales - Acct 447</t>
  </si>
  <si>
    <t xml:space="preserve">     Capacity Sales - Acct 447</t>
  </si>
  <si>
    <t xml:space="preserve">     Ancillary Services Revenue - Acct 447</t>
  </si>
  <si>
    <t xml:space="preserve">     MISO &amp; SPP Day 2 Revenue - Acct 447</t>
  </si>
  <si>
    <t>Total Revenues &amp; Credits</t>
  </si>
  <si>
    <t>Net Base RESRAM Costs</t>
  </si>
  <si>
    <t>Allocations for RESRAM entry</t>
  </si>
  <si>
    <t>4074RO</t>
  </si>
  <si>
    <t>4073RO</t>
  </si>
  <si>
    <t>182RQx</t>
  </si>
  <si>
    <t>Regulatory Asset</t>
  </si>
  <si>
    <t>254RQ4</t>
  </si>
  <si>
    <t>Regulatory Liability</t>
  </si>
  <si>
    <t>Calculated RRR</t>
  </si>
  <si>
    <t>Annual ARC Total</t>
  </si>
  <si>
    <t>Total KWh</t>
  </si>
  <si>
    <t>RES Over/Under Recovery (ROUR)</t>
  </si>
  <si>
    <t>RES Revenue Requirement (RRR)</t>
  </si>
  <si>
    <t>True-Up (T)</t>
  </si>
  <si>
    <t>Ordered Adjustment (OA)</t>
  </si>
  <si>
    <t>Wind REC Costs - 509RWD/557RWD</t>
  </si>
  <si>
    <t>Solar REC Costs - 509RCS/557RCS</t>
  </si>
  <si>
    <t>Biomass REC Costs - 509RBM/557RBM</t>
  </si>
  <si>
    <t>Hydro REC Costs - 509RH2/557RH2</t>
  </si>
  <si>
    <t>Non Customer Solar REC Costs - 509RPS/557RPS</t>
  </si>
  <si>
    <t>Solar Rebate Processing Costs - 509SRP/557SRP</t>
  </si>
  <si>
    <t>Rider SR Solar Rebates - 908SR2</t>
  </si>
  <si>
    <t>Production Tax Credit Benefit - 409 - 411</t>
  </si>
  <si>
    <t>Net OSSR/Purchased Power portion - 447 &amp; 555</t>
  </si>
  <si>
    <t>Actual RES Costs Incurred in Accumulation Period (ARC)</t>
  </si>
  <si>
    <t>RES Expenses Recovered in Accumulation Period (RCR)</t>
  </si>
  <si>
    <t>From US Bank Monthly Accrued Interest Report</t>
  </si>
  <si>
    <t>Negative Number</t>
  </si>
  <si>
    <t>Accumulation Period 6</t>
  </si>
  <si>
    <t>TRR Rate</t>
  </si>
  <si>
    <t>APRIL 2025</t>
  </si>
  <si>
    <t>AUGUST 2024</t>
  </si>
  <si>
    <t>DECEMBER 2024</t>
  </si>
  <si>
    <t>FEBRUARY 2025</t>
  </si>
  <si>
    <t>JANUARY 2025</t>
  </si>
  <si>
    <t>JULY 2025</t>
  </si>
  <si>
    <t>JUNE 2025</t>
  </si>
  <si>
    <t>MARCH 2025</t>
  </si>
  <si>
    <t>MAY 2025</t>
  </si>
  <si>
    <t>NOVEMBER 2024</t>
  </si>
  <si>
    <t>OCTOBER 2024</t>
  </si>
  <si>
    <t>SEPTEMBER 2024</t>
  </si>
  <si>
    <t>Accumulation Period 7</t>
  </si>
  <si>
    <t>Reclass AP5 to AP6</t>
  </si>
  <si>
    <t>Wind REC Costs - 509RWD/5553RW/557RWD</t>
  </si>
  <si>
    <t>Solar REC Costs - 509RCS/5553RC/557RCS</t>
  </si>
  <si>
    <t>Biomass REC Costs - 509RBM/5553RB/557RBM</t>
  </si>
  <si>
    <t>Hydro REC Costs - 509RH2/5553RH/557RH2</t>
  </si>
  <si>
    <t>Non Customer Solar REC Costs - 509RPS/5553RP/557RPS</t>
  </si>
  <si>
    <t>ER-2024-0319</t>
  </si>
  <si>
    <t>12 Months Ended March 31, 2024 With True-Up Through December 31, 2024 Compared to ER-2022-0337</t>
  </si>
  <si>
    <t xml:space="preserve">     Non-Labor O&amp;M Huck Finn - Acct 546-554</t>
  </si>
  <si>
    <t>ER-2022-0377</t>
  </si>
  <si>
    <t>Depreciation for Plant Additions In-Service as of 12/31/2024</t>
  </si>
  <si>
    <t>RESRAM Revenue Requirement (RRR) for Recovery Period 7</t>
  </si>
  <si>
    <t>RRR for RP 7</t>
  </si>
  <si>
    <t>Statutory tax rate per Debbie Schneider</t>
  </si>
  <si>
    <t>Weighted Cost of Equity and Preferred Stock</t>
  </si>
  <si>
    <t>Rate Calcuation for Recovery Period 7</t>
  </si>
  <si>
    <t>August 2024 - July 2025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</si>
  <si>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This rate is calculated by taking Factors ROUR and T divided by Factor S</t>
    </r>
    <r>
      <rPr>
        <vertAlign val="subscript"/>
        <sz val="11"/>
        <color theme="1"/>
        <rFont val="Calibri"/>
        <family val="2"/>
        <scheme val="minor"/>
      </rPr>
      <t>RP</t>
    </r>
    <r>
      <rPr>
        <sz val="11"/>
        <color theme="1"/>
        <rFont val="Calibri"/>
        <family val="2"/>
        <scheme val="minor"/>
      </rPr>
      <t xml:space="preserve"> from the AP 5 filing 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</si>
  <si>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This rate is calculated by taking Factors ROUR and T divided by Factor S</t>
    </r>
    <r>
      <rPr>
        <vertAlign val="subscript"/>
        <sz val="11"/>
        <color theme="1"/>
        <rFont val="Calibri"/>
        <family val="2"/>
        <scheme val="minor"/>
      </rPr>
      <t>RP</t>
    </r>
    <r>
      <rPr>
        <sz val="11"/>
        <color theme="1"/>
        <rFont val="Calibri"/>
        <family val="2"/>
        <scheme val="minor"/>
      </rPr>
      <t xml:space="preserve"> from the AP 6 filing </t>
    </r>
  </si>
  <si>
    <r>
      <t>Estimated Recovery Period Sales (kWh) (S</t>
    </r>
    <r>
      <rPr>
        <vertAlign val="subscript"/>
        <sz val="11"/>
        <color theme="1"/>
        <rFont val="Calibri"/>
        <family val="2"/>
        <scheme val="minor"/>
      </rPr>
      <t>RP</t>
    </r>
    <r>
      <rPr>
        <sz val="11"/>
        <color theme="1"/>
        <rFont val="Calibri"/>
        <family val="2"/>
        <scheme val="minor"/>
      </rPr>
      <t>)</t>
    </r>
  </si>
  <si>
    <r>
      <t>Net base RESRAM Costs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</si>
  <si>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rFont val="Calibri"/>
        <family val="2"/>
        <scheme val="minor"/>
      </rPr>
      <t xml:space="preserve">1 </t>
    </r>
    <r>
      <rPr>
        <sz val="11"/>
        <rFont val="Calibri"/>
        <family val="2"/>
        <scheme val="minor"/>
      </rPr>
      <t>Taken from the "ER-2024-0319" tab detailing the RESRAM Base Amount/MBA.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</si>
</sst>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\-yyyy"/>
    <numFmt numFmtId="165" formatCode="[$-409]mmm\-yy;@"/>
    <numFmt numFmtId="166" formatCode="0.0000%"/>
    <numFmt numFmtId="167" formatCode="_(* #,##0_);_(* \(#,##0\);_(* &quot;-&quot;??_);_(@_)"/>
    <numFmt numFmtId="168" formatCode="#,##0;\-#,##0"/>
    <numFmt numFmtId="169" formatCode="_(* #,##0.00000_);_(* \(#,##0.00000\);_(* &quot;-&quot;??_);_(@_)"/>
    <numFmt numFmtId="170" formatCode="&quot;$&quot;#,##0"/>
    <numFmt numFmtId="171" formatCode="0.000000%"/>
    <numFmt numFmtId="172" formatCode="[$-409]mmmm\ yyyy;@"/>
    <numFmt numFmtId="173" formatCode="_(&quot;$&quot;* #,##0_);_(&quot;$&quot;* \(#,##0\);_(&quot;$&quot;* &quot;-&quot;??_);_(@_)"/>
    <numFmt numFmtId="174" formatCode="_(&quot;$&quot;* #,##0.00000_);_(&quot;$&quot;* \(#,##0.00000\);_(&quot;$&quot;* &quot;-&quot;??_);_(@_)"/>
    <numFmt numFmtId="175" formatCode="0.000%"/>
    <numFmt numFmtId="176" formatCode="mm/dd/yy"/>
    <numFmt numFmtId="177" formatCode="0_);[Red]\(0\)"/>
    <numFmt numFmtId="178" formatCode="&quot;$&quot;#,##0.00"/>
    <numFmt numFmtId="179" formatCode="_(* #,##0.0000_);_(* \(#,##0.0000\);_(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8"/>
      <name val="Trebuchet MS"/>
      <family val="2"/>
    </font>
    <font>
      <sz val="11"/>
      <name val="Calibri"/>
      <family val="2"/>
    </font>
    <font>
      <sz val="10"/>
      <name val="Arial"/>
      <family val="2"/>
    </font>
    <font>
      <i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</font>
    <font>
      <sz val="11"/>
      <color rgb="FF0000FF"/>
      <name val="Calibri"/>
      <family val="2"/>
      <scheme val="minor"/>
    </font>
    <font>
      <sz val="11"/>
      <color rgb="FF3333FF"/>
      <name val="Calibri"/>
      <family val="2"/>
      <scheme val="minor"/>
    </font>
    <font>
      <vertAlign val="superscript"/>
      <sz val="11"/>
      <name val="Calibri"/>
      <family val="2"/>
      <scheme val="minor"/>
    </font>
    <font>
      <i/>
      <sz val="11"/>
      <color rgb="FFFF0000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b/>
      <i/>
      <u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name val="Calibri"/>
      <family val="2"/>
    </font>
    <font>
      <b/>
      <i/>
      <u/>
      <sz val="11"/>
      <name val="Calibri"/>
      <family val="2"/>
    </font>
    <font>
      <sz val="11"/>
      <color indexed="9"/>
      <name val="Calibri"/>
      <family val="2"/>
    </font>
    <font>
      <b/>
      <u/>
      <sz val="11"/>
      <name val="Calibri"/>
      <family val="2"/>
    </font>
    <font>
      <sz val="11"/>
      <color rgb="FF0000FF"/>
      <name val="Calibri"/>
      <family val="2"/>
    </font>
    <font>
      <sz val="11"/>
      <color indexed="12"/>
      <name val="Calibri"/>
      <family val="2"/>
    </font>
    <font>
      <b/>
      <sz val="11"/>
      <color rgb="FFFF0000"/>
      <name val="Calibri"/>
      <family val="2"/>
    </font>
    <font>
      <b/>
      <u/>
      <sz val="11"/>
      <color theme="1"/>
      <name val="Calibri"/>
      <family val="2"/>
    </font>
    <font>
      <u/>
      <sz val="11"/>
      <color theme="1"/>
      <name val="Calibri"/>
      <family val="2"/>
    </font>
    <font>
      <u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4" fillId="0" borderId="0"/>
    <xf numFmtId="0" fontId="16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7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9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</cellStyleXfs>
  <cellXfs count="290">
    <xf numFmtId="0" fontId="0" fillId="0" borderId="0" xfId="0"/>
    <xf numFmtId="0" fontId="3" fillId="0" borderId="0" xfId="4" applyFont="1" applyAlignment="1">
      <alignment horizontal="center" wrapText="1"/>
    </xf>
    <xf numFmtId="0" fontId="3" fillId="0" borderId="0" xfId="4" applyFont="1" applyAlignment="1">
      <alignment wrapText="1"/>
    </xf>
    <xf numFmtId="0" fontId="0" fillId="0" borderId="0" xfId="0" applyAlignment="1">
      <alignment horizontal="left" indent="2"/>
    </xf>
    <xf numFmtId="0" fontId="3" fillId="2" borderId="1" xfId="4" applyFont="1" applyFill="1" applyBorder="1" applyAlignment="1">
      <alignment wrapText="1"/>
    </xf>
    <xf numFmtId="166" fontId="0" fillId="0" borderId="3" xfId="3" applyNumberFormat="1" applyFont="1" applyFill="1" applyBorder="1"/>
    <xf numFmtId="0" fontId="3" fillId="0" borderId="0" xfId="4" applyFont="1" applyAlignment="1">
      <alignment horizontal="left" wrapText="1" indent="2"/>
    </xf>
    <xf numFmtId="0" fontId="5" fillId="0" borderId="0" xfId="0" applyFont="1"/>
    <xf numFmtId="0" fontId="7" fillId="0" borderId="0" xfId="0" applyFont="1" applyAlignment="1">
      <alignment horizontal="right"/>
    </xf>
    <xf numFmtId="0" fontId="4" fillId="0" borderId="9" xfId="4" applyFont="1" applyBorder="1"/>
    <xf numFmtId="43" fontId="1" fillId="0" borderId="0" xfId="5" applyFont="1" applyBorder="1"/>
    <xf numFmtId="43" fontId="0" fillId="0" borderId="9" xfId="0" applyNumberFormat="1" applyBorder="1"/>
    <xf numFmtId="43" fontId="4" fillId="0" borderId="9" xfId="1" applyFont="1" applyBorder="1"/>
    <xf numFmtId="166" fontId="0" fillId="0" borderId="12" xfId="3" applyNumberFormat="1" applyFont="1" applyFill="1" applyBorder="1"/>
    <xf numFmtId="0" fontId="0" fillId="0" borderId="0" xfId="0" applyAlignment="1">
      <alignment horizontal="centerContinuous"/>
    </xf>
    <xf numFmtId="166" fontId="0" fillId="0" borderId="0" xfId="0" applyNumberFormat="1"/>
    <xf numFmtId="43" fontId="0" fillId="0" borderId="0" xfId="1" applyFont="1"/>
    <xf numFmtId="173" fontId="0" fillId="0" borderId="0" xfId="2" applyNumberFormat="1" applyFont="1" applyFill="1"/>
    <xf numFmtId="173" fontId="1" fillId="0" borderId="0" xfId="2" quotePrefix="1" applyNumberFormat="1" applyFont="1" applyFill="1" applyBorder="1"/>
    <xf numFmtId="173" fontId="0" fillId="0" borderId="0" xfId="2" applyNumberFormat="1" applyFont="1" applyBorder="1"/>
    <xf numFmtId="173" fontId="1" fillId="2" borderId="1" xfId="2" applyNumberFormat="1" applyFont="1" applyFill="1" applyBorder="1"/>
    <xf numFmtId="167" fontId="0" fillId="0" borderId="0" xfId="1" applyNumberFormat="1" applyFont="1" applyBorder="1"/>
    <xf numFmtId="167" fontId="0" fillId="0" borderId="9" xfId="1" applyNumberFormat="1" applyFont="1" applyBorder="1"/>
    <xf numFmtId="167" fontId="0" fillId="0" borderId="0" xfId="0" applyNumberFormat="1"/>
    <xf numFmtId="173" fontId="0" fillId="0" borderId="9" xfId="2" applyNumberFormat="1" applyFont="1" applyBorder="1"/>
    <xf numFmtId="173" fontId="0" fillId="0" borderId="0" xfId="2" applyNumberFormat="1" applyFont="1" applyFill="1" applyBorder="1"/>
    <xf numFmtId="173" fontId="4" fillId="0" borderId="9" xfId="4" applyNumberFormat="1" applyFont="1" applyBorder="1"/>
    <xf numFmtId="173" fontId="1" fillId="0" borderId="0" xfId="5" quotePrefix="1" applyNumberFormat="1" applyFont="1" applyBorder="1"/>
    <xf numFmtId="173" fontId="1" fillId="0" borderId="9" xfId="2" quotePrefix="1" applyNumberFormat="1" applyFont="1" applyBorder="1"/>
    <xf numFmtId="173" fontId="1" fillId="2" borderId="11" xfId="2" applyNumberFormat="1" applyFont="1" applyFill="1" applyBorder="1"/>
    <xf numFmtId="173" fontId="0" fillId="0" borderId="0" xfId="0" applyNumberFormat="1"/>
    <xf numFmtId="0" fontId="12" fillId="0" borderId="0" xfId="0" applyFont="1"/>
    <xf numFmtId="169" fontId="0" fillId="0" borderId="0" xfId="1" applyNumberFormat="1" applyFont="1"/>
    <xf numFmtId="0" fontId="15" fillId="0" borderId="0" xfId="0" applyFont="1"/>
    <xf numFmtId="0" fontId="3" fillId="0" borderId="2" xfId="4" applyFont="1" applyBorder="1" applyAlignment="1">
      <alignment horizontal="left" wrapText="1" indent="2"/>
    </xf>
    <xf numFmtId="44" fontId="0" fillId="0" borderId="0" xfId="0" applyNumberFormat="1"/>
    <xf numFmtId="0" fontId="7" fillId="0" borderId="0" xfId="0" applyFont="1" applyAlignment="1">
      <alignment horizontal="left"/>
    </xf>
    <xf numFmtId="167" fontId="0" fillId="0" borderId="0" xfId="1" applyNumberFormat="1" applyFont="1" applyFill="1" applyAlignment="1">
      <alignment horizontal="right"/>
    </xf>
    <xf numFmtId="169" fontId="0" fillId="0" borderId="0" xfId="1" applyNumberFormat="1" applyFont="1" applyFill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0" xfId="0" applyFont="1"/>
    <xf numFmtId="0" fontId="18" fillId="0" borderId="2" xfId="4" applyFont="1" applyBorder="1" applyAlignment="1">
      <alignment horizontal="center"/>
    </xf>
    <xf numFmtId="167" fontId="0" fillId="0" borderId="0" xfId="1" applyNumberFormat="1" applyFont="1"/>
    <xf numFmtId="0" fontId="2" fillId="0" borderId="0" xfId="14"/>
    <xf numFmtId="0" fontId="20" fillId="0" borderId="0" xfId="0" applyFont="1"/>
    <xf numFmtId="44" fontId="0" fillId="0" borderId="0" xfId="2" applyFont="1"/>
    <xf numFmtId="43" fontId="1" fillId="0" borderId="10" xfId="5" applyFont="1" applyBorder="1"/>
    <xf numFmtId="173" fontId="0" fillId="0" borderId="10" xfId="2" applyNumberFormat="1" applyFont="1" applyBorder="1"/>
    <xf numFmtId="173" fontId="0" fillId="0" borderId="10" xfId="2" applyNumberFormat="1" applyFont="1" applyFill="1" applyBorder="1"/>
    <xf numFmtId="43" fontId="0" fillId="0" borderId="10" xfId="0" applyNumberFormat="1" applyBorder="1"/>
    <xf numFmtId="173" fontId="1" fillId="0" borderId="10" xfId="5" quotePrefix="1" applyNumberFormat="1" applyFont="1" applyBorder="1"/>
    <xf numFmtId="173" fontId="1" fillId="0" borderId="10" xfId="2" quotePrefix="1" applyNumberFormat="1" applyFont="1" applyFill="1" applyBorder="1"/>
    <xf numFmtId="173" fontId="0" fillId="0" borderId="29" xfId="2" applyNumberFormat="1" applyFont="1" applyBorder="1"/>
    <xf numFmtId="173" fontId="1" fillId="2" borderId="28" xfId="2" applyNumberFormat="1" applyFont="1" applyFill="1" applyBorder="1"/>
    <xf numFmtId="166" fontId="0" fillId="0" borderId="30" xfId="3" applyNumberFormat="1" applyFont="1" applyFill="1" applyBorder="1"/>
    <xf numFmtId="179" fontId="0" fillId="0" borderId="0" xfId="0" applyNumberFormat="1"/>
    <xf numFmtId="0" fontId="4" fillId="0" borderId="0" xfId="0" applyFont="1"/>
    <xf numFmtId="169" fontId="4" fillId="0" borderId="0" xfId="0" applyNumberFormat="1" applyFont="1"/>
    <xf numFmtId="167" fontId="0" fillId="0" borderId="10" xfId="1" applyNumberFormat="1" applyFont="1" applyBorder="1"/>
    <xf numFmtId="43" fontId="0" fillId="0" borderId="0" xfId="0" applyNumberFormat="1"/>
    <xf numFmtId="0" fontId="1" fillId="0" borderId="0" xfId="20"/>
    <xf numFmtId="44" fontId="1" fillId="0" borderId="0" xfId="20" applyNumberFormat="1"/>
    <xf numFmtId="0" fontId="18" fillId="0" borderId="0" xfId="4" applyFont="1" applyAlignment="1">
      <alignment horizontal="center"/>
    </xf>
    <xf numFmtId="0" fontId="10" fillId="0" borderId="0" xfId="0" applyFont="1" applyAlignment="1">
      <alignment horizontal="centerContinuous"/>
    </xf>
    <xf numFmtId="0" fontId="2" fillId="0" borderId="0" xfId="10"/>
    <xf numFmtId="43" fontId="4" fillId="0" borderId="0" xfId="0" applyNumberFormat="1" applyFont="1"/>
    <xf numFmtId="0" fontId="21" fillId="0" borderId="0" xfId="10" applyFont="1"/>
    <xf numFmtId="44" fontId="0" fillId="0" borderId="0" xfId="2" applyFont="1" applyFill="1"/>
    <xf numFmtId="0" fontId="4" fillId="0" borderId="0" xfId="0" applyFont="1" applyAlignment="1">
      <alignment horizontal="left"/>
    </xf>
    <xf numFmtId="167" fontId="15" fillId="0" borderId="0" xfId="1" applyNumberFormat="1" applyFont="1" applyFill="1"/>
    <xf numFmtId="165" fontId="3" fillId="0" borderId="9" xfId="4" quotePrefix="1" applyNumberFormat="1" applyFont="1" applyBorder="1" applyAlignment="1">
      <alignment horizontal="center"/>
    </xf>
    <xf numFmtId="165" fontId="3" fillId="0" borderId="0" xfId="4" quotePrefix="1" applyNumberFormat="1" applyFont="1" applyAlignment="1">
      <alignment horizontal="center"/>
    </xf>
    <xf numFmtId="165" fontId="3" fillId="0" borderId="10" xfId="4" quotePrefix="1" applyNumberFormat="1" applyFont="1" applyBorder="1" applyAlignment="1">
      <alignment horizontal="center"/>
    </xf>
    <xf numFmtId="173" fontId="0" fillId="0" borderId="9" xfId="2" applyNumberFormat="1" applyFont="1" applyFill="1" applyBorder="1"/>
    <xf numFmtId="165" fontId="3" fillId="0" borderId="13" xfId="4" quotePrefix="1" applyNumberFormat="1" applyFont="1" applyBorder="1" applyAlignment="1">
      <alignment horizontal="center"/>
    </xf>
    <xf numFmtId="173" fontId="1" fillId="0" borderId="11" xfId="2" applyNumberFormat="1" applyFont="1" applyBorder="1"/>
    <xf numFmtId="173" fontId="1" fillId="0" borderId="1" xfId="2" applyNumberFormat="1" applyFont="1" applyBorder="1"/>
    <xf numFmtId="173" fontId="1" fillId="0" borderId="28" xfId="2" applyNumberFormat="1" applyFont="1" applyBorder="1"/>
    <xf numFmtId="0" fontId="1" fillId="0" borderId="0" xfId="0" applyFont="1"/>
    <xf numFmtId="0" fontId="1" fillId="0" borderId="0" xfId="0" applyFont="1" applyAlignment="1">
      <alignment horizontal="left" indent="2"/>
    </xf>
    <xf numFmtId="173" fontId="1" fillId="0" borderId="0" xfId="2" applyNumberFormat="1" applyFont="1" applyBorder="1"/>
    <xf numFmtId="173" fontId="1" fillId="0" borderId="29" xfId="2" applyNumberFormat="1" applyFont="1" applyBorder="1"/>
    <xf numFmtId="166" fontId="1" fillId="0" borderId="12" xfId="3" applyNumberFormat="1" applyFont="1" applyFill="1" applyBorder="1"/>
    <xf numFmtId="166" fontId="1" fillId="0" borderId="3" xfId="3" applyNumberFormat="1" applyFont="1" applyFill="1" applyBorder="1"/>
    <xf numFmtId="166" fontId="1" fillId="0" borderId="30" xfId="3" applyNumberFormat="1" applyFont="1" applyFill="1" applyBorder="1"/>
    <xf numFmtId="167" fontId="1" fillId="0" borderId="9" xfId="1" applyNumberFormat="1" applyFont="1" applyBorder="1"/>
    <xf numFmtId="167" fontId="1" fillId="0" borderId="0" xfId="1" applyNumberFormat="1" applyFont="1" applyBorder="1"/>
    <xf numFmtId="167" fontId="1" fillId="0" borderId="31" xfId="1" applyNumberFormat="1" applyFont="1" applyBorder="1"/>
    <xf numFmtId="167" fontId="1" fillId="0" borderId="9" xfId="0" applyNumberFormat="1" applyFont="1" applyBorder="1"/>
    <xf numFmtId="167" fontId="1" fillId="0" borderId="0" xfId="0" applyNumberFormat="1" applyFont="1"/>
    <xf numFmtId="167" fontId="1" fillId="0" borderId="10" xfId="0" applyNumberFormat="1" applyFont="1" applyBorder="1"/>
    <xf numFmtId="173" fontId="24" fillId="0" borderId="9" xfId="2" applyNumberFormat="1" applyFont="1" applyFill="1" applyBorder="1" applyProtection="1">
      <protection locked="0"/>
    </xf>
    <xf numFmtId="173" fontId="24" fillId="0" borderId="0" xfId="2" applyNumberFormat="1" applyFont="1" applyFill="1" applyBorder="1" applyProtection="1">
      <protection locked="0"/>
    </xf>
    <xf numFmtId="173" fontId="24" fillId="2" borderId="1" xfId="11" applyNumberFormat="1" applyFont="1" applyFill="1" applyBorder="1" applyProtection="1">
      <protection locked="0"/>
    </xf>
    <xf numFmtId="173" fontId="1" fillId="0" borderId="9" xfId="2" applyNumberFormat="1" applyFont="1" applyBorder="1"/>
    <xf numFmtId="173" fontId="1" fillId="0" borderId="0" xfId="2" applyNumberFormat="1" applyFont="1" applyFill="1" applyBorder="1"/>
    <xf numFmtId="173" fontId="1" fillId="0" borderId="10" xfId="2" applyNumberFormat="1" applyFont="1" applyFill="1" applyBorder="1"/>
    <xf numFmtId="167" fontId="1" fillId="0" borderId="10" xfId="1" applyNumberFormat="1" applyFont="1" applyBorder="1"/>
    <xf numFmtId="167" fontId="1" fillId="0" borderId="0" xfId="1" applyNumberFormat="1" applyFont="1" applyFill="1" applyBorder="1"/>
    <xf numFmtId="173" fontId="24" fillId="0" borderId="10" xfId="2" applyNumberFormat="1" applyFont="1" applyFill="1" applyBorder="1" applyProtection="1">
      <protection locked="0"/>
    </xf>
    <xf numFmtId="43" fontId="0" fillId="0" borderId="0" xfId="5" applyFont="1" applyFill="1" applyBorder="1"/>
    <xf numFmtId="43" fontId="0" fillId="0" borderId="10" xfId="5" applyFont="1" applyFill="1" applyBorder="1"/>
    <xf numFmtId="173" fontId="0" fillId="0" borderId="11" xfId="2" applyNumberFormat="1" applyFont="1" applyBorder="1"/>
    <xf numFmtId="173" fontId="0" fillId="0" borderId="1" xfId="2" applyNumberFormat="1" applyFont="1" applyBorder="1"/>
    <xf numFmtId="173" fontId="0" fillId="0" borderId="28" xfId="2" applyNumberFormat="1" applyFont="1" applyBorder="1"/>
    <xf numFmtId="173" fontId="0" fillId="0" borderId="0" xfId="5" quotePrefix="1" applyNumberFormat="1" applyFont="1" applyBorder="1"/>
    <xf numFmtId="173" fontId="0" fillId="0" borderId="10" xfId="5" quotePrefix="1" applyNumberFormat="1" applyFont="1" applyBorder="1"/>
    <xf numFmtId="173" fontId="0" fillId="0" borderId="9" xfId="2" quotePrefix="1" applyNumberFormat="1" applyFont="1" applyFill="1" applyBorder="1"/>
    <xf numFmtId="173" fontId="0" fillId="0" borderId="0" xfId="2" quotePrefix="1" applyNumberFormat="1" applyFont="1" applyFill="1" applyBorder="1"/>
    <xf numFmtId="173" fontId="0" fillId="0" borderId="10" xfId="2" quotePrefix="1" applyNumberFormat="1" applyFont="1" applyFill="1" applyBorder="1"/>
    <xf numFmtId="173" fontId="0" fillId="2" borderId="11" xfId="2" applyNumberFormat="1" applyFont="1" applyFill="1" applyBorder="1"/>
    <xf numFmtId="173" fontId="0" fillId="2" borderId="1" xfId="2" applyNumberFormat="1" applyFont="1" applyFill="1" applyBorder="1"/>
    <xf numFmtId="173" fontId="0" fillId="2" borderId="28" xfId="2" applyNumberFormat="1" applyFont="1" applyFill="1" applyBorder="1"/>
    <xf numFmtId="43" fontId="0" fillId="0" borderId="0" xfId="5" applyFont="1" applyBorder="1"/>
    <xf numFmtId="43" fontId="0" fillId="0" borderId="10" xfId="5" applyFont="1" applyBorder="1"/>
    <xf numFmtId="167" fontId="0" fillId="0" borderId="9" xfId="0" applyNumberFormat="1" applyBorder="1"/>
    <xf numFmtId="167" fontId="0" fillId="0" borderId="10" xfId="0" applyNumberFormat="1" applyBorder="1"/>
    <xf numFmtId="173" fontId="25" fillId="0" borderId="9" xfId="2" quotePrefix="1" applyNumberFormat="1" applyFont="1" applyFill="1" applyBorder="1"/>
    <xf numFmtId="173" fontId="25" fillId="0" borderId="0" xfId="2" quotePrefix="1" applyNumberFormat="1" applyFont="1" applyFill="1" applyBorder="1"/>
    <xf numFmtId="44" fontId="24" fillId="0" borderId="0" xfId="2" applyFont="1" applyFill="1" applyBorder="1" applyProtection="1">
      <protection locked="0"/>
    </xf>
    <xf numFmtId="44" fontId="24" fillId="0" borderId="10" xfId="2" applyFont="1" applyFill="1" applyBorder="1" applyProtection="1">
      <protection locked="0"/>
    </xf>
    <xf numFmtId="42" fontId="0" fillId="0" borderId="0" xfId="0" applyNumberFormat="1"/>
    <xf numFmtId="172" fontId="3" fillId="0" borderId="0" xfId="0" quotePrefix="1" applyNumberFormat="1" applyFont="1" applyAlignment="1">
      <alignment horizontal="left"/>
    </xf>
    <xf numFmtId="0" fontId="3" fillId="5" borderId="23" xfId="7" applyFont="1" applyFill="1" applyBorder="1" applyAlignment="1">
      <alignment horizontal="center" wrapText="1"/>
    </xf>
    <xf numFmtId="164" fontId="4" fillId="0" borderId="0" xfId="0" applyNumberFormat="1" applyFont="1" applyAlignment="1">
      <alignment horizontal="left"/>
    </xf>
    <xf numFmtId="173" fontId="4" fillId="0" borderId="0" xfId="2" applyNumberFormat="1" applyFont="1" applyFill="1" applyBorder="1" applyAlignment="1"/>
    <xf numFmtId="167" fontId="24" fillId="0" borderId="0" xfId="1" applyNumberFormat="1" applyFont="1" applyFill="1" applyBorder="1" applyProtection="1">
      <protection locked="0"/>
    </xf>
    <xf numFmtId="174" fontId="24" fillId="0" borderId="0" xfId="2" applyNumberFormat="1" applyFont="1" applyFill="1" applyBorder="1" applyProtection="1">
      <protection locked="0"/>
    </xf>
    <xf numFmtId="0" fontId="26" fillId="0" borderId="0" xfId="2" applyNumberFormat="1" applyFont="1" applyFill="1" applyBorder="1" applyAlignment="1">
      <alignment horizontal="left" vertical="top"/>
    </xf>
    <xf numFmtId="42" fontId="4" fillId="0" borderId="0" xfId="2" applyNumberFormat="1" applyFont="1" applyFill="1" applyBorder="1" applyAlignment="1"/>
    <xf numFmtId="174" fontId="4" fillId="0" borderId="0" xfId="2" applyNumberFormat="1" applyFont="1" applyFill="1" applyBorder="1" applyAlignment="1"/>
    <xf numFmtId="167" fontId="4" fillId="0" borderId="0" xfId="1" applyNumberFormat="1" applyFont="1" applyFill="1" applyBorder="1" applyAlignment="1"/>
    <xf numFmtId="0" fontId="3" fillId="0" borderId="5" xfId="0" applyFont="1" applyBorder="1"/>
    <xf numFmtId="173" fontId="4" fillId="0" borderId="5" xfId="2" applyNumberFormat="1" applyFont="1" applyFill="1" applyBorder="1" applyAlignment="1"/>
    <xf numFmtId="167" fontId="4" fillId="0" borderId="5" xfId="1" applyNumberFormat="1" applyFont="1" applyFill="1" applyBorder="1" applyAlignment="1"/>
    <xf numFmtId="42" fontId="4" fillId="0" borderId="5" xfId="0" applyNumberFormat="1" applyFont="1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173" fontId="0" fillId="0" borderId="4" xfId="0" applyNumberFormat="1" applyBorder="1"/>
    <xf numFmtId="0" fontId="0" fillId="0" borderId="0" xfId="0" applyAlignment="1">
      <alignment horizontal="left" indent="3"/>
    </xf>
    <xf numFmtId="0" fontId="0" fillId="0" borderId="2" xfId="0" applyBorder="1" applyAlignment="1">
      <alignment horizontal="center" vertical="center"/>
    </xf>
    <xf numFmtId="44" fontId="0" fillId="0" borderId="5" xfId="0" applyNumberFormat="1" applyBorder="1"/>
    <xf numFmtId="0" fontId="23" fillId="0" borderId="0" xfId="20" applyFont="1"/>
    <xf numFmtId="0" fontId="27" fillId="0" borderId="0" xfId="20" applyFont="1"/>
    <xf numFmtId="0" fontId="28" fillId="0" borderId="0" xfId="20" applyFont="1"/>
    <xf numFmtId="41" fontId="23" fillId="0" borderId="0" xfId="20" applyNumberFormat="1" applyFont="1"/>
    <xf numFmtId="41" fontId="23" fillId="0" borderId="2" xfId="20" applyNumberFormat="1" applyFont="1" applyBorder="1"/>
    <xf numFmtId="41" fontId="23" fillId="0" borderId="5" xfId="20" applyNumberFormat="1" applyFont="1" applyBorder="1"/>
    <xf numFmtId="0" fontId="28" fillId="4" borderId="25" xfId="20" applyFont="1" applyFill="1" applyBorder="1" applyAlignment="1">
      <alignment horizontal="center"/>
    </xf>
    <xf numFmtId="0" fontId="29" fillId="0" borderId="0" xfId="20" applyFont="1"/>
    <xf numFmtId="0" fontId="28" fillId="4" borderId="14" xfId="20" applyFont="1" applyFill="1" applyBorder="1" applyAlignment="1">
      <alignment horizontal="center"/>
    </xf>
    <xf numFmtId="0" fontId="28" fillId="4" borderId="26" xfId="20" applyFont="1" applyFill="1" applyBorder="1" applyAlignment="1">
      <alignment horizontal="center"/>
    </xf>
    <xf numFmtId="0" fontId="28" fillId="4" borderId="27" xfId="20" applyFont="1" applyFill="1" applyBorder="1" applyAlignment="1">
      <alignment horizontal="center"/>
    </xf>
    <xf numFmtId="0" fontId="30" fillId="0" borderId="0" xfId="20" applyFont="1" applyAlignment="1">
      <alignment horizontal="left"/>
    </xf>
    <xf numFmtId="0" fontId="28" fillId="0" borderId="0" xfId="20" applyFont="1" applyAlignment="1">
      <alignment horizontal="center"/>
    </xf>
    <xf numFmtId="0" fontId="23" fillId="0" borderId="0" xfId="20" applyFont="1" applyAlignment="1">
      <alignment horizontal="left"/>
    </xf>
    <xf numFmtId="173" fontId="23" fillId="0" borderId="0" xfId="20" applyNumberFormat="1" applyFont="1"/>
    <xf numFmtId="0" fontId="31" fillId="0" borderId="0" xfId="20" applyFont="1"/>
    <xf numFmtId="167" fontId="23" fillId="0" borderId="32" xfId="21" applyNumberFormat="1" applyFont="1" applyFill="1" applyBorder="1"/>
    <xf numFmtId="167" fontId="23" fillId="0" borderId="33" xfId="21" applyNumberFormat="1" applyFont="1" applyFill="1" applyBorder="1"/>
    <xf numFmtId="43" fontId="23" fillId="0" borderId="0" xfId="20" applyNumberFormat="1" applyFont="1"/>
    <xf numFmtId="173" fontId="28" fillId="0" borderId="4" xfId="20" applyNumberFormat="1" applyFont="1" applyBorder="1"/>
    <xf numFmtId="173" fontId="28" fillId="0" borderId="34" xfId="20" applyNumberFormat="1" applyFont="1" applyBorder="1"/>
    <xf numFmtId="173" fontId="28" fillId="0" borderId="0" xfId="20" applyNumberFormat="1" applyFont="1"/>
    <xf numFmtId="0" fontId="30" fillId="0" borderId="0" xfId="20" applyFont="1"/>
    <xf numFmtId="44" fontId="23" fillId="0" borderId="0" xfId="20" applyNumberFormat="1" applyFont="1"/>
    <xf numFmtId="43" fontId="23" fillId="0" borderId="0" xfId="21" applyFont="1"/>
    <xf numFmtId="177" fontId="32" fillId="0" borderId="0" xfId="13" applyNumberFormat="1" applyFont="1" applyAlignment="1">
      <alignment horizontal="left"/>
    </xf>
    <xf numFmtId="0" fontId="32" fillId="0" borderId="0" xfId="4" applyFont="1" applyAlignment="1">
      <alignment horizontal="left"/>
    </xf>
    <xf numFmtId="14" fontId="0" fillId="0" borderId="0" xfId="0" applyNumberFormat="1"/>
    <xf numFmtId="3" fontId="0" fillId="0" borderId="0" xfId="0" applyNumberFormat="1"/>
    <xf numFmtId="168" fontId="0" fillId="0" borderId="0" xfId="0" applyNumberFormat="1"/>
    <xf numFmtId="0" fontId="23" fillId="0" borderId="0" xfId="0" applyFont="1" applyAlignment="1">
      <alignment horizontal="centerContinuous"/>
    </xf>
    <xf numFmtId="0" fontId="23" fillId="0" borderId="0" xfId="0" applyFont="1"/>
    <xf numFmtId="175" fontId="23" fillId="0" borderId="0" xfId="0" applyNumberFormat="1" applyFont="1"/>
    <xf numFmtId="175" fontId="23" fillId="0" borderId="24" xfId="0" applyNumberFormat="1" applyFont="1" applyBorder="1"/>
    <xf numFmtId="173" fontId="23" fillId="0" borderId="0" xfId="0" applyNumberFormat="1" applyFont="1"/>
    <xf numFmtId="175" fontId="23" fillId="0" borderId="2" xfId="0" applyNumberFormat="1" applyFont="1" applyBorder="1"/>
    <xf numFmtId="175" fontId="23" fillId="0" borderId="5" xfId="0" applyNumberFormat="1" applyFont="1" applyBorder="1"/>
    <xf numFmtId="0" fontId="29" fillId="0" borderId="0" xfId="0" applyFont="1"/>
    <xf numFmtId="42" fontId="23" fillId="0" borderId="0" xfId="0" applyNumberFormat="1" applyFont="1"/>
    <xf numFmtId="41" fontId="23" fillId="0" borderId="2" xfId="0" applyNumberFormat="1" applyFont="1" applyBorder="1"/>
    <xf numFmtId="175" fontId="23" fillId="0" borderId="0" xfId="16" applyNumberFormat="1" applyFont="1"/>
    <xf numFmtId="0" fontId="32" fillId="0" borderId="0" xfId="0" applyFont="1" applyAlignment="1">
      <alignment horizontal="centerContinuous"/>
    </xf>
    <xf numFmtId="0" fontId="18" fillId="0" borderId="0" xfId="14" applyFont="1"/>
    <xf numFmtId="14" fontId="32" fillId="0" borderId="0" xfId="0" applyNumberFormat="1" applyFont="1" applyAlignment="1" applyProtection="1">
      <alignment horizontal="centerContinuous"/>
      <protection locked="0"/>
    </xf>
    <xf numFmtId="176" fontId="33" fillId="0" borderId="0" xfId="0" applyNumberFormat="1" applyFont="1" applyAlignment="1" applyProtection="1">
      <alignment horizontal="centerContinuous"/>
      <protection locked="0"/>
    </xf>
    <xf numFmtId="176" fontId="32" fillId="0" borderId="0" xfId="0" applyNumberFormat="1" applyFont="1" applyAlignment="1" applyProtection="1">
      <alignment horizontal="centerContinuous"/>
      <protection locked="0"/>
    </xf>
    <xf numFmtId="0" fontId="34" fillId="0" borderId="0" xfId="0" applyFont="1"/>
    <xf numFmtId="0" fontId="32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173" fontId="36" fillId="0" borderId="0" xfId="11" applyNumberFormat="1" applyFont="1" applyFill="1" applyProtection="1">
      <protection locked="0"/>
    </xf>
    <xf numFmtId="175" fontId="18" fillId="0" borderId="0" xfId="0" applyNumberFormat="1" applyFont="1"/>
    <xf numFmtId="175" fontId="37" fillId="3" borderId="0" xfId="14" applyNumberFormat="1" applyFont="1" applyFill="1"/>
    <xf numFmtId="173" fontId="37" fillId="0" borderId="0" xfId="10" applyNumberFormat="1" applyFont="1"/>
    <xf numFmtId="175" fontId="37" fillId="0" borderId="0" xfId="0" applyNumberFormat="1" applyFont="1"/>
    <xf numFmtId="167" fontId="36" fillId="0" borderId="0" xfId="10" applyNumberFormat="1" applyFont="1" applyProtection="1">
      <protection locked="0"/>
    </xf>
    <xf numFmtId="167" fontId="18" fillId="0" borderId="0" xfId="10" applyNumberFormat="1" applyFont="1"/>
    <xf numFmtId="167" fontId="36" fillId="0" borderId="2" xfId="10" applyNumberFormat="1" applyFont="1" applyBorder="1" applyProtection="1">
      <protection locked="0"/>
    </xf>
    <xf numFmtId="175" fontId="18" fillId="0" borderId="2" xfId="0" applyNumberFormat="1" applyFont="1" applyBorder="1"/>
    <xf numFmtId="0" fontId="18" fillId="0" borderId="0" xfId="0" applyFont="1"/>
    <xf numFmtId="173" fontId="18" fillId="0" borderId="24" xfId="0" applyNumberFormat="1" applyFont="1" applyBorder="1"/>
    <xf numFmtId="175" fontId="18" fillId="0" borderId="24" xfId="0" applyNumberFormat="1" applyFont="1" applyBorder="1"/>
    <xf numFmtId="173" fontId="18" fillId="0" borderId="0" xfId="0" applyNumberFormat="1" applyFont="1"/>
    <xf numFmtId="0" fontId="35" fillId="0" borderId="0" xfId="0" applyFont="1"/>
    <xf numFmtId="169" fontId="18" fillId="0" borderId="0" xfId="15" applyNumberFormat="1" applyFont="1"/>
    <xf numFmtId="0" fontId="29" fillId="0" borderId="0" xfId="14" applyFont="1"/>
    <xf numFmtId="0" fontId="18" fillId="0" borderId="0" xfId="22" applyFont="1"/>
    <xf numFmtId="0" fontId="32" fillId="0" borderId="0" xfId="10" applyFont="1" applyAlignment="1">
      <alignment horizontal="centerContinuous"/>
    </xf>
    <xf numFmtId="0" fontId="18" fillId="0" borderId="0" xfId="10" applyFont="1" applyAlignment="1">
      <alignment horizontal="centerContinuous"/>
    </xf>
    <xf numFmtId="0" fontId="18" fillId="0" borderId="0" xfId="10" applyFont="1"/>
    <xf numFmtId="14" fontId="32" fillId="0" borderId="0" xfId="10" applyNumberFormat="1" applyFont="1" applyAlignment="1" applyProtection="1">
      <alignment horizontal="centerContinuous"/>
      <protection locked="0"/>
    </xf>
    <xf numFmtId="176" fontId="33" fillId="0" borderId="0" xfId="10" applyNumberFormat="1" applyFont="1" applyAlignment="1" applyProtection="1">
      <alignment horizontal="centerContinuous"/>
      <protection locked="0"/>
    </xf>
    <xf numFmtId="176" fontId="32" fillId="0" borderId="0" xfId="10" applyNumberFormat="1" applyFont="1" applyAlignment="1" applyProtection="1">
      <alignment horizontal="centerContinuous"/>
      <protection locked="0"/>
    </xf>
    <xf numFmtId="0" fontId="34" fillId="0" borderId="0" xfId="10" applyFont="1"/>
    <xf numFmtId="0" fontId="32" fillId="0" borderId="0" xfId="10" applyFont="1" applyAlignment="1">
      <alignment horizontal="center"/>
    </xf>
    <xf numFmtId="0" fontId="35" fillId="0" borderId="0" xfId="10" applyFont="1" applyAlignment="1">
      <alignment horizontal="center"/>
    </xf>
    <xf numFmtId="175" fontId="18" fillId="0" borderId="0" xfId="10" applyNumberFormat="1" applyFont="1"/>
    <xf numFmtId="175" fontId="37" fillId="3" borderId="0" xfId="10" applyNumberFormat="1" applyFont="1" applyFill="1"/>
    <xf numFmtId="175" fontId="37" fillId="0" borderId="0" xfId="10" applyNumberFormat="1" applyFont="1"/>
    <xf numFmtId="175" fontId="18" fillId="0" borderId="2" xfId="10" applyNumberFormat="1" applyFont="1" applyBorder="1"/>
    <xf numFmtId="173" fontId="18" fillId="0" borderId="24" xfId="10" applyNumberFormat="1" applyFont="1" applyBorder="1"/>
    <xf numFmtId="175" fontId="18" fillId="0" borderId="24" xfId="10" applyNumberFormat="1" applyFont="1" applyBorder="1"/>
    <xf numFmtId="173" fontId="18" fillId="0" borderId="0" xfId="10" applyNumberFormat="1" applyFont="1"/>
    <xf numFmtId="0" fontId="35" fillId="0" borderId="0" xfId="10" applyFont="1"/>
    <xf numFmtId="175" fontId="18" fillId="0" borderId="5" xfId="10" applyNumberFormat="1" applyFont="1" applyBorder="1"/>
    <xf numFmtId="42" fontId="18" fillId="0" borderId="0" xfId="10" applyNumberFormat="1" applyFont="1"/>
    <xf numFmtId="41" fontId="18" fillId="0" borderId="2" xfId="10" applyNumberFormat="1" applyFont="1" applyBorder="1"/>
    <xf numFmtId="0" fontId="28" fillId="0" borderId="0" xfId="0" applyFont="1"/>
    <xf numFmtId="17" fontId="29" fillId="0" borderId="0" xfId="0" applyNumberFormat="1" applyFont="1" applyAlignment="1">
      <alignment horizontal="left"/>
    </xf>
    <xf numFmtId="17" fontId="28" fillId="0" borderId="0" xfId="0" applyNumberFormat="1" applyFont="1" applyAlignment="1">
      <alignment horizontal="center"/>
    </xf>
    <xf numFmtId="17" fontId="38" fillId="0" borderId="0" xfId="0" applyNumberFormat="1" applyFont="1" applyAlignment="1">
      <alignment horizontal="center"/>
    </xf>
    <xf numFmtId="0" fontId="39" fillId="0" borderId="0" xfId="0" applyFont="1"/>
    <xf numFmtId="17" fontId="40" fillId="0" borderId="0" xfId="0" applyNumberFormat="1" applyFont="1" applyAlignment="1">
      <alignment horizontal="right" indent="1"/>
    </xf>
    <xf numFmtId="0" fontId="23" fillId="0" borderId="0" xfId="0" applyFont="1" applyAlignment="1">
      <alignment horizontal="left" indent="1"/>
    </xf>
    <xf numFmtId="167" fontId="23" fillId="0" borderId="0" xfId="1" applyNumberFormat="1" applyFont="1" applyFill="1"/>
    <xf numFmtId="167" fontId="23" fillId="0" borderId="2" xfId="1" applyNumberFormat="1" applyFont="1" applyFill="1" applyBorder="1"/>
    <xf numFmtId="9" fontId="23" fillId="0" borderId="0" xfId="3" applyFont="1" applyFill="1" applyBorder="1"/>
    <xf numFmtId="0" fontId="23" fillId="0" borderId="0" xfId="0" applyFont="1" applyAlignment="1">
      <alignment horizontal="left"/>
    </xf>
    <xf numFmtId="8" fontId="23" fillId="0" borderId="0" xfId="0" applyNumberFormat="1" applyFont="1"/>
    <xf numFmtId="171" fontId="23" fillId="0" borderId="0" xfId="0" applyNumberFormat="1" applyFont="1"/>
    <xf numFmtId="171" fontId="23" fillId="0" borderId="16" xfId="0" applyNumberFormat="1" applyFont="1" applyBorder="1"/>
    <xf numFmtId="0" fontId="23" fillId="0" borderId="17" xfId="0" applyFont="1" applyBorder="1"/>
    <xf numFmtId="0" fontId="23" fillId="0" borderId="18" xfId="0" applyFont="1" applyBorder="1"/>
    <xf numFmtId="8" fontId="23" fillId="0" borderId="19" xfId="0" applyNumberFormat="1" applyFont="1" applyBorder="1"/>
    <xf numFmtId="171" fontId="23" fillId="0" borderId="19" xfId="0" applyNumberFormat="1" applyFont="1" applyBorder="1"/>
    <xf numFmtId="0" fontId="23" fillId="0" borderId="20" xfId="0" applyFont="1" applyBorder="1"/>
    <xf numFmtId="8" fontId="23" fillId="0" borderId="21" xfId="0" applyNumberFormat="1" applyFont="1" applyBorder="1"/>
    <xf numFmtId="8" fontId="23" fillId="0" borderId="22" xfId="0" applyNumberFormat="1" applyFont="1" applyBorder="1"/>
    <xf numFmtId="0" fontId="23" fillId="0" borderId="2" xfId="0" applyFont="1" applyBorder="1" applyAlignment="1">
      <alignment horizontal="centerContinuous"/>
    </xf>
    <xf numFmtId="0" fontId="23" fillId="0" borderId="0" xfId="0" applyFont="1" applyAlignment="1">
      <alignment horizontal="center"/>
    </xf>
    <xf numFmtId="8" fontId="23" fillId="0" borderId="2" xfId="0" applyNumberFormat="1" applyFont="1" applyBorder="1" applyAlignment="1">
      <alignment horizontal="centerContinuous"/>
    </xf>
    <xf numFmtId="171" fontId="23" fillId="0" borderId="2" xfId="0" applyNumberFormat="1" applyFont="1" applyBorder="1" applyAlignment="1">
      <alignment horizontal="centerContinuous"/>
    </xf>
    <xf numFmtId="14" fontId="23" fillId="0" borderId="0" xfId="0" applyNumberFormat="1" applyFont="1"/>
    <xf numFmtId="170" fontId="23" fillId="0" borderId="0" xfId="0" applyNumberFormat="1" applyFont="1" applyProtection="1">
      <protection locked="0"/>
    </xf>
    <xf numFmtId="171" fontId="23" fillId="0" borderId="0" xfId="0" applyNumberFormat="1" applyFont="1" applyProtection="1">
      <protection locked="0"/>
    </xf>
    <xf numFmtId="8" fontId="23" fillId="0" borderId="4" xfId="0" applyNumberFormat="1" applyFont="1" applyBorder="1"/>
    <xf numFmtId="4" fontId="23" fillId="0" borderId="0" xfId="0" applyNumberFormat="1" applyFont="1"/>
    <xf numFmtId="0" fontId="32" fillId="0" borderId="0" xfId="0" applyFont="1"/>
    <xf numFmtId="8" fontId="18" fillId="0" borderId="0" xfId="0" applyNumberFormat="1" applyFont="1"/>
    <xf numFmtId="171" fontId="18" fillId="0" borderId="0" xfId="0" applyNumberFormat="1" applyFont="1"/>
    <xf numFmtId="8" fontId="32" fillId="0" borderId="0" xfId="0" applyNumberFormat="1" applyFont="1"/>
    <xf numFmtId="0" fontId="32" fillId="0" borderId="0" xfId="0" applyFont="1" applyAlignment="1">
      <alignment horizontal="left"/>
    </xf>
    <xf numFmtId="8" fontId="18" fillId="3" borderId="0" xfId="0" applyNumberFormat="1" applyFont="1" applyFill="1"/>
    <xf numFmtId="17" fontId="32" fillId="0" borderId="0" xfId="0" applyNumberFormat="1" applyFont="1"/>
    <xf numFmtId="8" fontId="32" fillId="0" borderId="15" xfId="0" applyNumberFormat="1" applyFont="1" applyBorder="1"/>
    <xf numFmtId="8" fontId="32" fillId="0" borderId="0" xfId="0" applyNumberFormat="1" applyFont="1" applyAlignment="1">
      <alignment horizontal="center"/>
    </xf>
    <xf numFmtId="0" fontId="18" fillId="0" borderId="2" xfId="0" applyFont="1" applyBorder="1" applyAlignment="1">
      <alignment horizontal="centerContinuous"/>
    </xf>
    <xf numFmtId="0" fontId="18" fillId="0" borderId="0" xfId="0" applyFont="1" applyAlignment="1">
      <alignment horizontal="center"/>
    </xf>
    <xf numFmtId="8" fontId="18" fillId="0" borderId="2" xfId="0" applyNumberFormat="1" applyFont="1" applyBorder="1" applyAlignment="1">
      <alignment horizontal="centerContinuous"/>
    </xf>
    <xf numFmtId="8" fontId="32" fillId="0" borderId="2" xfId="0" applyNumberFormat="1" applyFont="1" applyBorder="1" applyAlignment="1">
      <alignment horizontal="centerContinuous"/>
    </xf>
    <xf numFmtId="8" fontId="41" fillId="0" borderId="0" xfId="0" applyNumberFormat="1" applyFont="1" applyAlignment="1">
      <alignment horizontal="center"/>
    </xf>
    <xf numFmtId="171" fontId="41" fillId="0" borderId="0" xfId="0" applyNumberFormat="1" applyFont="1" applyAlignment="1">
      <alignment horizontal="center"/>
    </xf>
    <xf numFmtId="0" fontId="41" fillId="0" borderId="0" xfId="0" applyFont="1" applyAlignment="1">
      <alignment horizontal="center"/>
    </xf>
    <xf numFmtId="0" fontId="32" fillId="0" borderId="0" xfId="0" applyFont="1" applyAlignment="1">
      <alignment horizontal="right"/>
    </xf>
    <xf numFmtId="178" fontId="23" fillId="0" borderId="0" xfId="0" applyNumberFormat="1" applyFont="1"/>
    <xf numFmtId="0" fontId="22" fillId="0" borderId="0" xfId="10" applyFont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67" fontId="0" fillId="0" borderId="0" xfId="0" applyNumberFormat="1" applyBorder="1"/>
    <xf numFmtId="0" fontId="6" fillId="0" borderId="0" xfId="0" applyFont="1" applyFill="1" applyBorder="1" applyAlignment="1"/>
    <xf numFmtId="0" fontId="8" fillId="0" borderId="0" xfId="0" applyFont="1" applyFill="1" applyBorder="1"/>
    <xf numFmtId="173" fontId="8" fillId="0" borderId="0" xfId="0" applyNumberFormat="1" applyFont="1" applyFill="1" applyBorder="1"/>
    <xf numFmtId="44" fontId="8" fillId="0" borderId="0" xfId="0" applyNumberFormat="1" applyFont="1" applyFill="1" applyBorder="1"/>
    <xf numFmtId="0" fontId="0" fillId="0" borderId="0" xfId="0" applyFill="1" applyBorder="1"/>
    <xf numFmtId="165" fontId="3" fillId="0" borderId="0" xfId="4" quotePrefix="1" applyNumberFormat="1" applyFont="1" applyBorder="1" applyAlignment="1">
      <alignment horizontal="center"/>
    </xf>
    <xf numFmtId="0" fontId="7" fillId="0" borderId="0" xfId="0" applyFont="1" applyFill="1" applyAlignment="1">
      <alignment horizontal="center"/>
    </xf>
  </cellXfs>
  <cellStyles count="23">
    <cellStyle name="Comma" xfId="1" builtinId="3"/>
    <cellStyle name="Comma 10" xfId="15" xr:uid="{00000000-0005-0000-0000-000001000000}"/>
    <cellStyle name="Comma 2" xfId="21" xr:uid="{CB0FB0E9-06B1-4BA5-8367-4926E4530191}"/>
    <cellStyle name="Comma 3" xfId="5" xr:uid="{00000000-0005-0000-0000-000002000000}"/>
    <cellStyle name="Currency" xfId="2" builtinId="4"/>
    <cellStyle name="Currency 2 2 2" xfId="11" xr:uid="{00000000-0005-0000-0000-000004000000}"/>
    <cellStyle name="Normal" xfId="0" builtinId="0"/>
    <cellStyle name="Normal 10 2" xfId="10" xr:uid="{00000000-0005-0000-0000-000006000000}"/>
    <cellStyle name="Normal 2" xfId="6" xr:uid="{00000000-0005-0000-0000-000007000000}"/>
    <cellStyle name="Normal 2 2" xfId="7" xr:uid="{00000000-0005-0000-0000-000008000000}"/>
    <cellStyle name="Normal 2 3" xfId="20" xr:uid="{F76AF5B8-29EC-456C-95DA-27D9D2C9925D}"/>
    <cellStyle name="Normal 3" xfId="4" xr:uid="{00000000-0005-0000-0000-000009000000}"/>
    <cellStyle name="Normal 4" xfId="8" xr:uid="{00000000-0005-0000-0000-00000A000000}"/>
    <cellStyle name="Normal 5" xfId="9" xr:uid="{00000000-0005-0000-0000-00000B000000}"/>
    <cellStyle name="Normal 5 4" xfId="14" xr:uid="{00000000-0005-0000-0000-00000C000000}"/>
    <cellStyle name="Normal 5 4 2" xfId="22" xr:uid="{903F3A2C-F6B1-4109-BC88-4B4148299F8E}"/>
    <cellStyle name="Normal 6" xfId="19" xr:uid="{00000000-0005-0000-0000-00000D000000}"/>
    <cellStyle name="Normal 94" xfId="17" xr:uid="{00000000-0005-0000-0000-00000E000000}"/>
    <cellStyle name="Normal 95" xfId="18" xr:uid="{00000000-0005-0000-0000-00000F000000}"/>
    <cellStyle name="Normal_OLE" xfId="13" xr:uid="{00000000-0005-0000-0000-000010000000}"/>
    <cellStyle name="Percent" xfId="3" builtinId="5"/>
    <cellStyle name="Percent 2 2" xfId="16" xr:uid="{00000000-0005-0000-0000-000012000000}"/>
    <cellStyle name="Percent 3" xfId="12" xr:uid="{00000000-0005-0000-0000-000013000000}"/>
  </cellStyles>
  <dxfs count="0"/>
  <tableStyles count="0" defaultTableStyle="TableStyleMedium2" defaultPivotStyle="PivotStyleLight16"/>
  <colors>
    <mruColors>
      <color rgb="FFFFFFCC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1000124</xdr:colOff>
      <xdr:row>2</xdr:row>
      <xdr:rowOff>38100</xdr:rowOff>
    </xdr:from>
    <xdr:to>
      <xdr:col>9</xdr:col>
      <xdr:colOff>171449</xdr:colOff>
      <xdr:row>38</xdr:row>
      <xdr:rowOff>29528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7E9BF8-43DD-420D-ABDF-3F9D532B4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34274" y="628650"/>
          <a:ext cx="8048625" cy="68303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6</xdr:row>
      <xdr:rowOff>0</xdr:rowOff>
    </xdr:from>
    <xdr:to>
      <xdr:col>22</xdr:col>
      <xdr:colOff>20236</xdr:colOff>
      <xdr:row>26</xdr:row>
      <xdr:rowOff>141312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B8779A-7135-414E-BA87-2958D20F6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1143000"/>
          <a:ext cx="8459386" cy="3970362"/>
        </a:xfrm>
        <a:prstGeom prst="rect">
          <a:avLst/>
        </a:prstGeom>
      </xdr:spPr>
    </xdr:pic>
    <xdr:clientData/>
  </xdr:twoCellAnchor>
  <xdr:twoCellAnchor>
    <xdr:from>
      <xdr:col>10</xdr:col>
      <xdr:colOff>486834</xdr:colOff>
      <xdr:row>17</xdr:row>
      <xdr:rowOff>14110</xdr:rowOff>
    </xdr:from>
    <xdr:to>
      <xdr:col>22</xdr:col>
      <xdr:colOff>521823</xdr:colOff>
      <xdr:row>19</xdr:row>
      <xdr:rowOff>170889</xdr:rowOff>
    </xdr:to>
    <xdr:sp macro="" textlink="">
      <xdr:nvSpPr>
        <xdr:cNvPr id="3" name="Rounded Rectangle 3">
          <a:extLst>
            <a:ext uri="{FF2B5EF4-FFF2-40B4-BE49-F238E27FC236}">
              <a16:creationId xmlns:a16="http://schemas.microsoft.com/office/drawing/2014/main" id="{AB4F0128-F825-4C9C-83CA-EE291BBBE2E5}"/>
            </a:ext>
          </a:extLst>
        </xdr:cNvPr>
        <xdr:cNvSpPr/>
      </xdr:nvSpPr>
      <xdr:spPr>
        <a:xfrm>
          <a:off x="7802034" y="3252610"/>
          <a:ext cx="9083739" cy="537779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5">
    <pageSetUpPr fitToPage="1"/>
  </sheetPr>
  <dimension ref="A1:O43"/>
  <sheetViews>
    <sheetView tabSelected="1" workbookViewId="0">
      <selection activeCell="B16" sqref="B16"/>
    </sheetView>
  </sheetViews>
  <sheetFormatPr defaultColWidth="13.42578125" defaultRowHeight="15" x14ac:dyDescent="0.25"/>
  <cols>
    <col min="1" max="1" width="45.28515625" customWidth="1"/>
    <col min="2" max="2" width="17.85546875" customWidth="1"/>
    <col min="3" max="3" width="19.28515625" bestFit="1" customWidth="1"/>
    <col min="4" max="5" width="21.140625" bestFit="1" customWidth="1"/>
    <col min="6" max="14" width="21.140625" customWidth="1"/>
  </cols>
  <sheetData>
    <row r="1" spans="1:14" x14ac:dyDescent="0.25">
      <c r="A1" t="s">
        <v>0</v>
      </c>
      <c r="E1" s="47"/>
      <c r="F1" s="47"/>
      <c r="G1" s="47"/>
      <c r="H1" s="47"/>
    </row>
    <row r="2" spans="1:14" ht="15.75" thickBot="1" x14ac:dyDescent="0.3">
      <c r="A2" t="s">
        <v>1</v>
      </c>
    </row>
    <row r="3" spans="1:14" ht="15.75" thickBot="1" x14ac:dyDescent="0.3">
      <c r="A3" t="s">
        <v>186</v>
      </c>
      <c r="C3" s="39"/>
      <c r="D3" s="40"/>
      <c r="E3" s="40"/>
      <c r="F3" s="40"/>
      <c r="G3" s="40"/>
      <c r="H3" s="40"/>
      <c r="I3" s="40"/>
      <c r="J3" s="40"/>
      <c r="K3" s="40"/>
      <c r="L3" s="40"/>
      <c r="M3" s="40"/>
      <c r="N3" s="41"/>
    </row>
    <row r="4" spans="1:14" x14ac:dyDescent="0.25">
      <c r="A4" s="1"/>
      <c r="B4" s="73">
        <v>45474</v>
      </c>
      <c r="C4" s="72">
        <v>45505</v>
      </c>
      <c r="D4" s="73">
        <v>45536</v>
      </c>
      <c r="E4" s="73">
        <v>45566</v>
      </c>
      <c r="F4" s="73">
        <v>45597</v>
      </c>
      <c r="G4" s="73">
        <v>45627</v>
      </c>
      <c r="H4" s="73">
        <v>45658</v>
      </c>
      <c r="I4" s="73">
        <v>45689</v>
      </c>
      <c r="J4" s="73">
        <v>45717</v>
      </c>
      <c r="K4" s="73">
        <v>45748</v>
      </c>
      <c r="L4" s="73">
        <v>45778</v>
      </c>
      <c r="M4" s="73">
        <v>45809</v>
      </c>
      <c r="N4" s="76">
        <v>45839</v>
      </c>
    </row>
    <row r="5" spans="1:14" x14ac:dyDescent="0.25">
      <c r="A5" s="2" t="s">
        <v>16</v>
      </c>
      <c r="B5" s="2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48"/>
    </row>
    <row r="6" spans="1:14" x14ac:dyDescent="0.25">
      <c r="A6" s="3" t="s">
        <v>230</v>
      </c>
      <c r="B6" s="3"/>
      <c r="C6" s="24"/>
      <c r="D6" s="19"/>
      <c r="E6" s="19"/>
      <c r="F6" s="19"/>
      <c r="G6" s="19"/>
      <c r="H6" s="19"/>
      <c r="I6" s="19"/>
      <c r="J6" s="19"/>
      <c r="K6" s="19"/>
      <c r="L6" s="19"/>
      <c r="M6" s="19"/>
      <c r="N6" s="49"/>
    </row>
    <row r="7" spans="1:14" x14ac:dyDescent="0.25">
      <c r="A7" s="3" t="s">
        <v>231</v>
      </c>
      <c r="B7" s="3"/>
      <c r="C7" s="24"/>
      <c r="D7" s="19"/>
      <c r="E7" s="19"/>
      <c r="F7" s="19"/>
      <c r="G7" s="19"/>
      <c r="H7" s="19"/>
      <c r="I7" s="19"/>
      <c r="J7" s="19"/>
      <c r="K7" s="19"/>
      <c r="L7" s="19"/>
      <c r="M7" s="19"/>
      <c r="N7" s="49"/>
    </row>
    <row r="8" spans="1:14" x14ac:dyDescent="0.25">
      <c r="A8" s="3" t="s">
        <v>232</v>
      </c>
      <c r="B8" s="3"/>
      <c r="C8" s="24"/>
      <c r="D8" s="19"/>
      <c r="E8" s="19"/>
      <c r="F8" s="19"/>
      <c r="G8" s="19"/>
      <c r="H8" s="19"/>
      <c r="I8" s="19"/>
      <c r="J8" s="19"/>
      <c r="K8" s="19"/>
      <c r="L8" s="19"/>
      <c r="M8" s="19"/>
      <c r="N8" s="49"/>
    </row>
    <row r="9" spans="1:14" x14ac:dyDescent="0.25">
      <c r="A9" s="3" t="s">
        <v>233</v>
      </c>
      <c r="B9" s="3"/>
      <c r="C9" s="24"/>
      <c r="D9" s="19"/>
      <c r="E9" s="19"/>
      <c r="F9" s="19"/>
      <c r="G9" s="19"/>
      <c r="H9" s="19"/>
      <c r="I9" s="19"/>
      <c r="J9" s="19"/>
      <c r="K9" s="19"/>
      <c r="L9" s="19"/>
      <c r="M9" s="19"/>
      <c r="N9" s="49"/>
    </row>
    <row r="10" spans="1:14" x14ac:dyDescent="0.25">
      <c r="A10" s="3" t="s">
        <v>234</v>
      </c>
      <c r="B10" s="3"/>
      <c r="C10" s="24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49"/>
    </row>
    <row r="11" spans="1:14" x14ac:dyDescent="0.25">
      <c r="A11" s="3" t="s">
        <v>235</v>
      </c>
      <c r="B11" s="3"/>
      <c r="C11" s="24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49"/>
    </row>
    <row r="12" spans="1:14" x14ac:dyDescent="0.25">
      <c r="A12" s="3" t="s">
        <v>236</v>
      </c>
      <c r="B12" s="3"/>
      <c r="C12" s="24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50"/>
    </row>
    <row r="13" spans="1:14" x14ac:dyDescent="0.25">
      <c r="A13" s="3" t="s">
        <v>237</v>
      </c>
      <c r="B13" s="3"/>
      <c r="C13" s="1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51"/>
    </row>
    <row r="14" spans="1:14" x14ac:dyDescent="0.25">
      <c r="A14" s="3" t="s">
        <v>238</v>
      </c>
      <c r="B14" s="3"/>
      <c r="C14" s="1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51"/>
    </row>
    <row r="15" spans="1:14" x14ac:dyDescent="0.25">
      <c r="A15" s="3" t="s">
        <v>2</v>
      </c>
      <c r="B15" s="3"/>
      <c r="C15" s="1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51"/>
    </row>
    <row r="16" spans="1:14" x14ac:dyDescent="0.25">
      <c r="A16" s="3" t="s">
        <v>3</v>
      </c>
      <c r="B16" s="3"/>
      <c r="C16" s="1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51"/>
    </row>
    <row r="17" spans="1:15" x14ac:dyDescent="0.25">
      <c r="A17" s="3" t="s">
        <v>4</v>
      </c>
      <c r="B17" s="3"/>
      <c r="C17" s="1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51"/>
    </row>
    <row r="18" spans="1:15" x14ac:dyDescent="0.25">
      <c r="A18" s="3" t="s">
        <v>117</v>
      </c>
      <c r="B18" s="3"/>
      <c r="C18" s="1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51"/>
    </row>
    <row r="19" spans="1:15" x14ac:dyDescent="0.25">
      <c r="A19" s="3" t="s">
        <v>5</v>
      </c>
      <c r="B19" s="3"/>
      <c r="C19" s="1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51"/>
    </row>
    <row r="20" spans="1:15" ht="15.75" thickBot="1" x14ac:dyDescent="0.3">
      <c r="A20" s="2" t="s">
        <v>6</v>
      </c>
      <c r="B20" s="2"/>
      <c r="C20" s="77">
        <f t="shared" ref="C20:N20" si="0">SUM(C6:C14)</f>
        <v>0</v>
      </c>
      <c r="D20" s="78">
        <f t="shared" si="0"/>
        <v>0</v>
      </c>
      <c r="E20" s="78">
        <f t="shared" si="0"/>
        <v>0</v>
      </c>
      <c r="F20" s="78">
        <f t="shared" si="0"/>
        <v>0</v>
      </c>
      <c r="G20" s="78">
        <f t="shared" si="0"/>
        <v>0</v>
      </c>
      <c r="H20" s="78"/>
      <c r="I20" s="78"/>
      <c r="J20" s="78"/>
      <c r="K20" s="78"/>
      <c r="L20" s="78"/>
      <c r="M20" s="78"/>
      <c r="N20" s="79">
        <f t="shared" si="0"/>
        <v>0</v>
      </c>
    </row>
    <row r="21" spans="1:15" x14ac:dyDescent="0.25">
      <c r="B21" s="80"/>
      <c r="C21" s="2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52"/>
    </row>
    <row r="22" spans="1:15" x14ac:dyDescent="0.25">
      <c r="A22" s="3" t="s">
        <v>116</v>
      </c>
      <c r="B22" s="81"/>
      <c r="C22" s="93">
        <v>-2384097.29</v>
      </c>
      <c r="D22" s="94">
        <v>-2321675.21</v>
      </c>
      <c r="E22" s="94">
        <v>-1939489.4200000002</v>
      </c>
      <c r="F22" s="94">
        <v>-1720036.29</v>
      </c>
      <c r="G22" s="94">
        <v>-2113958.11</v>
      </c>
      <c r="H22" s="94">
        <v>-2553610.6799999997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53">
        <v>0</v>
      </c>
    </row>
    <row r="23" spans="1:15" x14ac:dyDescent="0.25">
      <c r="A23" s="3" t="s">
        <v>17</v>
      </c>
      <c r="B23" s="81"/>
      <c r="C23" s="2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53">
        <v>0</v>
      </c>
    </row>
    <row r="24" spans="1:15" x14ac:dyDescent="0.25">
      <c r="A24" s="3" t="s">
        <v>18</v>
      </c>
      <c r="B24" s="81"/>
      <c r="C24" s="2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53">
        <v>0</v>
      </c>
    </row>
    <row r="25" spans="1:15" x14ac:dyDescent="0.25">
      <c r="A25" s="2" t="s">
        <v>19</v>
      </c>
      <c r="B25" s="2"/>
      <c r="C25" s="28">
        <f t="shared" ref="C25:N25" si="1">SUM(C22:C24)</f>
        <v>-2384097.29</v>
      </c>
      <c r="D25" s="82">
        <f t="shared" si="1"/>
        <v>-2321675.21</v>
      </c>
      <c r="E25" s="82">
        <f t="shared" si="1"/>
        <v>-1939489.4200000002</v>
      </c>
      <c r="F25" s="82">
        <f t="shared" si="1"/>
        <v>-1720036.29</v>
      </c>
      <c r="G25" s="82">
        <f t="shared" si="1"/>
        <v>-2113958.11</v>
      </c>
      <c r="H25" s="82">
        <f t="shared" si="1"/>
        <v>-2553610.6799999997</v>
      </c>
      <c r="I25" s="82">
        <f t="shared" si="1"/>
        <v>0</v>
      </c>
      <c r="J25" s="82">
        <f t="shared" si="1"/>
        <v>0</v>
      </c>
      <c r="K25" s="82">
        <f t="shared" si="1"/>
        <v>0</v>
      </c>
      <c r="L25" s="82">
        <f t="shared" si="1"/>
        <v>0</v>
      </c>
      <c r="M25" s="82">
        <f t="shared" si="1"/>
        <v>0</v>
      </c>
      <c r="N25" s="83">
        <f t="shared" si="1"/>
        <v>0</v>
      </c>
    </row>
    <row r="26" spans="1:15" ht="15.75" thickBot="1" x14ac:dyDescent="0.3">
      <c r="A26" s="4" t="s">
        <v>7</v>
      </c>
      <c r="B26" s="4"/>
      <c r="C26" s="29">
        <f t="shared" ref="C26:N26" si="2">C25+C20</f>
        <v>-2384097.29</v>
      </c>
      <c r="D26" s="20">
        <f t="shared" si="2"/>
        <v>-2321675.21</v>
      </c>
      <c r="E26" s="20">
        <f t="shared" si="2"/>
        <v>-1939489.4200000002</v>
      </c>
      <c r="F26" s="20">
        <f t="shared" si="2"/>
        <v>-1720036.29</v>
      </c>
      <c r="G26" s="20">
        <f t="shared" si="2"/>
        <v>-2113958.11</v>
      </c>
      <c r="H26" s="20">
        <f t="shared" si="2"/>
        <v>-2553610.6799999997</v>
      </c>
      <c r="I26" s="20">
        <f t="shared" si="2"/>
        <v>0</v>
      </c>
      <c r="J26" s="20">
        <f t="shared" si="2"/>
        <v>0</v>
      </c>
      <c r="K26" s="20">
        <f t="shared" si="2"/>
        <v>0</v>
      </c>
      <c r="L26" s="20">
        <f t="shared" si="2"/>
        <v>0</v>
      </c>
      <c r="M26" s="20">
        <f t="shared" si="2"/>
        <v>0</v>
      </c>
      <c r="N26" s="55">
        <f t="shared" si="2"/>
        <v>0</v>
      </c>
    </row>
    <row r="27" spans="1:15" x14ac:dyDescent="0.25">
      <c r="A27" s="2"/>
      <c r="B27" s="2"/>
      <c r="C27" s="12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48"/>
    </row>
    <row r="28" spans="1:15" x14ac:dyDescent="0.25">
      <c r="A28" s="34" t="s">
        <v>8</v>
      </c>
      <c r="B28" s="34"/>
      <c r="C28" s="84">
        <f>+'Aug 24 Int'!G6/12</f>
        <v>4.6366415493178407E-3</v>
      </c>
      <c r="D28" s="85">
        <f>+'Sept 24 Int'!G6/12</f>
        <v>4.4211239201055784E-3</v>
      </c>
      <c r="E28" s="85">
        <f>+'Oct 24 Int'!G6/12</f>
        <v>4.1172865931109479E-3</v>
      </c>
      <c r="F28" s="85">
        <f>'Nov 24 Int'!G6/12</f>
        <v>4.0372997902493627E-3</v>
      </c>
      <c r="G28" s="85">
        <f>'Dec 24 Int'!G6/12</f>
        <v>3.9086784964514603E-3</v>
      </c>
      <c r="H28" s="85">
        <f>'Jan 25 Int'!G6/12</f>
        <v>3.7914794777146178E-3</v>
      </c>
      <c r="I28" s="85">
        <f>'Feb 25 Int'!G6/12</f>
        <v>3.8006368137405364E-3</v>
      </c>
      <c r="J28" s="85">
        <f>'Mar 25 Int'!G6/12</f>
        <v>3.8491771398324812E-3</v>
      </c>
      <c r="K28" s="85">
        <f>'Apr 25 Int'!G6/12</f>
        <v>3.8483317509430694E-3</v>
      </c>
      <c r="L28" s="85">
        <f>'May 25 Int'!G6/12</f>
        <v>3.8286059334735208E-3</v>
      </c>
      <c r="M28" s="85">
        <f>'Jun 25 Int'!G6/12</f>
        <v>3.8315826075828296E-3</v>
      </c>
      <c r="N28" s="86">
        <f>'Jul 25 Int'!G6/12</f>
        <v>3.8358682095427418E-3</v>
      </c>
    </row>
    <row r="29" spans="1:15" x14ac:dyDescent="0.25">
      <c r="A29" s="6" t="s">
        <v>9</v>
      </c>
      <c r="B29" s="6"/>
      <c r="C29" s="87">
        <f>(B33+C26)*C28</f>
        <v>60373.443085525701</v>
      </c>
      <c r="D29" s="88">
        <f t="shared" ref="D29:N29" si="3">(D26+C33)*D28</f>
        <v>47569.705091873642</v>
      </c>
      <c r="E29" s="88">
        <f t="shared" si="3"/>
        <v>36510.948929516606</v>
      </c>
      <c r="F29" s="88">
        <f t="shared" si="3"/>
        <v>29004.751768862294</v>
      </c>
      <c r="G29" s="88">
        <f t="shared" si="3"/>
        <v>19931.298866368739</v>
      </c>
      <c r="H29" s="88">
        <f t="shared" si="3"/>
        <v>9727.2792916278122</v>
      </c>
      <c r="I29" s="88">
        <f t="shared" si="3"/>
        <v>-2.2737520479747428E-5</v>
      </c>
      <c r="J29" s="88">
        <f t="shared" si="3"/>
        <v>-2.311543641615258E-5</v>
      </c>
      <c r="K29" s="88">
        <f t="shared" si="3"/>
        <v>-2.3199315476095696E-5</v>
      </c>
      <c r="L29" s="88">
        <f t="shared" si="3"/>
        <v>-2.316922122913323E-5</v>
      </c>
      <c r="M29" s="88">
        <f t="shared" si="3"/>
        <v>-2.3276009678249943E-5</v>
      </c>
      <c r="N29" s="89">
        <f t="shared" si="3"/>
        <v>-2.3391327459791027E-5</v>
      </c>
      <c r="O29" s="23"/>
    </row>
    <row r="30" spans="1:15" x14ac:dyDescent="0.25">
      <c r="A30" s="2"/>
      <c r="B30" s="2"/>
      <c r="C30" s="90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2"/>
    </row>
    <row r="31" spans="1:15" x14ac:dyDescent="0.25">
      <c r="A31" s="2" t="s">
        <v>258</v>
      </c>
      <c r="B31" s="2"/>
      <c r="C31" s="90"/>
      <c r="D31" s="91"/>
      <c r="E31" s="91"/>
      <c r="F31" s="91"/>
      <c r="G31" s="91"/>
      <c r="H31" s="94">
        <v>-2575290.2400000002</v>
      </c>
      <c r="I31" s="91"/>
      <c r="J31" s="91"/>
      <c r="K31" s="91"/>
      <c r="L31" s="91"/>
      <c r="M31" s="91"/>
      <c r="N31" s="92"/>
    </row>
    <row r="32" spans="1:15" x14ac:dyDescent="0.25">
      <c r="A32" s="2"/>
      <c r="B32" s="2"/>
      <c r="C32" s="90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2"/>
    </row>
    <row r="33" spans="1:14" ht="15.75" thickBot="1" x14ac:dyDescent="0.3">
      <c r="A33" s="4" t="s">
        <v>10</v>
      </c>
      <c r="B33" s="95">
        <v>15405039.806983668</v>
      </c>
      <c r="C33" s="29">
        <f>C26+C29+B33</f>
        <v>13081315.960069194</v>
      </c>
      <c r="D33" s="20">
        <f>D26+D29+C33</f>
        <v>10807210.455161069</v>
      </c>
      <c r="E33" s="20">
        <f>E26+E29+D33</f>
        <v>8904231.9840905853</v>
      </c>
      <c r="F33" s="20">
        <f>F26+F29+E33</f>
        <v>7213200.4458594471</v>
      </c>
      <c r="G33" s="20">
        <f>G26+G29+F33</f>
        <v>5119173.6347258165</v>
      </c>
      <c r="H33" s="20">
        <f>H26+H29+G33+H31</f>
        <v>-5.9825554490089417E-3</v>
      </c>
      <c r="I33" s="20">
        <f t="shared" ref="I33:N33" si="4">I26+I29+H33+I31</f>
        <v>-6.0052929694886887E-3</v>
      </c>
      <c r="J33" s="20">
        <f t="shared" si="4"/>
        <v>-6.0284084059048417E-3</v>
      </c>
      <c r="K33" s="20">
        <f t="shared" si="4"/>
        <v>-6.0516077213809373E-3</v>
      </c>
      <c r="L33" s="20">
        <f t="shared" si="4"/>
        <v>-6.0747769426100703E-3</v>
      </c>
      <c r="M33" s="20">
        <f t="shared" si="4"/>
        <v>-6.0980529522883199E-3</v>
      </c>
      <c r="N33" s="55">
        <f t="shared" si="4"/>
        <v>-6.1214442797481112E-3</v>
      </c>
    </row>
    <row r="34" spans="1:14" x14ac:dyDescent="0.25">
      <c r="H34" s="42"/>
    </row>
    <row r="38" spans="1:14" x14ac:dyDescent="0.25">
      <c r="N38" s="30"/>
    </row>
    <row r="40" spans="1:14" x14ac:dyDescent="0.25"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</row>
    <row r="41" spans="1:14" x14ac:dyDescent="0.25"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</row>
    <row r="42" spans="1:14" x14ac:dyDescent="0.25"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</row>
    <row r="43" spans="1:14" x14ac:dyDescent="0.25"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pageMargins left="0.7" right="0.7" top="0.75" bottom="0.75" header="0.3" footer="0.3"/>
  <pageSetup scale="38" fitToHeight="0" orientation="landscape" r:id="rId1"/>
  <headerFooter>
    <oddFooter>&amp;CSchedule RL-1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A5A20-18FA-48FF-99FC-810B64EC4F5D}">
  <sheetPr>
    <pageSetUpPr fitToPage="1"/>
  </sheetPr>
  <dimension ref="A1:O85"/>
  <sheetViews>
    <sheetView zoomScale="90" zoomScaleNormal="90" workbookViewId="0">
      <selection activeCell="L18" sqref="L18"/>
    </sheetView>
  </sheetViews>
  <sheetFormatPr defaultRowHeight="12.75" x14ac:dyDescent="0.2"/>
  <cols>
    <col min="1" max="1" width="17.28515625" style="66" customWidth="1"/>
    <col min="2" max="2" width="5.7109375" style="66" customWidth="1"/>
    <col min="3" max="3" width="20" style="66" customWidth="1"/>
    <col min="4" max="4" width="5.7109375" style="66" customWidth="1"/>
    <col min="5" max="5" width="14.42578125" style="66" customWidth="1"/>
    <col min="6" max="6" width="5.7109375" style="66" customWidth="1"/>
    <col min="7" max="7" width="11.42578125" style="66" customWidth="1"/>
    <col min="8" max="8" width="5.7109375" style="66" customWidth="1"/>
    <col min="9" max="9" width="14.5703125" style="66" bestFit="1" customWidth="1"/>
    <col min="10" max="11" width="9.140625" style="66"/>
    <col min="12" max="12" width="14.42578125" style="66" bestFit="1" customWidth="1"/>
    <col min="13" max="256" width="9.140625" style="66"/>
    <col min="257" max="257" width="17.28515625" style="66" customWidth="1"/>
    <col min="258" max="258" width="5.7109375" style="66" customWidth="1"/>
    <col min="259" max="259" width="20" style="66" customWidth="1"/>
    <col min="260" max="260" width="5.7109375" style="66" customWidth="1"/>
    <col min="261" max="261" width="14.42578125" style="66" customWidth="1"/>
    <col min="262" max="262" width="5.7109375" style="66" customWidth="1"/>
    <col min="263" max="263" width="11.42578125" style="66" customWidth="1"/>
    <col min="264" max="264" width="5.7109375" style="66" customWidth="1"/>
    <col min="265" max="265" width="14.5703125" style="66" bestFit="1" customWidth="1"/>
    <col min="266" max="267" width="9.140625" style="66"/>
    <col min="268" max="268" width="14.42578125" style="66" bestFit="1" customWidth="1"/>
    <col min="269" max="512" width="9.140625" style="66"/>
    <col min="513" max="513" width="17.28515625" style="66" customWidth="1"/>
    <col min="514" max="514" width="5.7109375" style="66" customWidth="1"/>
    <col min="515" max="515" width="20" style="66" customWidth="1"/>
    <col min="516" max="516" width="5.7109375" style="66" customWidth="1"/>
    <col min="517" max="517" width="14.42578125" style="66" customWidth="1"/>
    <col min="518" max="518" width="5.7109375" style="66" customWidth="1"/>
    <col min="519" max="519" width="11.42578125" style="66" customWidth="1"/>
    <col min="520" max="520" width="5.7109375" style="66" customWidth="1"/>
    <col min="521" max="521" width="14.5703125" style="66" bestFit="1" customWidth="1"/>
    <col min="522" max="523" width="9.140625" style="66"/>
    <col min="524" max="524" width="14.42578125" style="66" bestFit="1" customWidth="1"/>
    <col min="525" max="768" width="9.140625" style="66"/>
    <col min="769" max="769" width="17.28515625" style="66" customWidth="1"/>
    <col min="770" max="770" width="5.7109375" style="66" customWidth="1"/>
    <col min="771" max="771" width="20" style="66" customWidth="1"/>
    <col min="772" max="772" width="5.7109375" style="66" customWidth="1"/>
    <col min="773" max="773" width="14.42578125" style="66" customWidth="1"/>
    <col min="774" max="774" width="5.7109375" style="66" customWidth="1"/>
    <col min="775" max="775" width="11.42578125" style="66" customWidth="1"/>
    <col min="776" max="776" width="5.7109375" style="66" customWidth="1"/>
    <col min="777" max="777" width="14.5703125" style="66" bestFit="1" customWidth="1"/>
    <col min="778" max="779" width="9.140625" style="66"/>
    <col min="780" max="780" width="14.42578125" style="66" bestFit="1" customWidth="1"/>
    <col min="781" max="1024" width="9.140625" style="66"/>
    <col min="1025" max="1025" width="17.28515625" style="66" customWidth="1"/>
    <col min="1026" max="1026" width="5.7109375" style="66" customWidth="1"/>
    <col min="1027" max="1027" width="20" style="66" customWidth="1"/>
    <col min="1028" max="1028" width="5.7109375" style="66" customWidth="1"/>
    <col min="1029" max="1029" width="14.42578125" style="66" customWidth="1"/>
    <col min="1030" max="1030" width="5.7109375" style="66" customWidth="1"/>
    <col min="1031" max="1031" width="11.42578125" style="66" customWidth="1"/>
    <col min="1032" max="1032" width="5.7109375" style="66" customWidth="1"/>
    <col min="1033" max="1033" width="14.5703125" style="66" bestFit="1" customWidth="1"/>
    <col min="1034" max="1035" width="9.140625" style="66"/>
    <col min="1036" max="1036" width="14.42578125" style="66" bestFit="1" customWidth="1"/>
    <col min="1037" max="1280" width="9.140625" style="66"/>
    <col min="1281" max="1281" width="17.28515625" style="66" customWidth="1"/>
    <col min="1282" max="1282" width="5.7109375" style="66" customWidth="1"/>
    <col min="1283" max="1283" width="20" style="66" customWidth="1"/>
    <col min="1284" max="1284" width="5.7109375" style="66" customWidth="1"/>
    <col min="1285" max="1285" width="14.42578125" style="66" customWidth="1"/>
    <col min="1286" max="1286" width="5.7109375" style="66" customWidth="1"/>
    <col min="1287" max="1287" width="11.42578125" style="66" customWidth="1"/>
    <col min="1288" max="1288" width="5.7109375" style="66" customWidth="1"/>
    <col min="1289" max="1289" width="14.5703125" style="66" bestFit="1" customWidth="1"/>
    <col min="1290" max="1291" width="9.140625" style="66"/>
    <col min="1292" max="1292" width="14.42578125" style="66" bestFit="1" customWidth="1"/>
    <col min="1293" max="1536" width="9.140625" style="66"/>
    <col min="1537" max="1537" width="17.28515625" style="66" customWidth="1"/>
    <col min="1538" max="1538" width="5.7109375" style="66" customWidth="1"/>
    <col min="1539" max="1539" width="20" style="66" customWidth="1"/>
    <col min="1540" max="1540" width="5.7109375" style="66" customWidth="1"/>
    <col min="1541" max="1541" width="14.42578125" style="66" customWidth="1"/>
    <col min="1542" max="1542" width="5.7109375" style="66" customWidth="1"/>
    <col min="1543" max="1543" width="11.42578125" style="66" customWidth="1"/>
    <col min="1544" max="1544" width="5.7109375" style="66" customWidth="1"/>
    <col min="1545" max="1545" width="14.5703125" style="66" bestFit="1" customWidth="1"/>
    <col min="1546" max="1547" width="9.140625" style="66"/>
    <col min="1548" max="1548" width="14.42578125" style="66" bestFit="1" customWidth="1"/>
    <col min="1549" max="1792" width="9.140625" style="66"/>
    <col min="1793" max="1793" width="17.28515625" style="66" customWidth="1"/>
    <col min="1794" max="1794" width="5.7109375" style="66" customWidth="1"/>
    <col min="1795" max="1795" width="20" style="66" customWidth="1"/>
    <col min="1796" max="1796" width="5.7109375" style="66" customWidth="1"/>
    <col min="1797" max="1797" width="14.42578125" style="66" customWidth="1"/>
    <col min="1798" max="1798" width="5.7109375" style="66" customWidth="1"/>
    <col min="1799" max="1799" width="11.42578125" style="66" customWidth="1"/>
    <col min="1800" max="1800" width="5.7109375" style="66" customWidth="1"/>
    <col min="1801" max="1801" width="14.5703125" style="66" bestFit="1" customWidth="1"/>
    <col min="1802" max="1803" width="9.140625" style="66"/>
    <col min="1804" max="1804" width="14.42578125" style="66" bestFit="1" customWidth="1"/>
    <col min="1805" max="2048" width="9.140625" style="66"/>
    <col min="2049" max="2049" width="17.28515625" style="66" customWidth="1"/>
    <col min="2050" max="2050" width="5.7109375" style="66" customWidth="1"/>
    <col min="2051" max="2051" width="20" style="66" customWidth="1"/>
    <col min="2052" max="2052" width="5.7109375" style="66" customWidth="1"/>
    <col min="2053" max="2053" width="14.42578125" style="66" customWidth="1"/>
    <col min="2054" max="2054" width="5.7109375" style="66" customWidth="1"/>
    <col min="2055" max="2055" width="11.42578125" style="66" customWidth="1"/>
    <col min="2056" max="2056" width="5.7109375" style="66" customWidth="1"/>
    <col min="2057" max="2057" width="14.5703125" style="66" bestFit="1" customWidth="1"/>
    <col min="2058" max="2059" width="9.140625" style="66"/>
    <col min="2060" max="2060" width="14.42578125" style="66" bestFit="1" customWidth="1"/>
    <col min="2061" max="2304" width="9.140625" style="66"/>
    <col min="2305" max="2305" width="17.28515625" style="66" customWidth="1"/>
    <col min="2306" max="2306" width="5.7109375" style="66" customWidth="1"/>
    <col min="2307" max="2307" width="20" style="66" customWidth="1"/>
    <col min="2308" max="2308" width="5.7109375" style="66" customWidth="1"/>
    <col min="2309" max="2309" width="14.42578125" style="66" customWidth="1"/>
    <col min="2310" max="2310" width="5.7109375" style="66" customWidth="1"/>
    <col min="2311" max="2311" width="11.42578125" style="66" customWidth="1"/>
    <col min="2312" max="2312" width="5.7109375" style="66" customWidth="1"/>
    <col min="2313" max="2313" width="14.5703125" style="66" bestFit="1" customWidth="1"/>
    <col min="2314" max="2315" width="9.140625" style="66"/>
    <col min="2316" max="2316" width="14.42578125" style="66" bestFit="1" customWidth="1"/>
    <col min="2317" max="2560" width="9.140625" style="66"/>
    <col min="2561" max="2561" width="17.28515625" style="66" customWidth="1"/>
    <col min="2562" max="2562" width="5.7109375" style="66" customWidth="1"/>
    <col min="2563" max="2563" width="20" style="66" customWidth="1"/>
    <col min="2564" max="2564" width="5.7109375" style="66" customWidth="1"/>
    <col min="2565" max="2565" width="14.42578125" style="66" customWidth="1"/>
    <col min="2566" max="2566" width="5.7109375" style="66" customWidth="1"/>
    <col min="2567" max="2567" width="11.42578125" style="66" customWidth="1"/>
    <col min="2568" max="2568" width="5.7109375" style="66" customWidth="1"/>
    <col min="2569" max="2569" width="14.5703125" style="66" bestFit="1" customWidth="1"/>
    <col min="2570" max="2571" width="9.140625" style="66"/>
    <col min="2572" max="2572" width="14.42578125" style="66" bestFit="1" customWidth="1"/>
    <col min="2573" max="2816" width="9.140625" style="66"/>
    <col min="2817" max="2817" width="17.28515625" style="66" customWidth="1"/>
    <col min="2818" max="2818" width="5.7109375" style="66" customWidth="1"/>
    <col min="2819" max="2819" width="20" style="66" customWidth="1"/>
    <col min="2820" max="2820" width="5.7109375" style="66" customWidth="1"/>
    <col min="2821" max="2821" width="14.42578125" style="66" customWidth="1"/>
    <col min="2822" max="2822" width="5.7109375" style="66" customWidth="1"/>
    <col min="2823" max="2823" width="11.42578125" style="66" customWidth="1"/>
    <col min="2824" max="2824" width="5.7109375" style="66" customWidth="1"/>
    <col min="2825" max="2825" width="14.5703125" style="66" bestFit="1" customWidth="1"/>
    <col min="2826" max="2827" width="9.140625" style="66"/>
    <col min="2828" max="2828" width="14.42578125" style="66" bestFit="1" customWidth="1"/>
    <col min="2829" max="3072" width="9.140625" style="66"/>
    <col min="3073" max="3073" width="17.28515625" style="66" customWidth="1"/>
    <col min="3074" max="3074" width="5.7109375" style="66" customWidth="1"/>
    <col min="3075" max="3075" width="20" style="66" customWidth="1"/>
    <col min="3076" max="3076" width="5.7109375" style="66" customWidth="1"/>
    <col min="3077" max="3077" width="14.42578125" style="66" customWidth="1"/>
    <col min="3078" max="3078" width="5.7109375" style="66" customWidth="1"/>
    <col min="3079" max="3079" width="11.42578125" style="66" customWidth="1"/>
    <col min="3080" max="3080" width="5.7109375" style="66" customWidth="1"/>
    <col min="3081" max="3081" width="14.5703125" style="66" bestFit="1" customWidth="1"/>
    <col min="3082" max="3083" width="9.140625" style="66"/>
    <col min="3084" max="3084" width="14.42578125" style="66" bestFit="1" customWidth="1"/>
    <col min="3085" max="3328" width="9.140625" style="66"/>
    <col min="3329" max="3329" width="17.28515625" style="66" customWidth="1"/>
    <col min="3330" max="3330" width="5.7109375" style="66" customWidth="1"/>
    <col min="3331" max="3331" width="20" style="66" customWidth="1"/>
    <col min="3332" max="3332" width="5.7109375" style="66" customWidth="1"/>
    <col min="3333" max="3333" width="14.42578125" style="66" customWidth="1"/>
    <col min="3334" max="3334" width="5.7109375" style="66" customWidth="1"/>
    <col min="3335" max="3335" width="11.42578125" style="66" customWidth="1"/>
    <col min="3336" max="3336" width="5.7109375" style="66" customWidth="1"/>
    <col min="3337" max="3337" width="14.5703125" style="66" bestFit="1" customWidth="1"/>
    <col min="3338" max="3339" width="9.140625" style="66"/>
    <col min="3340" max="3340" width="14.42578125" style="66" bestFit="1" customWidth="1"/>
    <col min="3341" max="3584" width="9.140625" style="66"/>
    <col min="3585" max="3585" width="17.28515625" style="66" customWidth="1"/>
    <col min="3586" max="3586" width="5.7109375" style="66" customWidth="1"/>
    <col min="3587" max="3587" width="20" style="66" customWidth="1"/>
    <col min="3588" max="3588" width="5.7109375" style="66" customWidth="1"/>
    <col min="3589" max="3589" width="14.42578125" style="66" customWidth="1"/>
    <col min="3590" max="3590" width="5.7109375" style="66" customWidth="1"/>
    <col min="3591" max="3591" width="11.42578125" style="66" customWidth="1"/>
    <col min="3592" max="3592" width="5.7109375" style="66" customWidth="1"/>
    <col min="3593" max="3593" width="14.5703125" style="66" bestFit="1" customWidth="1"/>
    <col min="3594" max="3595" width="9.140625" style="66"/>
    <col min="3596" max="3596" width="14.42578125" style="66" bestFit="1" customWidth="1"/>
    <col min="3597" max="3840" width="9.140625" style="66"/>
    <col min="3841" max="3841" width="17.28515625" style="66" customWidth="1"/>
    <col min="3842" max="3842" width="5.7109375" style="66" customWidth="1"/>
    <col min="3843" max="3843" width="20" style="66" customWidth="1"/>
    <col min="3844" max="3844" width="5.7109375" style="66" customWidth="1"/>
    <col min="3845" max="3845" width="14.42578125" style="66" customWidth="1"/>
    <col min="3846" max="3846" width="5.7109375" style="66" customWidth="1"/>
    <col min="3847" max="3847" width="11.42578125" style="66" customWidth="1"/>
    <col min="3848" max="3848" width="5.7109375" style="66" customWidth="1"/>
    <col min="3849" max="3849" width="14.5703125" style="66" bestFit="1" customWidth="1"/>
    <col min="3850" max="3851" width="9.140625" style="66"/>
    <col min="3852" max="3852" width="14.42578125" style="66" bestFit="1" customWidth="1"/>
    <col min="3853" max="4096" width="9.140625" style="66"/>
    <col min="4097" max="4097" width="17.28515625" style="66" customWidth="1"/>
    <col min="4098" max="4098" width="5.7109375" style="66" customWidth="1"/>
    <col min="4099" max="4099" width="20" style="66" customWidth="1"/>
    <col min="4100" max="4100" width="5.7109375" style="66" customWidth="1"/>
    <col min="4101" max="4101" width="14.42578125" style="66" customWidth="1"/>
    <col min="4102" max="4102" width="5.7109375" style="66" customWidth="1"/>
    <col min="4103" max="4103" width="11.42578125" style="66" customWidth="1"/>
    <col min="4104" max="4104" width="5.7109375" style="66" customWidth="1"/>
    <col min="4105" max="4105" width="14.5703125" style="66" bestFit="1" customWidth="1"/>
    <col min="4106" max="4107" width="9.140625" style="66"/>
    <col min="4108" max="4108" width="14.42578125" style="66" bestFit="1" customWidth="1"/>
    <col min="4109" max="4352" width="9.140625" style="66"/>
    <col min="4353" max="4353" width="17.28515625" style="66" customWidth="1"/>
    <col min="4354" max="4354" width="5.7109375" style="66" customWidth="1"/>
    <col min="4355" max="4355" width="20" style="66" customWidth="1"/>
    <col min="4356" max="4356" width="5.7109375" style="66" customWidth="1"/>
    <col min="4357" max="4357" width="14.42578125" style="66" customWidth="1"/>
    <col min="4358" max="4358" width="5.7109375" style="66" customWidth="1"/>
    <col min="4359" max="4359" width="11.42578125" style="66" customWidth="1"/>
    <col min="4360" max="4360" width="5.7109375" style="66" customWidth="1"/>
    <col min="4361" max="4361" width="14.5703125" style="66" bestFit="1" customWidth="1"/>
    <col min="4362" max="4363" width="9.140625" style="66"/>
    <col min="4364" max="4364" width="14.42578125" style="66" bestFit="1" customWidth="1"/>
    <col min="4365" max="4608" width="9.140625" style="66"/>
    <col min="4609" max="4609" width="17.28515625" style="66" customWidth="1"/>
    <col min="4610" max="4610" width="5.7109375" style="66" customWidth="1"/>
    <col min="4611" max="4611" width="20" style="66" customWidth="1"/>
    <col min="4612" max="4612" width="5.7109375" style="66" customWidth="1"/>
    <col min="4613" max="4613" width="14.42578125" style="66" customWidth="1"/>
    <col min="4614" max="4614" width="5.7109375" style="66" customWidth="1"/>
    <col min="4615" max="4615" width="11.42578125" style="66" customWidth="1"/>
    <col min="4616" max="4616" width="5.7109375" style="66" customWidth="1"/>
    <col min="4617" max="4617" width="14.5703125" style="66" bestFit="1" customWidth="1"/>
    <col min="4618" max="4619" width="9.140625" style="66"/>
    <col min="4620" max="4620" width="14.42578125" style="66" bestFit="1" customWidth="1"/>
    <col min="4621" max="4864" width="9.140625" style="66"/>
    <col min="4865" max="4865" width="17.28515625" style="66" customWidth="1"/>
    <col min="4866" max="4866" width="5.7109375" style="66" customWidth="1"/>
    <col min="4867" max="4867" width="20" style="66" customWidth="1"/>
    <col min="4868" max="4868" width="5.7109375" style="66" customWidth="1"/>
    <col min="4869" max="4869" width="14.42578125" style="66" customWidth="1"/>
    <col min="4870" max="4870" width="5.7109375" style="66" customWidth="1"/>
    <col min="4871" max="4871" width="11.42578125" style="66" customWidth="1"/>
    <col min="4872" max="4872" width="5.7109375" style="66" customWidth="1"/>
    <col min="4873" max="4873" width="14.5703125" style="66" bestFit="1" customWidth="1"/>
    <col min="4874" max="4875" width="9.140625" style="66"/>
    <col min="4876" max="4876" width="14.42578125" style="66" bestFit="1" customWidth="1"/>
    <col min="4877" max="5120" width="9.140625" style="66"/>
    <col min="5121" max="5121" width="17.28515625" style="66" customWidth="1"/>
    <col min="5122" max="5122" width="5.7109375" style="66" customWidth="1"/>
    <col min="5123" max="5123" width="20" style="66" customWidth="1"/>
    <col min="5124" max="5124" width="5.7109375" style="66" customWidth="1"/>
    <col min="5125" max="5125" width="14.42578125" style="66" customWidth="1"/>
    <col min="5126" max="5126" width="5.7109375" style="66" customWidth="1"/>
    <col min="5127" max="5127" width="11.42578125" style="66" customWidth="1"/>
    <col min="5128" max="5128" width="5.7109375" style="66" customWidth="1"/>
    <col min="5129" max="5129" width="14.5703125" style="66" bestFit="1" customWidth="1"/>
    <col min="5130" max="5131" width="9.140625" style="66"/>
    <col min="5132" max="5132" width="14.42578125" style="66" bestFit="1" customWidth="1"/>
    <col min="5133" max="5376" width="9.140625" style="66"/>
    <col min="5377" max="5377" width="17.28515625" style="66" customWidth="1"/>
    <col min="5378" max="5378" width="5.7109375" style="66" customWidth="1"/>
    <col min="5379" max="5379" width="20" style="66" customWidth="1"/>
    <col min="5380" max="5380" width="5.7109375" style="66" customWidth="1"/>
    <col min="5381" max="5381" width="14.42578125" style="66" customWidth="1"/>
    <col min="5382" max="5382" width="5.7109375" style="66" customWidth="1"/>
    <col min="5383" max="5383" width="11.42578125" style="66" customWidth="1"/>
    <col min="5384" max="5384" width="5.7109375" style="66" customWidth="1"/>
    <col min="5385" max="5385" width="14.5703125" style="66" bestFit="1" customWidth="1"/>
    <col min="5386" max="5387" width="9.140625" style="66"/>
    <col min="5388" max="5388" width="14.42578125" style="66" bestFit="1" customWidth="1"/>
    <col min="5389" max="5632" width="9.140625" style="66"/>
    <col min="5633" max="5633" width="17.28515625" style="66" customWidth="1"/>
    <col min="5634" max="5634" width="5.7109375" style="66" customWidth="1"/>
    <col min="5635" max="5635" width="20" style="66" customWidth="1"/>
    <col min="5636" max="5636" width="5.7109375" style="66" customWidth="1"/>
    <col min="5637" max="5637" width="14.42578125" style="66" customWidth="1"/>
    <col min="5638" max="5638" width="5.7109375" style="66" customWidth="1"/>
    <col min="5639" max="5639" width="11.42578125" style="66" customWidth="1"/>
    <col min="5640" max="5640" width="5.7109375" style="66" customWidth="1"/>
    <col min="5641" max="5641" width="14.5703125" style="66" bestFit="1" customWidth="1"/>
    <col min="5642" max="5643" width="9.140625" style="66"/>
    <col min="5644" max="5644" width="14.42578125" style="66" bestFit="1" customWidth="1"/>
    <col min="5645" max="5888" width="9.140625" style="66"/>
    <col min="5889" max="5889" width="17.28515625" style="66" customWidth="1"/>
    <col min="5890" max="5890" width="5.7109375" style="66" customWidth="1"/>
    <col min="5891" max="5891" width="20" style="66" customWidth="1"/>
    <col min="5892" max="5892" width="5.7109375" style="66" customWidth="1"/>
    <col min="5893" max="5893" width="14.42578125" style="66" customWidth="1"/>
    <col min="5894" max="5894" width="5.7109375" style="66" customWidth="1"/>
    <col min="5895" max="5895" width="11.42578125" style="66" customWidth="1"/>
    <col min="5896" max="5896" width="5.7109375" style="66" customWidth="1"/>
    <col min="5897" max="5897" width="14.5703125" style="66" bestFit="1" customWidth="1"/>
    <col min="5898" max="5899" width="9.140625" style="66"/>
    <col min="5900" max="5900" width="14.42578125" style="66" bestFit="1" customWidth="1"/>
    <col min="5901" max="6144" width="9.140625" style="66"/>
    <col min="6145" max="6145" width="17.28515625" style="66" customWidth="1"/>
    <col min="6146" max="6146" width="5.7109375" style="66" customWidth="1"/>
    <col min="6147" max="6147" width="20" style="66" customWidth="1"/>
    <col min="6148" max="6148" width="5.7109375" style="66" customWidth="1"/>
    <col min="6149" max="6149" width="14.42578125" style="66" customWidth="1"/>
    <col min="6150" max="6150" width="5.7109375" style="66" customWidth="1"/>
    <col min="6151" max="6151" width="11.42578125" style="66" customWidth="1"/>
    <col min="6152" max="6152" width="5.7109375" style="66" customWidth="1"/>
    <col min="6153" max="6153" width="14.5703125" style="66" bestFit="1" customWidth="1"/>
    <col min="6154" max="6155" width="9.140625" style="66"/>
    <col min="6156" max="6156" width="14.42578125" style="66" bestFit="1" customWidth="1"/>
    <col min="6157" max="6400" width="9.140625" style="66"/>
    <col min="6401" max="6401" width="17.28515625" style="66" customWidth="1"/>
    <col min="6402" max="6402" width="5.7109375" style="66" customWidth="1"/>
    <col min="6403" max="6403" width="20" style="66" customWidth="1"/>
    <col min="6404" max="6404" width="5.7109375" style="66" customWidth="1"/>
    <col min="6405" max="6405" width="14.42578125" style="66" customWidth="1"/>
    <col min="6406" max="6406" width="5.7109375" style="66" customWidth="1"/>
    <col min="6407" max="6407" width="11.42578125" style="66" customWidth="1"/>
    <col min="6408" max="6408" width="5.7109375" style="66" customWidth="1"/>
    <col min="6409" max="6409" width="14.5703125" style="66" bestFit="1" customWidth="1"/>
    <col min="6410" max="6411" width="9.140625" style="66"/>
    <col min="6412" max="6412" width="14.42578125" style="66" bestFit="1" customWidth="1"/>
    <col min="6413" max="6656" width="9.140625" style="66"/>
    <col min="6657" max="6657" width="17.28515625" style="66" customWidth="1"/>
    <col min="6658" max="6658" width="5.7109375" style="66" customWidth="1"/>
    <col min="6659" max="6659" width="20" style="66" customWidth="1"/>
    <col min="6660" max="6660" width="5.7109375" style="66" customWidth="1"/>
    <col min="6661" max="6661" width="14.42578125" style="66" customWidth="1"/>
    <col min="6662" max="6662" width="5.7109375" style="66" customWidth="1"/>
    <col min="6663" max="6663" width="11.42578125" style="66" customWidth="1"/>
    <col min="6664" max="6664" width="5.7109375" style="66" customWidth="1"/>
    <col min="6665" max="6665" width="14.5703125" style="66" bestFit="1" customWidth="1"/>
    <col min="6666" max="6667" width="9.140625" style="66"/>
    <col min="6668" max="6668" width="14.42578125" style="66" bestFit="1" customWidth="1"/>
    <col min="6669" max="6912" width="9.140625" style="66"/>
    <col min="6913" max="6913" width="17.28515625" style="66" customWidth="1"/>
    <col min="6914" max="6914" width="5.7109375" style="66" customWidth="1"/>
    <col min="6915" max="6915" width="20" style="66" customWidth="1"/>
    <col min="6916" max="6916" width="5.7109375" style="66" customWidth="1"/>
    <col min="6917" max="6917" width="14.42578125" style="66" customWidth="1"/>
    <col min="6918" max="6918" width="5.7109375" style="66" customWidth="1"/>
    <col min="6919" max="6919" width="11.42578125" style="66" customWidth="1"/>
    <col min="6920" max="6920" width="5.7109375" style="66" customWidth="1"/>
    <col min="6921" max="6921" width="14.5703125" style="66" bestFit="1" customWidth="1"/>
    <col min="6922" max="6923" width="9.140625" style="66"/>
    <col min="6924" max="6924" width="14.42578125" style="66" bestFit="1" customWidth="1"/>
    <col min="6925" max="7168" width="9.140625" style="66"/>
    <col min="7169" max="7169" width="17.28515625" style="66" customWidth="1"/>
    <col min="7170" max="7170" width="5.7109375" style="66" customWidth="1"/>
    <col min="7171" max="7171" width="20" style="66" customWidth="1"/>
    <col min="7172" max="7172" width="5.7109375" style="66" customWidth="1"/>
    <col min="7173" max="7173" width="14.42578125" style="66" customWidth="1"/>
    <col min="7174" max="7174" width="5.7109375" style="66" customWidth="1"/>
    <col min="7175" max="7175" width="11.42578125" style="66" customWidth="1"/>
    <col min="7176" max="7176" width="5.7109375" style="66" customWidth="1"/>
    <col min="7177" max="7177" width="14.5703125" style="66" bestFit="1" customWidth="1"/>
    <col min="7178" max="7179" width="9.140625" style="66"/>
    <col min="7180" max="7180" width="14.42578125" style="66" bestFit="1" customWidth="1"/>
    <col min="7181" max="7424" width="9.140625" style="66"/>
    <col min="7425" max="7425" width="17.28515625" style="66" customWidth="1"/>
    <col min="7426" max="7426" width="5.7109375" style="66" customWidth="1"/>
    <col min="7427" max="7427" width="20" style="66" customWidth="1"/>
    <col min="7428" max="7428" width="5.7109375" style="66" customWidth="1"/>
    <col min="7429" max="7429" width="14.42578125" style="66" customWidth="1"/>
    <col min="7430" max="7430" width="5.7109375" style="66" customWidth="1"/>
    <col min="7431" max="7431" width="11.42578125" style="66" customWidth="1"/>
    <col min="7432" max="7432" width="5.7109375" style="66" customWidth="1"/>
    <col min="7433" max="7433" width="14.5703125" style="66" bestFit="1" customWidth="1"/>
    <col min="7434" max="7435" width="9.140625" style="66"/>
    <col min="7436" max="7436" width="14.42578125" style="66" bestFit="1" customWidth="1"/>
    <col min="7437" max="7680" width="9.140625" style="66"/>
    <col min="7681" max="7681" width="17.28515625" style="66" customWidth="1"/>
    <col min="7682" max="7682" width="5.7109375" style="66" customWidth="1"/>
    <col min="7683" max="7683" width="20" style="66" customWidth="1"/>
    <col min="7684" max="7684" width="5.7109375" style="66" customWidth="1"/>
    <col min="7685" max="7685" width="14.42578125" style="66" customWidth="1"/>
    <col min="7686" max="7686" width="5.7109375" style="66" customWidth="1"/>
    <col min="7687" max="7687" width="11.42578125" style="66" customWidth="1"/>
    <col min="7688" max="7688" width="5.7109375" style="66" customWidth="1"/>
    <col min="7689" max="7689" width="14.5703125" style="66" bestFit="1" customWidth="1"/>
    <col min="7690" max="7691" width="9.140625" style="66"/>
    <col min="7692" max="7692" width="14.42578125" style="66" bestFit="1" customWidth="1"/>
    <col min="7693" max="7936" width="9.140625" style="66"/>
    <col min="7937" max="7937" width="17.28515625" style="66" customWidth="1"/>
    <col min="7938" max="7938" width="5.7109375" style="66" customWidth="1"/>
    <col min="7939" max="7939" width="20" style="66" customWidth="1"/>
    <col min="7940" max="7940" width="5.7109375" style="66" customWidth="1"/>
    <col min="7941" max="7941" width="14.42578125" style="66" customWidth="1"/>
    <col min="7942" max="7942" width="5.7109375" style="66" customWidth="1"/>
    <col min="7943" max="7943" width="11.42578125" style="66" customWidth="1"/>
    <col min="7944" max="7944" width="5.7109375" style="66" customWidth="1"/>
    <col min="7945" max="7945" width="14.5703125" style="66" bestFit="1" customWidth="1"/>
    <col min="7946" max="7947" width="9.140625" style="66"/>
    <col min="7948" max="7948" width="14.42578125" style="66" bestFit="1" customWidth="1"/>
    <col min="7949" max="8192" width="9.140625" style="66"/>
    <col min="8193" max="8193" width="17.28515625" style="66" customWidth="1"/>
    <col min="8194" max="8194" width="5.7109375" style="66" customWidth="1"/>
    <col min="8195" max="8195" width="20" style="66" customWidth="1"/>
    <col min="8196" max="8196" width="5.7109375" style="66" customWidth="1"/>
    <col min="8197" max="8197" width="14.42578125" style="66" customWidth="1"/>
    <col min="8198" max="8198" width="5.7109375" style="66" customWidth="1"/>
    <col min="8199" max="8199" width="11.42578125" style="66" customWidth="1"/>
    <col min="8200" max="8200" width="5.7109375" style="66" customWidth="1"/>
    <col min="8201" max="8201" width="14.5703125" style="66" bestFit="1" customWidth="1"/>
    <col min="8202" max="8203" width="9.140625" style="66"/>
    <col min="8204" max="8204" width="14.42578125" style="66" bestFit="1" customWidth="1"/>
    <col min="8205" max="8448" width="9.140625" style="66"/>
    <col min="8449" max="8449" width="17.28515625" style="66" customWidth="1"/>
    <col min="8450" max="8450" width="5.7109375" style="66" customWidth="1"/>
    <col min="8451" max="8451" width="20" style="66" customWidth="1"/>
    <col min="8452" max="8452" width="5.7109375" style="66" customWidth="1"/>
    <col min="8453" max="8453" width="14.42578125" style="66" customWidth="1"/>
    <col min="8454" max="8454" width="5.7109375" style="66" customWidth="1"/>
    <col min="8455" max="8455" width="11.42578125" style="66" customWidth="1"/>
    <col min="8456" max="8456" width="5.7109375" style="66" customWidth="1"/>
    <col min="8457" max="8457" width="14.5703125" style="66" bestFit="1" customWidth="1"/>
    <col min="8458" max="8459" width="9.140625" style="66"/>
    <col min="8460" max="8460" width="14.42578125" style="66" bestFit="1" customWidth="1"/>
    <col min="8461" max="8704" width="9.140625" style="66"/>
    <col min="8705" max="8705" width="17.28515625" style="66" customWidth="1"/>
    <col min="8706" max="8706" width="5.7109375" style="66" customWidth="1"/>
    <col min="8707" max="8707" width="20" style="66" customWidth="1"/>
    <col min="8708" max="8708" width="5.7109375" style="66" customWidth="1"/>
    <col min="8709" max="8709" width="14.42578125" style="66" customWidth="1"/>
    <col min="8710" max="8710" width="5.7109375" style="66" customWidth="1"/>
    <col min="8711" max="8711" width="11.42578125" style="66" customWidth="1"/>
    <col min="8712" max="8712" width="5.7109375" style="66" customWidth="1"/>
    <col min="8713" max="8713" width="14.5703125" style="66" bestFit="1" customWidth="1"/>
    <col min="8714" max="8715" width="9.140625" style="66"/>
    <col min="8716" max="8716" width="14.42578125" style="66" bestFit="1" customWidth="1"/>
    <col min="8717" max="8960" width="9.140625" style="66"/>
    <col min="8961" max="8961" width="17.28515625" style="66" customWidth="1"/>
    <col min="8962" max="8962" width="5.7109375" style="66" customWidth="1"/>
    <col min="8963" max="8963" width="20" style="66" customWidth="1"/>
    <col min="8964" max="8964" width="5.7109375" style="66" customWidth="1"/>
    <col min="8965" max="8965" width="14.42578125" style="66" customWidth="1"/>
    <col min="8966" max="8966" width="5.7109375" style="66" customWidth="1"/>
    <col min="8967" max="8967" width="11.42578125" style="66" customWidth="1"/>
    <col min="8968" max="8968" width="5.7109375" style="66" customWidth="1"/>
    <col min="8969" max="8969" width="14.5703125" style="66" bestFit="1" customWidth="1"/>
    <col min="8970" max="8971" width="9.140625" style="66"/>
    <col min="8972" max="8972" width="14.42578125" style="66" bestFit="1" customWidth="1"/>
    <col min="8973" max="9216" width="9.140625" style="66"/>
    <col min="9217" max="9217" width="17.28515625" style="66" customWidth="1"/>
    <col min="9218" max="9218" width="5.7109375" style="66" customWidth="1"/>
    <col min="9219" max="9219" width="20" style="66" customWidth="1"/>
    <col min="9220" max="9220" width="5.7109375" style="66" customWidth="1"/>
    <col min="9221" max="9221" width="14.42578125" style="66" customWidth="1"/>
    <col min="9222" max="9222" width="5.7109375" style="66" customWidth="1"/>
    <col min="9223" max="9223" width="11.42578125" style="66" customWidth="1"/>
    <col min="9224" max="9224" width="5.7109375" style="66" customWidth="1"/>
    <col min="9225" max="9225" width="14.5703125" style="66" bestFit="1" customWidth="1"/>
    <col min="9226" max="9227" width="9.140625" style="66"/>
    <col min="9228" max="9228" width="14.42578125" style="66" bestFit="1" customWidth="1"/>
    <col min="9229" max="9472" width="9.140625" style="66"/>
    <col min="9473" max="9473" width="17.28515625" style="66" customWidth="1"/>
    <col min="9474" max="9474" width="5.7109375" style="66" customWidth="1"/>
    <col min="9475" max="9475" width="20" style="66" customWidth="1"/>
    <col min="9476" max="9476" width="5.7109375" style="66" customWidth="1"/>
    <col min="9477" max="9477" width="14.42578125" style="66" customWidth="1"/>
    <col min="9478" max="9478" width="5.7109375" style="66" customWidth="1"/>
    <col min="9479" max="9479" width="11.42578125" style="66" customWidth="1"/>
    <col min="9480" max="9480" width="5.7109375" style="66" customWidth="1"/>
    <col min="9481" max="9481" width="14.5703125" style="66" bestFit="1" customWidth="1"/>
    <col min="9482" max="9483" width="9.140625" style="66"/>
    <col min="9484" max="9484" width="14.42578125" style="66" bestFit="1" customWidth="1"/>
    <col min="9485" max="9728" width="9.140625" style="66"/>
    <col min="9729" max="9729" width="17.28515625" style="66" customWidth="1"/>
    <col min="9730" max="9730" width="5.7109375" style="66" customWidth="1"/>
    <col min="9731" max="9731" width="20" style="66" customWidth="1"/>
    <col min="9732" max="9732" width="5.7109375" style="66" customWidth="1"/>
    <col min="9733" max="9733" width="14.42578125" style="66" customWidth="1"/>
    <col min="9734" max="9734" width="5.7109375" style="66" customWidth="1"/>
    <col min="9735" max="9735" width="11.42578125" style="66" customWidth="1"/>
    <col min="9736" max="9736" width="5.7109375" style="66" customWidth="1"/>
    <col min="9737" max="9737" width="14.5703125" style="66" bestFit="1" customWidth="1"/>
    <col min="9738" max="9739" width="9.140625" style="66"/>
    <col min="9740" max="9740" width="14.42578125" style="66" bestFit="1" customWidth="1"/>
    <col min="9741" max="9984" width="9.140625" style="66"/>
    <col min="9985" max="9985" width="17.28515625" style="66" customWidth="1"/>
    <col min="9986" max="9986" width="5.7109375" style="66" customWidth="1"/>
    <col min="9987" max="9987" width="20" style="66" customWidth="1"/>
    <col min="9988" max="9988" width="5.7109375" style="66" customWidth="1"/>
    <col min="9989" max="9989" width="14.42578125" style="66" customWidth="1"/>
    <col min="9990" max="9990" width="5.7109375" style="66" customWidth="1"/>
    <col min="9991" max="9991" width="11.42578125" style="66" customWidth="1"/>
    <col min="9992" max="9992" width="5.7109375" style="66" customWidth="1"/>
    <col min="9993" max="9993" width="14.5703125" style="66" bestFit="1" customWidth="1"/>
    <col min="9994" max="9995" width="9.140625" style="66"/>
    <col min="9996" max="9996" width="14.42578125" style="66" bestFit="1" customWidth="1"/>
    <col min="9997" max="10240" width="9.140625" style="66"/>
    <col min="10241" max="10241" width="17.28515625" style="66" customWidth="1"/>
    <col min="10242" max="10242" width="5.7109375" style="66" customWidth="1"/>
    <col min="10243" max="10243" width="20" style="66" customWidth="1"/>
    <col min="10244" max="10244" width="5.7109375" style="66" customWidth="1"/>
    <col min="10245" max="10245" width="14.42578125" style="66" customWidth="1"/>
    <col min="10246" max="10246" width="5.7109375" style="66" customWidth="1"/>
    <col min="10247" max="10247" width="11.42578125" style="66" customWidth="1"/>
    <col min="10248" max="10248" width="5.7109375" style="66" customWidth="1"/>
    <col min="10249" max="10249" width="14.5703125" style="66" bestFit="1" customWidth="1"/>
    <col min="10250" max="10251" width="9.140625" style="66"/>
    <col min="10252" max="10252" width="14.42578125" style="66" bestFit="1" customWidth="1"/>
    <col min="10253" max="10496" width="9.140625" style="66"/>
    <col min="10497" max="10497" width="17.28515625" style="66" customWidth="1"/>
    <col min="10498" max="10498" width="5.7109375" style="66" customWidth="1"/>
    <col min="10499" max="10499" width="20" style="66" customWidth="1"/>
    <col min="10500" max="10500" width="5.7109375" style="66" customWidth="1"/>
    <col min="10501" max="10501" width="14.42578125" style="66" customWidth="1"/>
    <col min="10502" max="10502" width="5.7109375" style="66" customWidth="1"/>
    <col min="10503" max="10503" width="11.42578125" style="66" customWidth="1"/>
    <col min="10504" max="10504" width="5.7109375" style="66" customWidth="1"/>
    <col min="10505" max="10505" width="14.5703125" style="66" bestFit="1" customWidth="1"/>
    <col min="10506" max="10507" width="9.140625" style="66"/>
    <col min="10508" max="10508" width="14.42578125" style="66" bestFit="1" customWidth="1"/>
    <col min="10509" max="10752" width="9.140625" style="66"/>
    <col min="10753" max="10753" width="17.28515625" style="66" customWidth="1"/>
    <col min="10754" max="10754" width="5.7109375" style="66" customWidth="1"/>
    <col min="10755" max="10755" width="20" style="66" customWidth="1"/>
    <col min="10756" max="10756" width="5.7109375" style="66" customWidth="1"/>
    <col min="10757" max="10757" width="14.42578125" style="66" customWidth="1"/>
    <col min="10758" max="10758" width="5.7109375" style="66" customWidth="1"/>
    <col min="10759" max="10759" width="11.42578125" style="66" customWidth="1"/>
    <col min="10760" max="10760" width="5.7109375" style="66" customWidth="1"/>
    <col min="10761" max="10761" width="14.5703125" style="66" bestFit="1" customWidth="1"/>
    <col min="10762" max="10763" width="9.140625" style="66"/>
    <col min="10764" max="10764" width="14.42578125" style="66" bestFit="1" customWidth="1"/>
    <col min="10765" max="11008" width="9.140625" style="66"/>
    <col min="11009" max="11009" width="17.28515625" style="66" customWidth="1"/>
    <col min="11010" max="11010" width="5.7109375" style="66" customWidth="1"/>
    <col min="11011" max="11011" width="20" style="66" customWidth="1"/>
    <col min="11012" max="11012" width="5.7109375" style="66" customWidth="1"/>
    <col min="11013" max="11013" width="14.42578125" style="66" customWidth="1"/>
    <col min="11014" max="11014" width="5.7109375" style="66" customWidth="1"/>
    <col min="11015" max="11015" width="11.42578125" style="66" customWidth="1"/>
    <col min="11016" max="11016" width="5.7109375" style="66" customWidth="1"/>
    <col min="11017" max="11017" width="14.5703125" style="66" bestFit="1" customWidth="1"/>
    <col min="11018" max="11019" width="9.140625" style="66"/>
    <col min="11020" max="11020" width="14.42578125" style="66" bestFit="1" customWidth="1"/>
    <col min="11021" max="11264" width="9.140625" style="66"/>
    <col min="11265" max="11265" width="17.28515625" style="66" customWidth="1"/>
    <col min="11266" max="11266" width="5.7109375" style="66" customWidth="1"/>
    <col min="11267" max="11267" width="20" style="66" customWidth="1"/>
    <col min="11268" max="11268" width="5.7109375" style="66" customWidth="1"/>
    <col min="11269" max="11269" width="14.42578125" style="66" customWidth="1"/>
    <col min="11270" max="11270" width="5.7109375" style="66" customWidth="1"/>
    <col min="11271" max="11271" width="11.42578125" style="66" customWidth="1"/>
    <col min="11272" max="11272" width="5.7109375" style="66" customWidth="1"/>
    <col min="11273" max="11273" width="14.5703125" style="66" bestFit="1" customWidth="1"/>
    <col min="11274" max="11275" width="9.140625" style="66"/>
    <col min="11276" max="11276" width="14.42578125" style="66" bestFit="1" customWidth="1"/>
    <col min="11277" max="11520" width="9.140625" style="66"/>
    <col min="11521" max="11521" width="17.28515625" style="66" customWidth="1"/>
    <col min="11522" max="11522" width="5.7109375" style="66" customWidth="1"/>
    <col min="11523" max="11523" width="20" style="66" customWidth="1"/>
    <col min="11524" max="11524" width="5.7109375" style="66" customWidth="1"/>
    <col min="11525" max="11525" width="14.42578125" style="66" customWidth="1"/>
    <col min="11526" max="11526" width="5.7109375" style="66" customWidth="1"/>
    <col min="11527" max="11527" width="11.42578125" style="66" customWidth="1"/>
    <col min="11528" max="11528" width="5.7109375" style="66" customWidth="1"/>
    <col min="11529" max="11529" width="14.5703125" style="66" bestFit="1" customWidth="1"/>
    <col min="11530" max="11531" width="9.140625" style="66"/>
    <col min="11532" max="11532" width="14.42578125" style="66" bestFit="1" customWidth="1"/>
    <col min="11533" max="11776" width="9.140625" style="66"/>
    <col min="11777" max="11777" width="17.28515625" style="66" customWidth="1"/>
    <col min="11778" max="11778" width="5.7109375" style="66" customWidth="1"/>
    <col min="11779" max="11779" width="20" style="66" customWidth="1"/>
    <col min="11780" max="11780" width="5.7109375" style="66" customWidth="1"/>
    <col min="11781" max="11781" width="14.42578125" style="66" customWidth="1"/>
    <col min="11782" max="11782" width="5.7109375" style="66" customWidth="1"/>
    <col min="11783" max="11783" width="11.42578125" style="66" customWidth="1"/>
    <col min="11784" max="11784" width="5.7109375" style="66" customWidth="1"/>
    <col min="11785" max="11785" width="14.5703125" style="66" bestFit="1" customWidth="1"/>
    <col min="11786" max="11787" width="9.140625" style="66"/>
    <col min="11788" max="11788" width="14.42578125" style="66" bestFit="1" customWidth="1"/>
    <col min="11789" max="12032" width="9.140625" style="66"/>
    <col min="12033" max="12033" width="17.28515625" style="66" customWidth="1"/>
    <col min="12034" max="12034" width="5.7109375" style="66" customWidth="1"/>
    <col min="12035" max="12035" width="20" style="66" customWidth="1"/>
    <col min="12036" max="12036" width="5.7109375" style="66" customWidth="1"/>
    <col min="12037" max="12037" width="14.42578125" style="66" customWidth="1"/>
    <col min="12038" max="12038" width="5.7109375" style="66" customWidth="1"/>
    <col min="12039" max="12039" width="11.42578125" style="66" customWidth="1"/>
    <col min="12040" max="12040" width="5.7109375" style="66" customWidth="1"/>
    <col min="12041" max="12041" width="14.5703125" style="66" bestFit="1" customWidth="1"/>
    <col min="12042" max="12043" width="9.140625" style="66"/>
    <col min="12044" max="12044" width="14.42578125" style="66" bestFit="1" customWidth="1"/>
    <col min="12045" max="12288" width="9.140625" style="66"/>
    <col min="12289" max="12289" width="17.28515625" style="66" customWidth="1"/>
    <col min="12290" max="12290" width="5.7109375" style="66" customWidth="1"/>
    <col min="12291" max="12291" width="20" style="66" customWidth="1"/>
    <col min="12292" max="12292" width="5.7109375" style="66" customWidth="1"/>
    <col min="12293" max="12293" width="14.42578125" style="66" customWidth="1"/>
    <col min="12294" max="12294" width="5.7109375" style="66" customWidth="1"/>
    <col min="12295" max="12295" width="11.42578125" style="66" customWidth="1"/>
    <col min="12296" max="12296" width="5.7109375" style="66" customWidth="1"/>
    <col min="12297" max="12297" width="14.5703125" style="66" bestFit="1" customWidth="1"/>
    <col min="12298" max="12299" width="9.140625" style="66"/>
    <col min="12300" max="12300" width="14.42578125" style="66" bestFit="1" customWidth="1"/>
    <col min="12301" max="12544" width="9.140625" style="66"/>
    <col min="12545" max="12545" width="17.28515625" style="66" customWidth="1"/>
    <col min="12546" max="12546" width="5.7109375" style="66" customWidth="1"/>
    <col min="12547" max="12547" width="20" style="66" customWidth="1"/>
    <col min="12548" max="12548" width="5.7109375" style="66" customWidth="1"/>
    <col min="12549" max="12549" width="14.42578125" style="66" customWidth="1"/>
    <col min="12550" max="12550" width="5.7109375" style="66" customWidth="1"/>
    <col min="12551" max="12551" width="11.42578125" style="66" customWidth="1"/>
    <col min="12552" max="12552" width="5.7109375" style="66" customWidth="1"/>
    <col min="12553" max="12553" width="14.5703125" style="66" bestFit="1" customWidth="1"/>
    <col min="12554" max="12555" width="9.140625" style="66"/>
    <col min="12556" max="12556" width="14.42578125" style="66" bestFit="1" customWidth="1"/>
    <col min="12557" max="12800" width="9.140625" style="66"/>
    <col min="12801" max="12801" width="17.28515625" style="66" customWidth="1"/>
    <col min="12802" max="12802" width="5.7109375" style="66" customWidth="1"/>
    <col min="12803" max="12803" width="20" style="66" customWidth="1"/>
    <col min="12804" max="12804" width="5.7109375" style="66" customWidth="1"/>
    <col min="12805" max="12805" width="14.42578125" style="66" customWidth="1"/>
    <col min="12806" max="12806" width="5.7109375" style="66" customWidth="1"/>
    <col min="12807" max="12807" width="11.42578125" style="66" customWidth="1"/>
    <col min="12808" max="12808" width="5.7109375" style="66" customWidth="1"/>
    <col min="12809" max="12809" width="14.5703125" style="66" bestFit="1" customWidth="1"/>
    <col min="12810" max="12811" width="9.140625" style="66"/>
    <col min="12812" max="12812" width="14.42578125" style="66" bestFit="1" customWidth="1"/>
    <col min="12813" max="13056" width="9.140625" style="66"/>
    <col min="13057" max="13057" width="17.28515625" style="66" customWidth="1"/>
    <col min="13058" max="13058" width="5.7109375" style="66" customWidth="1"/>
    <col min="13059" max="13059" width="20" style="66" customWidth="1"/>
    <col min="13060" max="13060" width="5.7109375" style="66" customWidth="1"/>
    <col min="13061" max="13061" width="14.42578125" style="66" customWidth="1"/>
    <col min="13062" max="13062" width="5.7109375" style="66" customWidth="1"/>
    <col min="13063" max="13063" width="11.42578125" style="66" customWidth="1"/>
    <col min="13064" max="13064" width="5.7109375" style="66" customWidth="1"/>
    <col min="13065" max="13065" width="14.5703125" style="66" bestFit="1" customWidth="1"/>
    <col min="13066" max="13067" width="9.140625" style="66"/>
    <col min="13068" max="13068" width="14.42578125" style="66" bestFit="1" customWidth="1"/>
    <col min="13069" max="13312" width="9.140625" style="66"/>
    <col min="13313" max="13313" width="17.28515625" style="66" customWidth="1"/>
    <col min="13314" max="13314" width="5.7109375" style="66" customWidth="1"/>
    <col min="13315" max="13315" width="20" style="66" customWidth="1"/>
    <col min="13316" max="13316" width="5.7109375" style="66" customWidth="1"/>
    <col min="13317" max="13317" width="14.42578125" style="66" customWidth="1"/>
    <col min="13318" max="13318" width="5.7109375" style="66" customWidth="1"/>
    <col min="13319" max="13319" width="11.42578125" style="66" customWidth="1"/>
    <col min="13320" max="13320" width="5.7109375" style="66" customWidth="1"/>
    <col min="13321" max="13321" width="14.5703125" style="66" bestFit="1" customWidth="1"/>
    <col min="13322" max="13323" width="9.140625" style="66"/>
    <col min="13324" max="13324" width="14.42578125" style="66" bestFit="1" customWidth="1"/>
    <col min="13325" max="13568" width="9.140625" style="66"/>
    <col min="13569" max="13569" width="17.28515625" style="66" customWidth="1"/>
    <col min="13570" max="13570" width="5.7109375" style="66" customWidth="1"/>
    <col min="13571" max="13571" width="20" style="66" customWidth="1"/>
    <col min="13572" max="13572" width="5.7109375" style="66" customWidth="1"/>
    <col min="13573" max="13573" width="14.42578125" style="66" customWidth="1"/>
    <col min="13574" max="13574" width="5.7109375" style="66" customWidth="1"/>
    <col min="13575" max="13575" width="11.42578125" style="66" customWidth="1"/>
    <col min="13576" max="13576" width="5.7109375" style="66" customWidth="1"/>
    <col min="13577" max="13577" width="14.5703125" style="66" bestFit="1" customWidth="1"/>
    <col min="13578" max="13579" width="9.140625" style="66"/>
    <col min="13580" max="13580" width="14.42578125" style="66" bestFit="1" customWidth="1"/>
    <col min="13581" max="13824" width="9.140625" style="66"/>
    <col min="13825" max="13825" width="17.28515625" style="66" customWidth="1"/>
    <col min="13826" max="13826" width="5.7109375" style="66" customWidth="1"/>
    <col min="13827" max="13827" width="20" style="66" customWidth="1"/>
    <col min="13828" max="13828" width="5.7109375" style="66" customWidth="1"/>
    <col min="13829" max="13829" width="14.42578125" style="66" customWidth="1"/>
    <col min="13830" max="13830" width="5.7109375" style="66" customWidth="1"/>
    <col min="13831" max="13831" width="11.42578125" style="66" customWidth="1"/>
    <col min="13832" max="13832" width="5.7109375" style="66" customWidth="1"/>
    <col min="13833" max="13833" width="14.5703125" style="66" bestFit="1" customWidth="1"/>
    <col min="13834" max="13835" width="9.140625" style="66"/>
    <col min="13836" max="13836" width="14.42578125" style="66" bestFit="1" customWidth="1"/>
    <col min="13837" max="14080" width="9.140625" style="66"/>
    <col min="14081" max="14081" width="17.28515625" style="66" customWidth="1"/>
    <col min="14082" max="14082" width="5.7109375" style="66" customWidth="1"/>
    <col min="14083" max="14083" width="20" style="66" customWidth="1"/>
    <col min="14084" max="14084" width="5.7109375" style="66" customWidth="1"/>
    <col min="14085" max="14085" width="14.42578125" style="66" customWidth="1"/>
    <col min="14086" max="14086" width="5.7109375" style="66" customWidth="1"/>
    <col min="14087" max="14087" width="11.42578125" style="66" customWidth="1"/>
    <col min="14088" max="14088" width="5.7109375" style="66" customWidth="1"/>
    <col min="14089" max="14089" width="14.5703125" style="66" bestFit="1" customWidth="1"/>
    <col min="14090" max="14091" width="9.140625" style="66"/>
    <col min="14092" max="14092" width="14.42578125" style="66" bestFit="1" customWidth="1"/>
    <col min="14093" max="14336" width="9.140625" style="66"/>
    <col min="14337" max="14337" width="17.28515625" style="66" customWidth="1"/>
    <col min="14338" max="14338" width="5.7109375" style="66" customWidth="1"/>
    <col min="14339" max="14339" width="20" style="66" customWidth="1"/>
    <col min="14340" max="14340" width="5.7109375" style="66" customWidth="1"/>
    <col min="14341" max="14341" width="14.42578125" style="66" customWidth="1"/>
    <col min="14342" max="14342" width="5.7109375" style="66" customWidth="1"/>
    <col min="14343" max="14343" width="11.42578125" style="66" customWidth="1"/>
    <col min="14344" max="14344" width="5.7109375" style="66" customWidth="1"/>
    <col min="14345" max="14345" width="14.5703125" style="66" bestFit="1" customWidth="1"/>
    <col min="14346" max="14347" width="9.140625" style="66"/>
    <col min="14348" max="14348" width="14.42578125" style="66" bestFit="1" customWidth="1"/>
    <col min="14349" max="14592" width="9.140625" style="66"/>
    <col min="14593" max="14593" width="17.28515625" style="66" customWidth="1"/>
    <col min="14594" max="14594" width="5.7109375" style="66" customWidth="1"/>
    <col min="14595" max="14595" width="20" style="66" customWidth="1"/>
    <col min="14596" max="14596" width="5.7109375" style="66" customWidth="1"/>
    <col min="14597" max="14597" width="14.42578125" style="66" customWidth="1"/>
    <col min="14598" max="14598" width="5.7109375" style="66" customWidth="1"/>
    <col min="14599" max="14599" width="11.42578125" style="66" customWidth="1"/>
    <col min="14600" max="14600" width="5.7109375" style="66" customWidth="1"/>
    <col min="14601" max="14601" width="14.5703125" style="66" bestFit="1" customWidth="1"/>
    <col min="14602" max="14603" width="9.140625" style="66"/>
    <col min="14604" max="14604" width="14.42578125" style="66" bestFit="1" customWidth="1"/>
    <col min="14605" max="14848" width="9.140625" style="66"/>
    <col min="14849" max="14849" width="17.28515625" style="66" customWidth="1"/>
    <col min="14850" max="14850" width="5.7109375" style="66" customWidth="1"/>
    <col min="14851" max="14851" width="20" style="66" customWidth="1"/>
    <col min="14852" max="14852" width="5.7109375" style="66" customWidth="1"/>
    <col min="14853" max="14853" width="14.42578125" style="66" customWidth="1"/>
    <col min="14854" max="14854" width="5.7109375" style="66" customWidth="1"/>
    <col min="14855" max="14855" width="11.42578125" style="66" customWidth="1"/>
    <col min="14856" max="14856" width="5.7109375" style="66" customWidth="1"/>
    <col min="14857" max="14857" width="14.5703125" style="66" bestFit="1" customWidth="1"/>
    <col min="14858" max="14859" width="9.140625" style="66"/>
    <col min="14860" max="14860" width="14.42578125" style="66" bestFit="1" customWidth="1"/>
    <col min="14861" max="15104" width="9.140625" style="66"/>
    <col min="15105" max="15105" width="17.28515625" style="66" customWidth="1"/>
    <col min="15106" max="15106" width="5.7109375" style="66" customWidth="1"/>
    <col min="15107" max="15107" width="20" style="66" customWidth="1"/>
    <col min="15108" max="15108" width="5.7109375" style="66" customWidth="1"/>
    <col min="15109" max="15109" width="14.42578125" style="66" customWidth="1"/>
    <col min="15110" max="15110" width="5.7109375" style="66" customWidth="1"/>
    <col min="15111" max="15111" width="11.42578125" style="66" customWidth="1"/>
    <col min="15112" max="15112" width="5.7109375" style="66" customWidth="1"/>
    <col min="15113" max="15113" width="14.5703125" style="66" bestFit="1" customWidth="1"/>
    <col min="15114" max="15115" width="9.140625" style="66"/>
    <col min="15116" max="15116" width="14.42578125" style="66" bestFit="1" customWidth="1"/>
    <col min="15117" max="15360" width="9.140625" style="66"/>
    <col min="15361" max="15361" width="17.28515625" style="66" customWidth="1"/>
    <col min="15362" max="15362" width="5.7109375" style="66" customWidth="1"/>
    <col min="15363" max="15363" width="20" style="66" customWidth="1"/>
    <col min="15364" max="15364" width="5.7109375" style="66" customWidth="1"/>
    <col min="15365" max="15365" width="14.42578125" style="66" customWidth="1"/>
    <col min="15366" max="15366" width="5.7109375" style="66" customWidth="1"/>
    <col min="15367" max="15367" width="11.42578125" style="66" customWidth="1"/>
    <col min="15368" max="15368" width="5.7109375" style="66" customWidth="1"/>
    <col min="15369" max="15369" width="14.5703125" style="66" bestFit="1" customWidth="1"/>
    <col min="15370" max="15371" width="9.140625" style="66"/>
    <col min="15372" max="15372" width="14.42578125" style="66" bestFit="1" customWidth="1"/>
    <col min="15373" max="15616" width="9.140625" style="66"/>
    <col min="15617" max="15617" width="17.28515625" style="66" customWidth="1"/>
    <col min="15618" max="15618" width="5.7109375" style="66" customWidth="1"/>
    <col min="15619" max="15619" width="20" style="66" customWidth="1"/>
    <col min="15620" max="15620" width="5.7109375" style="66" customWidth="1"/>
    <col min="15621" max="15621" width="14.42578125" style="66" customWidth="1"/>
    <col min="15622" max="15622" width="5.7109375" style="66" customWidth="1"/>
    <col min="15623" max="15623" width="11.42578125" style="66" customWidth="1"/>
    <col min="15624" max="15624" width="5.7109375" style="66" customWidth="1"/>
    <col min="15625" max="15625" width="14.5703125" style="66" bestFit="1" customWidth="1"/>
    <col min="15626" max="15627" width="9.140625" style="66"/>
    <col min="15628" max="15628" width="14.42578125" style="66" bestFit="1" customWidth="1"/>
    <col min="15629" max="15872" width="9.140625" style="66"/>
    <col min="15873" max="15873" width="17.28515625" style="66" customWidth="1"/>
    <col min="15874" max="15874" width="5.7109375" style="66" customWidth="1"/>
    <col min="15875" max="15875" width="20" style="66" customWidth="1"/>
    <col min="15876" max="15876" width="5.7109375" style="66" customWidth="1"/>
    <col min="15877" max="15877" width="14.42578125" style="66" customWidth="1"/>
    <col min="15878" max="15878" width="5.7109375" style="66" customWidth="1"/>
    <col min="15879" max="15879" width="11.42578125" style="66" customWidth="1"/>
    <col min="15880" max="15880" width="5.7109375" style="66" customWidth="1"/>
    <col min="15881" max="15881" width="14.5703125" style="66" bestFit="1" customWidth="1"/>
    <col min="15882" max="15883" width="9.140625" style="66"/>
    <col min="15884" max="15884" width="14.42578125" style="66" bestFit="1" customWidth="1"/>
    <col min="15885" max="16128" width="9.140625" style="66"/>
    <col min="16129" max="16129" width="17.28515625" style="66" customWidth="1"/>
    <col min="16130" max="16130" width="5.7109375" style="66" customWidth="1"/>
    <col min="16131" max="16131" width="20" style="66" customWidth="1"/>
    <col min="16132" max="16132" width="5.7109375" style="66" customWidth="1"/>
    <col min="16133" max="16133" width="14.42578125" style="66" customWidth="1"/>
    <col min="16134" max="16134" width="5.7109375" style="66" customWidth="1"/>
    <col min="16135" max="16135" width="11.42578125" style="66" customWidth="1"/>
    <col min="16136" max="16136" width="5.7109375" style="66" customWidth="1"/>
    <col min="16137" max="16137" width="14.5703125" style="66" bestFit="1" customWidth="1"/>
    <col min="16138" max="16139" width="9.140625" style="66"/>
    <col min="16140" max="16140" width="14.42578125" style="66" bestFit="1" customWidth="1"/>
    <col min="16141" max="16384" width="9.140625" style="66"/>
  </cols>
  <sheetData>
    <row r="1" spans="1:12" ht="15" x14ac:dyDescent="0.25">
      <c r="A1" s="210" t="s">
        <v>155</v>
      </c>
      <c r="B1" s="211"/>
      <c r="C1" s="211"/>
      <c r="D1" s="211"/>
      <c r="E1" s="211"/>
      <c r="F1" s="211"/>
      <c r="G1" s="211"/>
      <c r="H1" s="211"/>
      <c r="I1" s="211"/>
      <c r="J1" s="212"/>
      <c r="K1" s="212"/>
      <c r="L1" s="278"/>
    </row>
    <row r="2" spans="1:12" ht="15" x14ac:dyDescent="0.25">
      <c r="A2" s="210" t="s">
        <v>154</v>
      </c>
      <c r="B2" s="211"/>
      <c r="C2" s="211"/>
      <c r="D2" s="211"/>
      <c r="E2" s="211"/>
      <c r="F2" s="211"/>
      <c r="G2" s="211"/>
      <c r="H2" s="211"/>
      <c r="I2" s="211"/>
      <c r="J2" s="212"/>
      <c r="K2" s="212"/>
    </row>
    <row r="3" spans="1:12" ht="15" x14ac:dyDescent="0.25">
      <c r="A3" s="210" t="s">
        <v>153</v>
      </c>
      <c r="B3" s="211"/>
      <c r="C3" s="211"/>
      <c r="D3" s="211"/>
      <c r="E3" s="211"/>
      <c r="F3" s="211"/>
      <c r="G3" s="211"/>
      <c r="H3" s="211"/>
      <c r="I3" s="211"/>
      <c r="J3" s="212"/>
      <c r="K3" s="212"/>
    </row>
    <row r="4" spans="1:12" ht="15" x14ac:dyDescent="0.25">
      <c r="A4" s="213">
        <v>45657</v>
      </c>
      <c r="B4" s="211"/>
      <c r="C4" s="211"/>
      <c r="D4" s="211"/>
      <c r="E4" s="211"/>
      <c r="F4" s="211"/>
      <c r="G4" s="211"/>
      <c r="H4" s="211"/>
      <c r="I4" s="211"/>
      <c r="J4" s="212"/>
      <c r="K4" s="212"/>
    </row>
    <row r="5" spans="1:12" ht="15" x14ac:dyDescent="0.25">
      <c r="A5" s="214" t="s">
        <v>152</v>
      </c>
      <c r="B5" s="211"/>
      <c r="C5" s="211"/>
      <c r="D5" s="211"/>
      <c r="E5" s="211"/>
      <c r="F5" s="211"/>
      <c r="G5" s="211"/>
      <c r="H5" s="211"/>
      <c r="I5" s="211"/>
      <c r="J5" s="212"/>
      <c r="K5" s="212"/>
    </row>
    <row r="6" spans="1:12" ht="15" x14ac:dyDescent="0.25">
      <c r="A6" s="215"/>
      <c r="B6" s="211"/>
      <c r="C6" s="211"/>
      <c r="D6" s="211"/>
      <c r="E6" s="211"/>
      <c r="F6" s="211"/>
      <c r="G6" s="211"/>
      <c r="H6" s="211"/>
      <c r="I6" s="211"/>
      <c r="J6" s="212"/>
      <c r="K6" s="212"/>
    </row>
    <row r="7" spans="1:12" ht="15" x14ac:dyDescent="0.25">
      <c r="A7" s="216" t="s">
        <v>151</v>
      </c>
      <c r="B7" s="212"/>
      <c r="C7" s="212"/>
      <c r="D7" s="212"/>
      <c r="E7" s="217" t="s">
        <v>150</v>
      </c>
      <c r="F7" s="212"/>
      <c r="G7" s="212"/>
      <c r="H7" s="212"/>
      <c r="I7" s="212"/>
      <c r="J7" s="212"/>
      <c r="K7" s="212"/>
    </row>
    <row r="8" spans="1:12" ht="15" x14ac:dyDescent="0.25">
      <c r="A8" s="212"/>
      <c r="B8" s="212"/>
      <c r="C8" s="212"/>
      <c r="D8" s="212"/>
      <c r="E8" s="217" t="s">
        <v>149</v>
      </c>
      <c r="F8" s="212"/>
      <c r="G8" s="217" t="s">
        <v>148</v>
      </c>
      <c r="H8" s="212"/>
      <c r="I8" s="212"/>
      <c r="J8" s="212"/>
      <c r="K8" s="212"/>
    </row>
    <row r="9" spans="1:12" ht="15" x14ac:dyDescent="0.25">
      <c r="A9" s="218" t="s">
        <v>147</v>
      </c>
      <c r="B9" s="212"/>
      <c r="C9" s="218"/>
      <c r="D9" s="212"/>
      <c r="E9" s="218" t="s">
        <v>146</v>
      </c>
      <c r="F9" s="212"/>
      <c r="G9" s="218" t="s">
        <v>145</v>
      </c>
      <c r="H9" s="212"/>
      <c r="I9" s="218" t="s">
        <v>144</v>
      </c>
      <c r="J9" s="212"/>
      <c r="K9" s="212"/>
    </row>
    <row r="10" spans="1:12" ht="15" x14ac:dyDescent="0.25">
      <c r="A10" s="212"/>
      <c r="B10" s="212"/>
      <c r="C10" s="212"/>
      <c r="D10" s="212"/>
      <c r="E10" s="212"/>
      <c r="F10" s="212"/>
      <c r="G10" s="212"/>
      <c r="H10" s="212"/>
      <c r="I10" s="212"/>
      <c r="J10" s="212"/>
      <c r="K10" s="212"/>
    </row>
    <row r="11" spans="1:12" ht="15" x14ac:dyDescent="0.25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</row>
    <row r="12" spans="1:12" ht="15" x14ac:dyDescent="0.25">
      <c r="A12" s="212" t="s">
        <v>143</v>
      </c>
      <c r="B12" s="212"/>
      <c r="C12" s="193">
        <v>7238795443</v>
      </c>
      <c r="D12" s="212"/>
      <c r="E12" s="219">
        <f>C12/C20</f>
        <v>0.47505573520370453</v>
      </c>
      <c r="F12" s="212"/>
      <c r="G12" s="220">
        <v>4.2959999999999998E-2</v>
      </c>
      <c r="H12" s="212"/>
      <c r="I12" s="219">
        <f>ROUND(E12*G12,5)+0.001%</f>
        <v>2.0420000000000001E-2</v>
      </c>
      <c r="J12" s="212"/>
      <c r="K12" s="212"/>
    </row>
    <row r="13" spans="1:12" ht="15" x14ac:dyDescent="0.25">
      <c r="A13" s="212"/>
      <c r="B13" s="212"/>
      <c r="C13" s="196"/>
      <c r="D13" s="212"/>
      <c r="E13" s="219"/>
      <c r="F13" s="212"/>
      <c r="G13" s="221"/>
      <c r="H13" s="212"/>
      <c r="I13" s="219"/>
      <c r="J13" s="212"/>
      <c r="K13" s="212"/>
    </row>
    <row r="14" spans="1:12" ht="15" x14ac:dyDescent="0.25">
      <c r="A14" s="212" t="s">
        <v>142</v>
      </c>
      <c r="B14" s="212"/>
      <c r="C14" s="198">
        <v>0</v>
      </c>
      <c r="D14" s="212"/>
      <c r="E14" s="219">
        <f>+C14/C20</f>
        <v>0</v>
      </c>
      <c r="F14" s="212"/>
      <c r="G14" s="221">
        <v>0</v>
      </c>
      <c r="H14" s="212"/>
      <c r="I14" s="219">
        <f>ROUND(E14*G14,5)</f>
        <v>0</v>
      </c>
      <c r="J14" s="212"/>
      <c r="K14" s="212"/>
    </row>
    <row r="15" spans="1:12" ht="15" x14ac:dyDescent="0.25">
      <c r="A15" s="212"/>
      <c r="B15" s="212"/>
      <c r="C15" s="199"/>
      <c r="D15" s="212"/>
      <c r="E15" s="219"/>
      <c r="F15" s="212"/>
      <c r="G15" s="219"/>
      <c r="H15" s="212"/>
      <c r="I15" s="219"/>
      <c r="J15" s="212"/>
      <c r="K15" s="212"/>
    </row>
    <row r="16" spans="1:12" ht="15" x14ac:dyDescent="0.25">
      <c r="A16" s="212" t="s">
        <v>141</v>
      </c>
      <c r="B16" s="212"/>
      <c r="C16" s="198">
        <v>81827509</v>
      </c>
      <c r="D16" s="212"/>
      <c r="E16" s="219">
        <f>C16/C20</f>
        <v>5.3700408795876444E-3</v>
      </c>
      <c r="F16" s="212"/>
      <c r="G16" s="221">
        <v>4.1799999999999997E-2</v>
      </c>
      <c r="H16" s="212"/>
      <c r="I16" s="219">
        <f>ROUND(E16*G16,5)</f>
        <v>2.2000000000000001E-4</v>
      </c>
      <c r="J16" s="212"/>
      <c r="K16" s="212"/>
    </row>
    <row r="17" spans="1:15" ht="15" x14ac:dyDescent="0.25">
      <c r="A17" s="212"/>
      <c r="B17" s="212"/>
      <c r="C17" s="199"/>
      <c r="D17" s="212"/>
      <c r="E17" s="219"/>
      <c r="F17" s="212"/>
      <c r="G17" s="219"/>
      <c r="H17" s="212"/>
      <c r="I17" s="219"/>
      <c r="J17" s="212"/>
      <c r="K17" s="212"/>
    </row>
    <row r="18" spans="1:15" ht="15" x14ac:dyDescent="0.25">
      <c r="A18" s="212" t="s">
        <v>140</v>
      </c>
      <c r="B18" s="212"/>
      <c r="C18" s="200">
        <v>7917158442</v>
      </c>
      <c r="D18" s="212"/>
      <c r="E18" s="222">
        <f>C18/C20</f>
        <v>0.51957422391670782</v>
      </c>
      <c r="F18" s="212"/>
      <c r="G18" s="221">
        <v>9.5000000000000001E-2</v>
      </c>
      <c r="H18" s="212"/>
      <c r="I18" s="222">
        <f>ROUND(E18*G18,5)</f>
        <v>4.9360000000000001E-2</v>
      </c>
      <c r="J18" s="212"/>
      <c r="K18" s="212"/>
    </row>
    <row r="19" spans="1:15" ht="15" x14ac:dyDescent="0.25">
      <c r="A19" s="212"/>
      <c r="B19" s="212"/>
      <c r="C19" s="212"/>
      <c r="D19" s="212"/>
      <c r="E19" s="219"/>
      <c r="F19" s="212"/>
      <c r="G19" s="212"/>
      <c r="H19" s="212"/>
      <c r="I19" s="219"/>
      <c r="J19" s="212"/>
      <c r="K19" s="212"/>
    </row>
    <row r="20" spans="1:15" ht="15.75" thickBot="1" x14ac:dyDescent="0.3">
      <c r="A20" s="212" t="s">
        <v>139</v>
      </c>
      <c r="B20" s="212"/>
      <c r="C20" s="223">
        <f>SUM(C12:C18)</f>
        <v>15237781394</v>
      </c>
      <c r="D20" s="212"/>
      <c r="E20" s="224">
        <f>SUM(E12:E18)</f>
        <v>1</v>
      </c>
      <c r="F20" s="212"/>
      <c r="G20" s="212"/>
      <c r="H20" s="212"/>
      <c r="I20" s="224">
        <f>SUM(I12:I18)</f>
        <v>7.0000000000000007E-2</v>
      </c>
      <c r="J20" s="212"/>
      <c r="K20" s="212"/>
    </row>
    <row r="21" spans="1:15" ht="15.75" thickTop="1" x14ac:dyDescent="0.25">
      <c r="A21" s="212"/>
      <c r="B21" s="212"/>
      <c r="C21" s="225"/>
      <c r="D21" s="212"/>
      <c r="E21" s="212"/>
      <c r="F21" s="212"/>
      <c r="G21" s="212"/>
      <c r="H21" s="212"/>
      <c r="I21" s="212"/>
      <c r="J21" s="212"/>
      <c r="K21" s="212"/>
    </row>
    <row r="22" spans="1:15" ht="15" x14ac:dyDescent="0.25">
      <c r="A22" s="212"/>
      <c r="B22" s="212"/>
      <c r="C22" s="225"/>
      <c r="D22" s="212"/>
      <c r="E22" s="212"/>
      <c r="F22" s="212"/>
      <c r="G22" s="212"/>
      <c r="H22" s="212"/>
      <c r="I22" s="212"/>
      <c r="J22" s="212"/>
      <c r="K22" s="212"/>
      <c r="L22" s="68"/>
      <c r="M22" s="68"/>
      <c r="N22" s="68"/>
      <c r="O22" s="68"/>
    </row>
    <row r="23" spans="1:15" ht="15" x14ac:dyDescent="0.25">
      <c r="A23" s="226" t="s">
        <v>138</v>
      </c>
      <c r="B23" s="212"/>
      <c r="C23" s="212"/>
      <c r="D23" s="212"/>
      <c r="E23" s="212"/>
      <c r="F23" s="212"/>
      <c r="G23" s="212"/>
      <c r="H23" s="212"/>
      <c r="I23" s="212"/>
      <c r="J23" s="212"/>
      <c r="K23" s="212"/>
    </row>
    <row r="24" spans="1:15" ht="15" x14ac:dyDescent="0.25">
      <c r="A24" s="212"/>
      <c r="B24" s="212"/>
      <c r="C24" s="212"/>
      <c r="D24" s="212"/>
      <c r="E24" s="212"/>
      <c r="F24" s="212"/>
      <c r="G24" s="212"/>
      <c r="H24" s="212"/>
      <c r="I24" s="212"/>
      <c r="J24" s="212"/>
      <c r="K24" s="212"/>
    </row>
    <row r="25" spans="1:15" ht="15" x14ac:dyDescent="0.25">
      <c r="A25" s="212" t="s">
        <v>137</v>
      </c>
      <c r="B25" s="212"/>
      <c r="C25" s="212"/>
      <c r="D25" s="212"/>
      <c r="E25" s="212"/>
      <c r="F25" s="212"/>
      <c r="G25" s="212"/>
      <c r="H25" s="212"/>
      <c r="I25" s="207">
        <f>1/I39</f>
        <v>1.3101399433841365</v>
      </c>
      <c r="J25" s="212"/>
      <c r="K25" s="212"/>
    </row>
    <row r="26" spans="1:15" ht="15" x14ac:dyDescent="0.25">
      <c r="A26" s="212" t="s">
        <v>272</v>
      </c>
      <c r="B26" s="212"/>
      <c r="C26" s="212"/>
      <c r="D26" s="212"/>
      <c r="E26" s="212"/>
      <c r="F26" s="212"/>
      <c r="G26" s="212"/>
      <c r="H26" s="212"/>
      <c r="I26" s="222">
        <f>I16+I18</f>
        <v>4.9579999999999999E-2</v>
      </c>
      <c r="J26" s="212"/>
      <c r="K26" s="212"/>
    </row>
    <row r="27" spans="1:15" ht="15" x14ac:dyDescent="0.25">
      <c r="A27" s="212" t="s">
        <v>136</v>
      </c>
      <c r="B27" s="212"/>
      <c r="C27" s="212"/>
      <c r="D27" s="212"/>
      <c r="E27" s="212"/>
      <c r="F27" s="212"/>
      <c r="G27" s="212"/>
      <c r="H27" s="212"/>
      <c r="I27" s="212">
        <f>I26*I25</f>
        <v>6.4956738392985491E-2</v>
      </c>
      <c r="J27" s="212"/>
      <c r="K27" s="212"/>
    </row>
    <row r="28" spans="1:15" ht="15" x14ac:dyDescent="0.25">
      <c r="A28" s="212" t="s">
        <v>135</v>
      </c>
      <c r="B28" s="212"/>
      <c r="C28" s="212"/>
      <c r="D28" s="212"/>
      <c r="E28" s="212"/>
      <c r="F28" s="212"/>
      <c r="G28" s="212"/>
      <c r="H28" s="212"/>
      <c r="I28" s="219">
        <f>I12+I14</f>
        <v>2.0420000000000001E-2</v>
      </c>
      <c r="J28" s="212"/>
      <c r="K28" s="212"/>
    </row>
    <row r="29" spans="1:15" ht="15" x14ac:dyDescent="0.25">
      <c r="A29" s="212"/>
      <c r="B29" s="212"/>
      <c r="C29" s="212"/>
      <c r="D29" s="212"/>
      <c r="E29" s="212"/>
      <c r="F29" s="212"/>
      <c r="G29" s="212"/>
      <c r="H29" s="212"/>
      <c r="I29" s="212"/>
      <c r="J29" s="212"/>
      <c r="K29" s="212"/>
    </row>
    <row r="30" spans="1:15" ht="15.75" thickBot="1" x14ac:dyDescent="0.3">
      <c r="A30" s="212" t="s">
        <v>138</v>
      </c>
      <c r="B30" s="212"/>
      <c r="C30" s="212"/>
      <c r="D30" s="212"/>
      <c r="E30" s="212"/>
      <c r="F30" s="212"/>
      <c r="G30" s="212"/>
      <c r="H30" s="212"/>
      <c r="I30" s="227">
        <f>I27+I28</f>
        <v>8.5376738392985485E-2</v>
      </c>
      <c r="J30" s="212"/>
      <c r="K30" s="212"/>
    </row>
    <row r="31" spans="1:15" ht="15.75" thickTop="1" x14ac:dyDescent="0.25">
      <c r="A31" s="212"/>
      <c r="B31" s="212"/>
      <c r="C31" s="212"/>
      <c r="D31" s="212"/>
      <c r="E31" s="212"/>
      <c r="F31" s="212"/>
      <c r="G31" s="212"/>
      <c r="H31" s="212"/>
      <c r="I31" s="212"/>
      <c r="J31" s="212"/>
      <c r="K31" s="212"/>
    </row>
    <row r="32" spans="1:15" ht="15" x14ac:dyDescent="0.25">
      <c r="A32" s="212"/>
      <c r="B32" s="212"/>
      <c r="C32" s="212"/>
      <c r="D32" s="212"/>
      <c r="E32" s="212"/>
      <c r="F32" s="212"/>
      <c r="G32" s="212"/>
      <c r="H32" s="212"/>
      <c r="I32" s="212"/>
      <c r="J32" s="212"/>
      <c r="K32" s="212"/>
    </row>
    <row r="33" spans="1:11" ht="15" x14ac:dyDescent="0.25">
      <c r="A33" s="212" t="s">
        <v>134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2"/>
    </row>
    <row r="34" spans="1:11" ht="15" x14ac:dyDescent="0.25">
      <c r="A34" s="212" t="s">
        <v>182</v>
      </c>
      <c r="B34" s="212"/>
      <c r="C34" s="212"/>
      <c r="D34" s="212"/>
      <c r="E34" s="212"/>
      <c r="F34" s="212"/>
      <c r="G34" s="212"/>
      <c r="H34" s="212"/>
      <c r="I34" s="228">
        <v>64387526.75</v>
      </c>
      <c r="J34" s="212"/>
      <c r="K34" s="212"/>
    </row>
    <row r="35" spans="1:11" ht="15" x14ac:dyDescent="0.25">
      <c r="A35" s="212" t="s">
        <v>183</v>
      </c>
      <c r="B35" s="212"/>
      <c r="C35" s="212"/>
      <c r="D35" s="212"/>
      <c r="E35" s="212"/>
      <c r="F35" s="212"/>
      <c r="G35" s="212"/>
      <c r="H35" s="217" t="s">
        <v>184</v>
      </c>
      <c r="I35" s="229">
        <v>652923208.10637331</v>
      </c>
      <c r="J35" s="212"/>
      <c r="K35" s="212"/>
    </row>
    <row r="36" spans="1:11" ht="15" x14ac:dyDescent="0.25">
      <c r="A36" s="212"/>
      <c r="B36" s="212"/>
      <c r="C36" s="212"/>
      <c r="D36" s="212"/>
      <c r="E36" s="212"/>
      <c r="F36" s="212"/>
      <c r="G36" s="212"/>
      <c r="H36" s="212"/>
      <c r="I36" s="228"/>
      <c r="J36" s="212"/>
      <c r="K36" s="212"/>
    </row>
    <row r="37" spans="1:11" ht="15" x14ac:dyDescent="0.25">
      <c r="A37" s="212" t="s">
        <v>185</v>
      </c>
      <c r="B37" s="212"/>
      <c r="C37" s="212"/>
      <c r="D37" s="212"/>
      <c r="E37" s="212"/>
      <c r="F37" s="212"/>
      <c r="G37" s="212"/>
      <c r="H37" s="212"/>
      <c r="I37" s="184">
        <v>0.23672276</v>
      </c>
      <c r="J37" s="212"/>
      <c r="K37" s="212"/>
    </row>
    <row r="38" spans="1:11" ht="15" x14ac:dyDescent="0.25">
      <c r="A38" s="212"/>
      <c r="B38" s="212"/>
      <c r="C38" s="212"/>
      <c r="D38" s="212"/>
      <c r="E38" s="212"/>
      <c r="F38" s="212"/>
      <c r="G38" s="212"/>
      <c r="H38" s="212"/>
      <c r="I38" s="184"/>
      <c r="J38" s="212"/>
      <c r="K38" s="212"/>
    </row>
    <row r="39" spans="1:11" ht="15" x14ac:dyDescent="0.25">
      <c r="A39" s="212" t="s">
        <v>133</v>
      </c>
      <c r="B39" s="212"/>
      <c r="C39" s="212"/>
      <c r="D39" s="212"/>
      <c r="E39" s="212"/>
      <c r="F39" s="212"/>
      <c r="G39" s="212"/>
      <c r="H39" s="212"/>
      <c r="I39" s="219">
        <f>1-I37</f>
        <v>0.76327723999999997</v>
      </c>
      <c r="J39" s="212"/>
      <c r="K39" s="212"/>
    </row>
    <row r="40" spans="1:11" ht="15" x14ac:dyDescent="0.25">
      <c r="A40" s="212"/>
      <c r="B40" s="212"/>
      <c r="C40" s="212"/>
      <c r="D40" s="212"/>
      <c r="E40" s="212"/>
      <c r="F40" s="212"/>
      <c r="G40" s="212"/>
      <c r="H40" s="212"/>
      <c r="I40" s="212"/>
      <c r="J40" s="212"/>
      <c r="K40" s="212"/>
    </row>
    <row r="41" spans="1:11" ht="15" x14ac:dyDescent="0.25">
      <c r="A41" s="212"/>
      <c r="B41" s="212"/>
      <c r="C41" s="212"/>
      <c r="D41" s="212"/>
      <c r="E41" s="212"/>
      <c r="F41" s="212"/>
      <c r="G41" s="212"/>
      <c r="H41" s="212"/>
      <c r="I41" s="212"/>
      <c r="J41" s="212"/>
      <c r="K41" s="212"/>
    </row>
    <row r="42" spans="1:11" ht="15" x14ac:dyDescent="0.25">
      <c r="A42" s="212"/>
      <c r="B42" s="212"/>
      <c r="C42" s="212"/>
      <c r="D42" s="212"/>
      <c r="E42" s="212"/>
      <c r="F42" s="212"/>
      <c r="G42" s="212"/>
      <c r="H42" s="212"/>
      <c r="I42" s="212"/>
      <c r="J42" s="212"/>
      <c r="K42" s="212"/>
    </row>
    <row r="43" spans="1:11" ht="15" x14ac:dyDescent="0.25">
      <c r="A43" s="212"/>
      <c r="B43" s="212"/>
      <c r="C43" s="212"/>
      <c r="D43" s="212"/>
      <c r="E43" s="212"/>
      <c r="F43" s="212"/>
      <c r="G43" s="212"/>
      <c r="H43" s="212"/>
      <c r="I43" s="212"/>
      <c r="J43" s="212"/>
      <c r="K43" s="212"/>
    </row>
    <row r="44" spans="1:11" ht="15" x14ac:dyDescent="0.25">
      <c r="A44" s="212"/>
      <c r="B44" s="212"/>
      <c r="C44" s="212"/>
      <c r="D44" s="212"/>
      <c r="E44" s="212"/>
      <c r="F44" s="212"/>
      <c r="G44" s="212"/>
      <c r="H44" s="212"/>
      <c r="I44" s="212"/>
      <c r="J44" s="212"/>
      <c r="K44" s="212"/>
    </row>
    <row r="45" spans="1:11" ht="15" x14ac:dyDescent="0.25">
      <c r="A45" s="212"/>
      <c r="B45" s="212"/>
      <c r="C45" s="212"/>
      <c r="D45" s="212"/>
      <c r="E45" s="212"/>
      <c r="F45" s="212"/>
      <c r="G45" s="212"/>
      <c r="H45" s="212"/>
      <c r="I45" s="212"/>
      <c r="J45" s="212"/>
      <c r="K45" s="212"/>
    </row>
    <row r="46" spans="1:11" ht="15" x14ac:dyDescent="0.25">
      <c r="A46" s="212"/>
      <c r="B46" s="212"/>
      <c r="C46" s="212"/>
      <c r="D46" s="212"/>
      <c r="E46" s="212"/>
      <c r="F46" s="212"/>
      <c r="G46" s="212"/>
      <c r="H46" s="212"/>
      <c r="I46" s="212"/>
      <c r="J46" s="212"/>
      <c r="K46" s="212"/>
    </row>
    <row r="47" spans="1:11" ht="15" x14ac:dyDescent="0.25">
      <c r="A47" s="212"/>
      <c r="B47" s="212"/>
      <c r="C47" s="212"/>
      <c r="D47" s="212"/>
      <c r="E47" s="212"/>
      <c r="F47" s="212"/>
      <c r="G47" s="212"/>
      <c r="H47" s="212"/>
      <c r="I47" s="212"/>
      <c r="J47" s="212"/>
      <c r="K47" s="212"/>
    </row>
    <row r="48" spans="1:11" ht="15" x14ac:dyDescent="0.25">
      <c r="A48" s="212"/>
      <c r="B48" s="212"/>
      <c r="C48" s="212"/>
      <c r="D48" s="212"/>
      <c r="E48" s="212"/>
      <c r="F48" s="212"/>
      <c r="G48" s="212"/>
      <c r="H48" s="212"/>
      <c r="I48" s="212"/>
      <c r="J48" s="212"/>
      <c r="K48" s="212"/>
    </row>
    <row r="49" spans="1:11" ht="15" x14ac:dyDescent="0.25">
      <c r="A49" s="212"/>
      <c r="B49" s="212"/>
      <c r="C49" s="212"/>
      <c r="D49" s="212"/>
      <c r="E49" s="212"/>
      <c r="F49" s="212"/>
      <c r="G49" s="212"/>
      <c r="H49" s="212"/>
      <c r="I49" s="212"/>
      <c r="J49" s="212"/>
      <c r="K49" s="212"/>
    </row>
    <row r="50" spans="1:11" ht="15" x14ac:dyDescent="0.25">
      <c r="A50" s="212"/>
      <c r="B50" s="212"/>
      <c r="C50" s="212"/>
      <c r="D50" s="212"/>
      <c r="E50" s="212"/>
      <c r="F50" s="212"/>
      <c r="G50" s="212"/>
      <c r="H50" s="212"/>
      <c r="I50" s="212"/>
      <c r="J50" s="212"/>
      <c r="K50" s="212"/>
    </row>
    <row r="51" spans="1:11" ht="15" x14ac:dyDescent="0.25">
      <c r="A51" s="212"/>
      <c r="B51" s="212"/>
      <c r="C51" s="212"/>
      <c r="D51" s="212"/>
      <c r="E51" s="212"/>
      <c r="F51" s="212"/>
      <c r="G51" s="212"/>
      <c r="H51" s="212"/>
      <c r="I51" s="212"/>
      <c r="J51" s="212"/>
      <c r="K51" s="212"/>
    </row>
    <row r="52" spans="1:11" ht="15" x14ac:dyDescent="0.25">
      <c r="A52" s="212"/>
      <c r="B52" s="212"/>
      <c r="C52" s="212"/>
      <c r="D52" s="212"/>
      <c r="E52" s="212"/>
      <c r="F52" s="212"/>
      <c r="G52" s="212"/>
      <c r="H52" s="212"/>
      <c r="I52" s="212"/>
      <c r="J52" s="212"/>
      <c r="K52" s="212"/>
    </row>
    <row r="53" spans="1:11" ht="15" x14ac:dyDescent="0.25">
      <c r="A53" s="212"/>
      <c r="B53" s="212"/>
      <c r="C53" s="212"/>
      <c r="D53" s="212"/>
      <c r="E53" s="212"/>
      <c r="F53" s="212"/>
      <c r="G53" s="212"/>
      <c r="H53" s="212"/>
      <c r="I53" s="212"/>
      <c r="J53" s="212"/>
      <c r="K53" s="212"/>
    </row>
    <row r="54" spans="1:11" ht="15" x14ac:dyDescent="0.25">
      <c r="A54" s="212"/>
      <c r="B54" s="212"/>
      <c r="C54" s="212"/>
      <c r="D54" s="212"/>
      <c r="E54" s="212"/>
      <c r="F54" s="212"/>
      <c r="G54" s="212"/>
      <c r="H54" s="212"/>
      <c r="I54" s="212"/>
      <c r="J54" s="212"/>
      <c r="K54" s="212"/>
    </row>
    <row r="55" spans="1:11" ht="15" x14ac:dyDescent="0.25">
      <c r="A55" s="212"/>
      <c r="B55" s="212"/>
      <c r="C55" s="212"/>
      <c r="D55" s="212"/>
      <c r="E55" s="212"/>
      <c r="F55" s="212"/>
      <c r="G55" s="212"/>
      <c r="H55" s="212"/>
      <c r="I55" s="212"/>
      <c r="J55" s="212"/>
      <c r="K55" s="212"/>
    </row>
    <row r="56" spans="1:11" ht="15" x14ac:dyDescent="0.25">
      <c r="A56" s="212"/>
      <c r="B56" s="212"/>
      <c r="C56" s="212"/>
      <c r="D56" s="212"/>
      <c r="E56" s="212"/>
      <c r="F56" s="212"/>
      <c r="G56" s="212"/>
      <c r="H56" s="212"/>
      <c r="I56" s="212"/>
      <c r="J56" s="212"/>
      <c r="K56" s="212"/>
    </row>
    <row r="57" spans="1:11" ht="15" x14ac:dyDescent="0.25">
      <c r="A57" s="212"/>
      <c r="B57" s="212"/>
      <c r="C57" s="212"/>
      <c r="D57" s="212"/>
      <c r="E57" s="212"/>
      <c r="F57" s="212"/>
      <c r="G57" s="212"/>
      <c r="H57" s="212"/>
      <c r="I57" s="212"/>
      <c r="J57" s="212"/>
      <c r="K57" s="212"/>
    </row>
    <row r="58" spans="1:11" ht="15" x14ac:dyDescent="0.25">
      <c r="A58" s="212"/>
      <c r="B58" s="212"/>
      <c r="C58" s="212"/>
      <c r="D58" s="212"/>
      <c r="E58" s="212"/>
      <c r="F58" s="212"/>
      <c r="G58" s="212"/>
      <c r="H58" s="212"/>
      <c r="I58" s="212"/>
      <c r="J58" s="212"/>
      <c r="K58" s="212"/>
    </row>
    <row r="59" spans="1:11" ht="15" x14ac:dyDescent="0.25">
      <c r="A59" s="212"/>
      <c r="B59" s="212"/>
      <c r="C59" s="212"/>
      <c r="D59" s="212"/>
      <c r="E59" s="212"/>
      <c r="F59" s="212"/>
      <c r="G59" s="212"/>
      <c r="H59" s="212"/>
      <c r="I59" s="212"/>
      <c r="J59" s="212"/>
      <c r="K59" s="212"/>
    </row>
    <row r="60" spans="1:11" ht="15" x14ac:dyDescent="0.25">
      <c r="A60" s="212"/>
      <c r="B60" s="212"/>
      <c r="C60" s="212"/>
      <c r="D60" s="212"/>
      <c r="E60" s="212"/>
      <c r="F60" s="212"/>
      <c r="G60" s="212"/>
      <c r="H60" s="212"/>
      <c r="I60" s="212"/>
      <c r="J60" s="212"/>
      <c r="K60" s="212"/>
    </row>
    <row r="61" spans="1:11" ht="15" x14ac:dyDescent="0.25">
      <c r="A61" s="212"/>
      <c r="B61" s="212"/>
      <c r="C61" s="212"/>
      <c r="D61" s="212"/>
      <c r="E61" s="212"/>
      <c r="F61" s="212"/>
      <c r="G61" s="212"/>
      <c r="H61" s="212"/>
      <c r="I61" s="212"/>
      <c r="J61" s="212"/>
      <c r="K61" s="212"/>
    </row>
    <row r="62" spans="1:11" ht="15" x14ac:dyDescent="0.25">
      <c r="A62" s="212"/>
      <c r="B62" s="212"/>
      <c r="C62" s="212"/>
      <c r="D62" s="212"/>
      <c r="E62" s="212"/>
      <c r="F62" s="212"/>
      <c r="G62" s="212"/>
      <c r="H62" s="212"/>
      <c r="I62" s="212"/>
      <c r="J62" s="212"/>
      <c r="K62" s="212"/>
    </row>
    <row r="63" spans="1:11" ht="15" x14ac:dyDescent="0.25">
      <c r="A63" s="212"/>
      <c r="B63" s="212"/>
      <c r="C63" s="212"/>
      <c r="D63" s="212"/>
      <c r="E63" s="212"/>
      <c r="F63" s="212"/>
      <c r="G63" s="212"/>
      <c r="H63" s="212"/>
      <c r="I63" s="212"/>
      <c r="J63" s="212"/>
      <c r="K63" s="212"/>
    </row>
    <row r="64" spans="1:11" ht="15" x14ac:dyDescent="0.25">
      <c r="A64" s="212"/>
      <c r="B64" s="212"/>
      <c r="C64" s="212"/>
      <c r="D64" s="212"/>
      <c r="E64" s="212"/>
      <c r="F64" s="212"/>
      <c r="G64" s="212"/>
      <c r="H64" s="212"/>
      <c r="I64" s="212"/>
      <c r="J64" s="212"/>
      <c r="K64" s="212"/>
    </row>
    <row r="65" spans="1:11" ht="15" x14ac:dyDescent="0.25">
      <c r="A65" s="212"/>
      <c r="B65" s="212"/>
      <c r="C65" s="212"/>
      <c r="D65" s="212"/>
      <c r="E65" s="212"/>
      <c r="F65" s="212"/>
      <c r="G65" s="212"/>
      <c r="H65" s="212"/>
      <c r="I65" s="212"/>
      <c r="J65" s="212"/>
      <c r="K65" s="212"/>
    </row>
    <row r="66" spans="1:11" ht="15" x14ac:dyDescent="0.25">
      <c r="A66" s="212"/>
      <c r="B66" s="212"/>
      <c r="C66" s="212"/>
      <c r="D66" s="212"/>
      <c r="E66" s="212"/>
      <c r="F66" s="212"/>
      <c r="G66" s="212"/>
      <c r="H66" s="212"/>
      <c r="I66" s="212"/>
      <c r="J66" s="212"/>
      <c r="K66" s="212"/>
    </row>
    <row r="67" spans="1:11" ht="15" x14ac:dyDescent="0.25">
      <c r="A67" s="212"/>
      <c r="B67" s="212"/>
      <c r="C67" s="212"/>
      <c r="D67" s="212"/>
      <c r="E67" s="212"/>
      <c r="F67" s="212"/>
      <c r="G67" s="212"/>
      <c r="H67" s="212"/>
      <c r="I67" s="212"/>
      <c r="J67" s="212"/>
      <c r="K67" s="212"/>
    </row>
    <row r="68" spans="1:11" ht="15" x14ac:dyDescent="0.25">
      <c r="A68" s="212"/>
      <c r="B68" s="212"/>
      <c r="C68" s="212"/>
      <c r="D68" s="212"/>
      <c r="E68" s="212"/>
      <c r="F68" s="212"/>
      <c r="G68" s="212"/>
      <c r="H68" s="212"/>
      <c r="I68" s="212"/>
      <c r="J68" s="212"/>
      <c r="K68" s="212"/>
    </row>
    <row r="69" spans="1:11" ht="15" x14ac:dyDescent="0.25">
      <c r="A69" s="212"/>
      <c r="B69" s="212"/>
      <c r="C69" s="212"/>
      <c r="D69" s="212"/>
      <c r="E69" s="212"/>
      <c r="F69" s="212"/>
      <c r="G69" s="212"/>
      <c r="H69" s="212"/>
      <c r="I69" s="212"/>
      <c r="J69" s="212"/>
      <c r="K69" s="212"/>
    </row>
    <row r="70" spans="1:11" ht="15" x14ac:dyDescent="0.25">
      <c r="A70" s="212"/>
      <c r="B70" s="212"/>
      <c r="C70" s="212"/>
      <c r="D70" s="212"/>
      <c r="E70" s="212"/>
      <c r="F70" s="212"/>
      <c r="G70" s="212"/>
      <c r="H70" s="212"/>
      <c r="I70" s="212"/>
      <c r="J70" s="212"/>
      <c r="K70" s="212"/>
    </row>
    <row r="71" spans="1:11" ht="15" x14ac:dyDescent="0.25">
      <c r="A71" s="212"/>
      <c r="B71" s="212"/>
      <c r="C71" s="212"/>
      <c r="D71" s="212"/>
      <c r="E71" s="212"/>
      <c r="F71" s="212"/>
      <c r="G71" s="212"/>
      <c r="H71" s="212"/>
      <c r="I71" s="212"/>
      <c r="J71" s="212"/>
      <c r="K71" s="212"/>
    </row>
    <row r="72" spans="1:11" ht="15" x14ac:dyDescent="0.25">
      <c r="A72" s="212"/>
      <c r="B72" s="212"/>
      <c r="C72" s="212"/>
      <c r="D72" s="212"/>
      <c r="E72" s="212"/>
      <c r="F72" s="212"/>
      <c r="G72" s="212"/>
      <c r="H72" s="212"/>
      <c r="I72" s="212"/>
      <c r="J72" s="212"/>
      <c r="K72" s="212"/>
    </row>
    <row r="73" spans="1:11" ht="15" x14ac:dyDescent="0.25">
      <c r="A73" s="212"/>
      <c r="B73" s="212"/>
      <c r="C73" s="212"/>
      <c r="D73" s="212"/>
      <c r="E73" s="212"/>
      <c r="F73" s="212"/>
      <c r="G73" s="212"/>
      <c r="H73" s="212"/>
      <c r="I73" s="212"/>
      <c r="J73" s="212"/>
      <c r="K73" s="212"/>
    </row>
    <row r="74" spans="1:11" ht="15" x14ac:dyDescent="0.25">
      <c r="A74" s="212"/>
      <c r="B74" s="212"/>
      <c r="C74" s="212"/>
      <c r="D74" s="212"/>
      <c r="E74" s="212"/>
      <c r="F74" s="212"/>
      <c r="G74" s="212"/>
      <c r="H74" s="212"/>
      <c r="I74" s="212"/>
      <c r="J74" s="212"/>
      <c r="K74" s="212"/>
    </row>
    <row r="75" spans="1:11" ht="15" x14ac:dyDescent="0.25">
      <c r="A75" s="212"/>
      <c r="B75" s="212"/>
      <c r="C75" s="212"/>
      <c r="D75" s="212"/>
      <c r="E75" s="212"/>
      <c r="F75" s="212"/>
      <c r="G75" s="212"/>
      <c r="H75" s="212"/>
      <c r="I75" s="212"/>
      <c r="J75" s="212"/>
      <c r="K75" s="212"/>
    </row>
    <row r="76" spans="1:11" ht="15" x14ac:dyDescent="0.25">
      <c r="A76" s="212"/>
      <c r="B76" s="212"/>
      <c r="C76" s="212"/>
      <c r="D76" s="212"/>
      <c r="E76" s="212"/>
      <c r="F76" s="212"/>
      <c r="G76" s="212"/>
      <c r="H76" s="212"/>
      <c r="I76" s="212"/>
      <c r="J76" s="212"/>
      <c r="K76" s="212"/>
    </row>
    <row r="77" spans="1:11" ht="15" x14ac:dyDescent="0.25">
      <c r="A77" s="212"/>
      <c r="B77" s="212"/>
      <c r="C77" s="212"/>
      <c r="D77" s="212"/>
      <c r="E77" s="212"/>
      <c r="F77" s="212"/>
      <c r="G77" s="212"/>
      <c r="H77" s="212"/>
      <c r="I77" s="212"/>
      <c r="J77" s="212"/>
      <c r="K77" s="212"/>
    </row>
    <row r="78" spans="1:11" ht="15" x14ac:dyDescent="0.25">
      <c r="A78" s="212"/>
      <c r="B78" s="212"/>
      <c r="C78" s="212"/>
      <c r="D78" s="212"/>
      <c r="E78" s="212"/>
      <c r="F78" s="212"/>
      <c r="G78" s="212"/>
      <c r="H78" s="212"/>
      <c r="I78" s="212"/>
      <c r="J78" s="212"/>
      <c r="K78" s="212"/>
    </row>
    <row r="79" spans="1:11" ht="15" x14ac:dyDescent="0.25">
      <c r="A79" s="212"/>
      <c r="B79" s="212"/>
      <c r="C79" s="212"/>
      <c r="D79" s="212"/>
      <c r="E79" s="212"/>
      <c r="F79" s="212"/>
      <c r="G79" s="212"/>
      <c r="H79" s="212"/>
      <c r="I79" s="212"/>
      <c r="J79" s="212"/>
      <c r="K79" s="212"/>
    </row>
    <row r="80" spans="1:11" ht="15" x14ac:dyDescent="0.25">
      <c r="A80" s="212"/>
      <c r="B80" s="212"/>
      <c r="C80" s="212"/>
      <c r="D80" s="212"/>
      <c r="E80" s="212"/>
      <c r="F80" s="212"/>
      <c r="G80" s="212"/>
      <c r="H80" s="212"/>
      <c r="I80" s="212"/>
      <c r="J80" s="212"/>
      <c r="K80" s="212"/>
    </row>
    <row r="81" spans="1:11" ht="15" x14ac:dyDescent="0.25">
      <c r="A81" s="212"/>
      <c r="B81" s="212"/>
      <c r="C81" s="212"/>
      <c r="D81" s="212"/>
      <c r="E81" s="212"/>
      <c r="F81" s="212"/>
      <c r="G81" s="212"/>
      <c r="H81" s="212"/>
      <c r="I81" s="212"/>
      <c r="J81" s="212"/>
      <c r="K81" s="212"/>
    </row>
    <row r="82" spans="1:11" ht="15" x14ac:dyDescent="0.25">
      <c r="A82" s="212"/>
      <c r="B82" s="212"/>
      <c r="C82" s="212"/>
      <c r="D82" s="212"/>
      <c r="E82" s="212"/>
      <c r="F82" s="212"/>
      <c r="G82" s="212"/>
      <c r="H82" s="212"/>
      <c r="I82" s="212"/>
      <c r="J82" s="212"/>
      <c r="K82" s="212"/>
    </row>
    <row r="83" spans="1:11" ht="15" x14ac:dyDescent="0.25">
      <c r="A83" s="212"/>
      <c r="B83" s="212"/>
      <c r="C83" s="212"/>
      <c r="D83" s="212"/>
      <c r="E83" s="212"/>
      <c r="F83" s="212"/>
      <c r="G83" s="212"/>
      <c r="H83" s="212"/>
      <c r="I83" s="212"/>
      <c r="J83" s="212"/>
      <c r="K83" s="212"/>
    </row>
    <row r="84" spans="1:11" ht="15" x14ac:dyDescent="0.25">
      <c r="A84" s="212"/>
      <c r="B84" s="212"/>
      <c r="C84" s="212"/>
      <c r="D84" s="212"/>
      <c r="E84" s="212"/>
      <c r="F84" s="212"/>
      <c r="G84" s="212"/>
      <c r="H84" s="212"/>
      <c r="I84" s="212"/>
      <c r="J84" s="212"/>
      <c r="K84" s="212"/>
    </row>
    <row r="85" spans="1:11" ht="15" x14ac:dyDescent="0.25">
      <c r="A85" s="212"/>
      <c r="B85" s="212"/>
      <c r="C85" s="212"/>
      <c r="D85" s="212"/>
      <c r="E85" s="212"/>
      <c r="F85" s="212"/>
      <c r="G85" s="212"/>
      <c r="H85" s="212"/>
      <c r="I85" s="212"/>
      <c r="J85" s="212"/>
      <c r="K85" s="212"/>
    </row>
  </sheetData>
  <printOptions horizontalCentered="1"/>
  <pageMargins left="0.75" right="0.75" top="1" bottom="1" header="0.5" footer="0.5"/>
  <pageSetup scale="82" orientation="landscape" r:id="rId1"/>
  <headerFooter alignWithMargins="0">
    <oddFooter>&amp;CSchedule RL-1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/>
  <dimension ref="A1:M23"/>
  <sheetViews>
    <sheetView workbookViewId="0">
      <selection activeCell="A28" sqref="A28"/>
    </sheetView>
  </sheetViews>
  <sheetFormatPr defaultColWidth="9.140625" defaultRowHeight="15" x14ac:dyDescent="0.25"/>
  <cols>
    <col min="1" max="1" width="59.5703125" customWidth="1"/>
    <col min="2" max="3" width="14.140625" bestFit="1" customWidth="1"/>
    <col min="4" max="4" width="14.140625" customWidth="1"/>
    <col min="5" max="5" width="13.7109375" bestFit="1" customWidth="1"/>
    <col min="6" max="8" width="14.140625" bestFit="1" customWidth="1"/>
    <col min="9" max="9" width="13.7109375" bestFit="1" customWidth="1"/>
    <col min="10" max="12" width="14.140625" bestFit="1" customWidth="1"/>
    <col min="13" max="13" width="14.85546875" bestFit="1" customWidth="1"/>
  </cols>
  <sheetData>
    <row r="1" spans="1:13" x14ac:dyDescent="0.25">
      <c r="A1" s="230" t="s">
        <v>121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75"/>
    </row>
    <row r="2" spans="1:13" ht="15.75" customHeight="1" x14ac:dyDescent="0.25">
      <c r="A2" s="230" t="s">
        <v>156</v>
      </c>
      <c r="B2" s="231"/>
      <c r="C2" s="232"/>
      <c r="D2" s="232"/>
      <c r="E2" s="232"/>
      <c r="F2" s="232"/>
      <c r="G2" s="232"/>
      <c r="H2" s="232"/>
      <c r="I2" s="233"/>
      <c r="J2" s="232"/>
      <c r="K2" s="232"/>
      <c r="L2" s="232"/>
      <c r="M2" s="232"/>
    </row>
    <row r="3" spans="1:13" ht="15.75" customHeight="1" x14ac:dyDescent="0.25">
      <c r="A3" s="230"/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</row>
    <row r="4" spans="1:13" x14ac:dyDescent="0.25">
      <c r="A4" s="234" t="s">
        <v>157</v>
      </c>
      <c r="B4" s="235">
        <v>45535</v>
      </c>
      <c r="C4" s="235">
        <v>45565</v>
      </c>
      <c r="D4" s="235">
        <v>45596</v>
      </c>
      <c r="E4" s="235">
        <v>45626</v>
      </c>
      <c r="F4" s="235">
        <v>45657</v>
      </c>
      <c r="G4" s="235">
        <v>45688</v>
      </c>
      <c r="H4" s="235">
        <v>45716</v>
      </c>
      <c r="I4" s="235">
        <v>45747</v>
      </c>
      <c r="J4" s="235">
        <v>45777</v>
      </c>
      <c r="K4" s="235">
        <v>45808</v>
      </c>
      <c r="L4" s="235">
        <v>45838</v>
      </c>
      <c r="M4" s="235">
        <v>45869</v>
      </c>
    </row>
    <row r="5" spans="1:13" x14ac:dyDescent="0.25">
      <c r="A5" s="236" t="s">
        <v>122</v>
      </c>
      <c r="B5" s="237">
        <v>-1140213.9499999997</v>
      </c>
      <c r="C5" s="237">
        <v>-1135121.8999999997</v>
      </c>
      <c r="D5" s="237">
        <v>-1123821.7899999996</v>
      </c>
      <c r="E5" s="237">
        <v>-1107721.4099999997</v>
      </c>
      <c r="F5" s="237">
        <v>322054515.69999993</v>
      </c>
      <c r="G5" s="237">
        <v>320917083.93999976</v>
      </c>
      <c r="H5" s="237">
        <v>321985959.55999976</v>
      </c>
      <c r="I5" s="237">
        <v>321015710.21999973</v>
      </c>
      <c r="J5" s="237">
        <v>321208111.22999972</v>
      </c>
      <c r="K5" s="237">
        <v>321258892.85999978</v>
      </c>
      <c r="L5" s="237">
        <v>-729159.34000032756</v>
      </c>
      <c r="M5" s="237">
        <v>-468581.21000032756</v>
      </c>
    </row>
    <row r="6" spans="1:13" x14ac:dyDescent="0.25">
      <c r="A6" s="236" t="s">
        <v>123</v>
      </c>
      <c r="B6" s="238">
        <v>0</v>
      </c>
      <c r="C6" s="238">
        <v>0</v>
      </c>
      <c r="D6" s="238">
        <v>0</v>
      </c>
      <c r="E6" s="238">
        <v>0</v>
      </c>
      <c r="F6" s="238">
        <v>0</v>
      </c>
      <c r="G6" s="238">
        <v>0</v>
      </c>
      <c r="H6" s="238">
        <v>0</v>
      </c>
      <c r="I6" s="238">
        <v>0</v>
      </c>
      <c r="J6" s="238">
        <v>0</v>
      </c>
      <c r="K6" s="238">
        <v>0</v>
      </c>
      <c r="L6" s="238">
        <v>0</v>
      </c>
      <c r="M6" s="238">
        <v>0</v>
      </c>
    </row>
    <row r="7" spans="1:13" x14ac:dyDescent="0.25">
      <c r="A7" s="175" t="s">
        <v>124</v>
      </c>
      <c r="B7" s="237">
        <f t="shared" ref="B7" si="0">SUM(B5:B6)</f>
        <v>-1140213.9499999997</v>
      </c>
      <c r="C7" s="237">
        <f t="shared" ref="C7" si="1">SUM(C5:C6)</f>
        <v>-1135121.8999999997</v>
      </c>
      <c r="D7" s="237">
        <f t="shared" ref="D7:K7" si="2">SUM(D5:D6)</f>
        <v>-1123821.7899999996</v>
      </c>
      <c r="E7" s="237">
        <f t="shared" si="2"/>
        <v>-1107721.4099999997</v>
      </c>
      <c r="F7" s="237">
        <f t="shared" si="2"/>
        <v>322054515.69999993</v>
      </c>
      <c r="G7" s="237">
        <f t="shared" si="2"/>
        <v>320917083.93999976</v>
      </c>
      <c r="H7" s="237">
        <f t="shared" si="2"/>
        <v>321985959.55999976</v>
      </c>
      <c r="I7" s="237">
        <f t="shared" si="2"/>
        <v>321015710.21999973</v>
      </c>
      <c r="J7" s="237">
        <f t="shared" si="2"/>
        <v>321208111.22999972</v>
      </c>
      <c r="K7" s="237">
        <f t="shared" si="2"/>
        <v>321258892.85999978</v>
      </c>
      <c r="L7" s="237">
        <f t="shared" ref="L7:M7" si="3">SUM(L5:L6)</f>
        <v>-729159.34000032756</v>
      </c>
      <c r="M7" s="237">
        <f t="shared" si="3"/>
        <v>-468581.21000032756</v>
      </c>
    </row>
    <row r="8" spans="1:13" x14ac:dyDescent="0.25">
      <c r="A8" s="236" t="s">
        <v>125</v>
      </c>
      <c r="B8" s="237">
        <v>-99615.95</v>
      </c>
      <c r="C8" s="237">
        <v>-99615.95</v>
      </c>
      <c r="D8" s="237">
        <v>-99615.95</v>
      </c>
      <c r="E8" s="237">
        <v>-99615.95</v>
      </c>
      <c r="F8" s="237">
        <v>-188343.12</v>
      </c>
      <c r="G8" s="237">
        <v>-173901.65</v>
      </c>
      <c r="H8" s="237">
        <v>-174372.88</v>
      </c>
      <c r="I8" s="237">
        <v>-174706.36</v>
      </c>
      <c r="J8" s="237">
        <v>-172861.24</v>
      </c>
      <c r="K8" s="237">
        <v>-172861.24</v>
      </c>
      <c r="L8" s="237">
        <v>15204.29</v>
      </c>
      <c r="M8" s="237">
        <v>15204.29</v>
      </c>
    </row>
    <row r="9" spans="1:13" x14ac:dyDescent="0.25">
      <c r="A9" s="236" t="s">
        <v>126</v>
      </c>
      <c r="B9" s="238">
        <v>-0.23</v>
      </c>
      <c r="C9" s="238">
        <v>-0.23</v>
      </c>
      <c r="D9" s="238">
        <v>-0.23</v>
      </c>
      <c r="E9" s="238">
        <v>-0.23</v>
      </c>
      <c r="F9" s="238">
        <v>-0.23</v>
      </c>
      <c r="G9" s="238">
        <v>-0.23</v>
      </c>
      <c r="H9" s="238">
        <v>-0.23</v>
      </c>
      <c r="I9" s="238">
        <v>-0.23</v>
      </c>
      <c r="J9" s="238">
        <v>-0.23</v>
      </c>
      <c r="K9" s="238">
        <v>-0.23</v>
      </c>
      <c r="L9" s="238">
        <v>0</v>
      </c>
      <c r="M9" s="238">
        <v>0</v>
      </c>
    </row>
    <row r="10" spans="1:13" x14ac:dyDescent="0.25">
      <c r="A10" s="175" t="s">
        <v>127</v>
      </c>
      <c r="B10" s="237">
        <f>SUM(B7:B9)</f>
        <v>-1239830.1299999997</v>
      </c>
      <c r="C10" s="237">
        <f t="shared" ref="C10" si="4">SUM(C7:C9)</f>
        <v>-1234738.0799999996</v>
      </c>
      <c r="D10" s="237">
        <f t="shared" ref="D10" si="5">SUM(D7:D9)</f>
        <v>-1223437.9699999995</v>
      </c>
      <c r="E10" s="237">
        <f t="shared" ref="E10" si="6">SUM(E7:E9)</f>
        <v>-1207337.5899999996</v>
      </c>
      <c r="F10" s="237">
        <f t="shared" ref="F10" si="7">SUM(F7:F9)</f>
        <v>321866172.3499999</v>
      </c>
      <c r="G10" s="237">
        <f t="shared" ref="G10" si="8">SUM(G7:G9)</f>
        <v>320743182.05999976</v>
      </c>
      <c r="H10" s="237">
        <f t="shared" ref="H10" si="9">SUM(H7:H9)</f>
        <v>321811586.44999975</v>
      </c>
      <c r="I10" s="237">
        <f t="shared" ref="I10" si="10">SUM(I7:I9)</f>
        <v>320841003.6299997</v>
      </c>
      <c r="J10" s="237">
        <f t="shared" ref="J10" si="11">SUM(J7:J9)</f>
        <v>321035249.75999969</v>
      </c>
      <c r="K10" s="237">
        <f t="shared" ref="K10" si="12">SUM(K7:K9)</f>
        <v>321086031.38999975</v>
      </c>
      <c r="L10" s="237">
        <f t="shared" ref="L10:M10" si="13">SUM(L7:L9)</f>
        <v>-713955.05000032752</v>
      </c>
      <c r="M10" s="237">
        <f t="shared" si="13"/>
        <v>-453376.92000032758</v>
      </c>
    </row>
    <row r="11" spans="1:13" x14ac:dyDescent="0.25">
      <c r="A11" s="236" t="s">
        <v>158</v>
      </c>
      <c r="B11" s="237">
        <v>14065.790000000005</v>
      </c>
      <c r="C11" s="237">
        <v>11316.720000000003</v>
      </c>
      <c r="D11" s="237">
        <v>8694.7100000000009</v>
      </c>
      <c r="E11" s="237">
        <v>6245.6999999999989</v>
      </c>
      <c r="F11" s="237">
        <v>546049.35000000009</v>
      </c>
      <c r="G11" s="237">
        <v>1569659.9400000002</v>
      </c>
      <c r="H11" s="237">
        <v>2612028.2300000004</v>
      </c>
      <c r="I11" s="237">
        <v>3654471.9700000007</v>
      </c>
      <c r="J11" s="237">
        <v>4695671.1600000011</v>
      </c>
      <c r="K11" s="237">
        <v>5737073.8100000015</v>
      </c>
      <c r="L11" s="237">
        <v>81186.570000000036</v>
      </c>
      <c r="M11" s="237">
        <v>72900.339999999982</v>
      </c>
    </row>
    <row r="12" spans="1:13" x14ac:dyDescent="0.25">
      <c r="A12" s="236"/>
      <c r="B12" s="239"/>
      <c r="C12" s="239"/>
      <c r="D12" s="239"/>
      <c r="E12" s="239"/>
      <c r="F12" s="239"/>
      <c r="G12" s="239"/>
      <c r="H12" s="239"/>
      <c r="I12" s="239"/>
      <c r="J12" s="239"/>
      <c r="K12" s="239"/>
      <c r="L12" s="239"/>
      <c r="M12" s="239"/>
    </row>
    <row r="13" spans="1:13" x14ac:dyDescent="0.25">
      <c r="A13" s="234" t="s">
        <v>128</v>
      </c>
      <c r="B13" s="237"/>
      <c r="C13" s="237"/>
      <c r="D13" s="237"/>
      <c r="E13" s="237"/>
      <c r="F13" s="237"/>
      <c r="G13" s="237"/>
      <c r="H13" s="237"/>
      <c r="I13" s="237"/>
      <c r="J13" s="237"/>
      <c r="K13" s="237"/>
      <c r="L13" s="237"/>
      <c r="M13" s="237"/>
    </row>
    <row r="14" spans="1:13" x14ac:dyDescent="0.25">
      <c r="A14" s="240" t="s">
        <v>129</v>
      </c>
      <c r="B14" s="237">
        <v>-1140213.9499999997</v>
      </c>
      <c r="C14" s="237">
        <v>-1135121.8999999997</v>
      </c>
      <c r="D14" s="237">
        <v>-1123821.7899999996</v>
      </c>
      <c r="E14" s="237">
        <v>-1107721.4099999997</v>
      </c>
      <c r="F14" s="237">
        <v>322054515.69999993</v>
      </c>
      <c r="G14" s="237">
        <v>320917083.93999976</v>
      </c>
      <c r="H14" s="237">
        <v>321985959.55999976</v>
      </c>
      <c r="I14" s="237">
        <v>321015710.21999973</v>
      </c>
      <c r="J14" s="237">
        <v>321208111.22999972</v>
      </c>
      <c r="K14" s="237">
        <v>321258892.85999978</v>
      </c>
      <c r="L14" s="237">
        <v>-729159.34000032756</v>
      </c>
      <c r="M14" s="237">
        <v>-468581.21000032756</v>
      </c>
    </row>
    <row r="15" spans="1:13" x14ac:dyDescent="0.25">
      <c r="A15" s="236" t="s">
        <v>130</v>
      </c>
      <c r="B15" s="237">
        <v>-70551085.309999987</v>
      </c>
      <c r="C15" s="237">
        <v>-74073623.349999994</v>
      </c>
      <c r="D15" s="237">
        <v>-77596288.469999999</v>
      </c>
      <c r="E15" s="237">
        <v>-81119126.599999994</v>
      </c>
      <c r="F15" s="237">
        <v>-86659543.219999999</v>
      </c>
      <c r="G15" s="237">
        <v>-91200959.280000001</v>
      </c>
      <c r="H15" s="237">
        <v>-95761100.049999997</v>
      </c>
      <c r="I15" s="237">
        <v>-100321347.53</v>
      </c>
      <c r="J15" s="237">
        <v>-104880346.84</v>
      </c>
      <c r="K15" s="237">
        <v>-109438111.63999999</v>
      </c>
      <c r="L15" s="237">
        <v>-27378963.609999977</v>
      </c>
      <c r="M15" s="237">
        <v>-31922057.839999977</v>
      </c>
    </row>
    <row r="16" spans="1:13" x14ac:dyDescent="0.25">
      <c r="A16" s="236" t="s">
        <v>131</v>
      </c>
      <c r="B16" s="238">
        <v>-36163411.616601661</v>
      </c>
      <c r="C16" s="238">
        <v>-37784595.986976519</v>
      </c>
      <c r="D16" s="238">
        <v>-39093511.741952077</v>
      </c>
      <c r="E16" s="238">
        <v>-40971527.012655899</v>
      </c>
      <c r="F16" s="238">
        <v>-46052387.076069102</v>
      </c>
      <c r="G16" s="238">
        <v>-938239.10529077705</v>
      </c>
      <c r="H16" s="238">
        <v>-7425677.0701788664</v>
      </c>
      <c r="I16" s="238">
        <v>-10705723.090383338</v>
      </c>
      <c r="J16" s="238">
        <v>-13970555.786585746</v>
      </c>
      <c r="K16" s="238">
        <v>-14811964.950146129</v>
      </c>
      <c r="L16" s="238">
        <v>-20231512.280542199</v>
      </c>
      <c r="M16" s="238">
        <v>-23491397.76147335</v>
      </c>
    </row>
    <row r="17" spans="1:13" x14ac:dyDescent="0.25">
      <c r="A17" s="175" t="s">
        <v>132</v>
      </c>
      <c r="B17" s="237">
        <f t="shared" ref="B17" si="14">SUM(B14:B16)</f>
        <v>-107854710.87660165</v>
      </c>
      <c r="C17" s="237">
        <f t="shared" ref="C17" si="15">SUM(C14:C16)</f>
        <v>-112993341.23697652</v>
      </c>
      <c r="D17" s="237">
        <f t="shared" ref="D17:K17" si="16">SUM(D14:D16)</f>
        <v>-117813622.00195208</v>
      </c>
      <c r="E17" s="237">
        <f t="shared" si="16"/>
        <v>-123198375.02265589</v>
      </c>
      <c r="F17" s="237">
        <f t="shared" si="16"/>
        <v>189342585.40393084</v>
      </c>
      <c r="G17" s="237">
        <f t="shared" si="16"/>
        <v>228777885.55470899</v>
      </c>
      <c r="H17" s="237">
        <f t="shared" si="16"/>
        <v>218799182.43982089</v>
      </c>
      <c r="I17" s="237">
        <f t="shared" si="16"/>
        <v>209988639.59961638</v>
      </c>
      <c r="J17" s="237">
        <f t="shared" si="16"/>
        <v>202357208.60341397</v>
      </c>
      <c r="K17" s="237">
        <f t="shared" si="16"/>
        <v>197008816.26985365</v>
      </c>
      <c r="L17" s="237">
        <f t="shared" ref="L17:M17" si="17">SUM(L14:L16)</f>
        <v>-48339635.230542503</v>
      </c>
      <c r="M17" s="237">
        <f t="shared" si="17"/>
        <v>-55882036.811473653</v>
      </c>
    </row>
    <row r="18" spans="1:13" x14ac:dyDescent="0.25"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20" spans="1:13" x14ac:dyDescent="0.25">
      <c r="M20" s="42"/>
    </row>
    <row r="23" spans="1:13" x14ac:dyDescent="0.25">
      <c r="M23" s="42"/>
    </row>
  </sheetData>
  <pageMargins left="0.7" right="0.7" top="0.75" bottom="0.75" header="0.3" footer="0.3"/>
  <pageSetup scale="52" orientation="landscape" r:id="rId1"/>
  <headerFooter>
    <oddFooter>&amp;CSchedule RL-1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/>
  <dimension ref="A1:EQ48"/>
  <sheetViews>
    <sheetView zoomScaleNormal="100" workbookViewId="0">
      <selection activeCell="C17" sqref="C17"/>
    </sheetView>
  </sheetViews>
  <sheetFormatPr defaultRowHeight="15" x14ac:dyDescent="0.25"/>
  <cols>
    <col min="1" max="1" width="14.5703125" style="175" bestFit="1" customWidth="1"/>
    <col min="2" max="2" width="17.28515625" style="241" bestFit="1" customWidth="1"/>
    <col min="3" max="3" width="15.42578125" style="242" bestFit="1" customWidth="1"/>
    <col min="4" max="4" width="15.42578125" style="175" bestFit="1" customWidth="1"/>
    <col min="5" max="5" width="15.5703125" style="241" bestFit="1" customWidth="1"/>
    <col min="6" max="6" width="12.28515625" style="242" bestFit="1" customWidth="1"/>
    <col min="7" max="7" width="18.42578125" style="175" bestFit="1" customWidth="1"/>
    <col min="8" max="8" width="15.42578125" style="241" hidden="1" customWidth="1"/>
    <col min="9" max="9" width="10.28515625" style="242" hidden="1" customWidth="1"/>
    <col min="10" max="10" width="13.42578125" style="175" hidden="1" customWidth="1"/>
    <col min="11" max="11" width="14.42578125" style="241" hidden="1" customWidth="1"/>
    <col min="12" max="12" width="10.28515625" style="242" hidden="1" customWidth="1"/>
    <col min="13" max="13" width="11.7109375" style="175" hidden="1" customWidth="1"/>
    <col min="14" max="14" width="14.42578125" style="241" hidden="1" customWidth="1"/>
    <col min="15" max="15" width="10.28515625" style="242" hidden="1" customWidth="1"/>
    <col min="16" max="16" width="11.7109375" style="175" hidden="1" customWidth="1"/>
    <col min="17" max="17" width="15.42578125" style="241" hidden="1" customWidth="1"/>
    <col min="18" max="18" width="10.28515625" style="242" hidden="1" customWidth="1"/>
    <col min="19" max="19" width="11.7109375" style="175" hidden="1" customWidth="1"/>
    <col min="20" max="20" width="15.42578125" style="241" hidden="1" customWidth="1"/>
    <col min="21" max="21" width="10.28515625" style="242" hidden="1" customWidth="1"/>
    <col min="22" max="22" width="11.7109375" style="175" hidden="1" customWidth="1"/>
    <col min="23" max="23" width="15.42578125" style="241" hidden="1" customWidth="1"/>
    <col min="24" max="24" width="10.28515625" style="242" hidden="1" customWidth="1"/>
    <col min="25" max="25" width="11.7109375" style="175" hidden="1" customWidth="1"/>
    <col min="26" max="26" width="15.42578125" style="241" hidden="1" customWidth="1"/>
    <col min="27" max="27" width="10.28515625" style="242" hidden="1" customWidth="1"/>
    <col min="28" max="28" width="11.7109375" style="175" hidden="1" customWidth="1"/>
    <col min="29" max="29" width="15.42578125" style="241" hidden="1" customWidth="1"/>
    <col min="30" max="30" width="10.28515625" style="242" hidden="1" customWidth="1"/>
    <col min="31" max="31" width="11.7109375" style="175" hidden="1" customWidth="1"/>
    <col min="32" max="32" width="14.42578125" style="241" hidden="1" customWidth="1"/>
    <col min="33" max="33" width="10.28515625" style="242" hidden="1" customWidth="1"/>
    <col min="34" max="34" width="10.7109375" style="175" hidden="1" customWidth="1"/>
    <col min="35" max="35" width="14.42578125" style="241" customWidth="1"/>
    <col min="36" max="36" width="12" style="242" bestFit="1" customWidth="1"/>
    <col min="37" max="37" width="14.140625" style="175" bestFit="1" customWidth="1"/>
    <col min="38" max="38" width="14.42578125" style="241" customWidth="1"/>
    <col min="39" max="39" width="12" style="242" bestFit="1" customWidth="1"/>
    <col min="40" max="40" width="14" style="175" bestFit="1" customWidth="1"/>
    <col min="41" max="41" width="15.42578125" style="241" bestFit="1" customWidth="1"/>
    <col min="42" max="42" width="12.28515625" style="242" bestFit="1" customWidth="1"/>
    <col min="43" max="43" width="13.7109375" style="175" bestFit="1" customWidth="1"/>
    <col min="44" max="44" width="15.42578125" style="241" bestFit="1" customWidth="1"/>
    <col min="45" max="45" width="12" style="242" bestFit="1" customWidth="1"/>
    <col min="46" max="46" width="13.28515625" style="175" bestFit="1" customWidth="1"/>
    <col min="47" max="47" width="16.85546875" style="241" customWidth="1"/>
    <col min="48" max="48" width="12" style="242" bestFit="1" customWidth="1"/>
    <col min="49" max="49" width="13" style="175" bestFit="1" customWidth="1"/>
    <col min="50" max="50" width="14.42578125" style="241" customWidth="1"/>
    <col min="51" max="51" width="10.28515625" style="242" customWidth="1"/>
    <col min="52" max="52" width="10.7109375" style="175" customWidth="1"/>
    <col min="53" max="53" width="14.42578125" style="241" customWidth="1"/>
    <col min="54" max="54" width="10.28515625" style="242" customWidth="1"/>
    <col min="55" max="55" width="10.7109375" style="175" customWidth="1"/>
    <col min="56" max="56" width="14.42578125" style="241" customWidth="1"/>
    <col min="57" max="57" width="10.28515625" style="242" customWidth="1"/>
    <col min="58" max="58" width="10.7109375" style="175" customWidth="1"/>
    <col min="59" max="59" width="14.42578125" style="241" customWidth="1"/>
    <col min="60" max="60" width="10.28515625" style="242" customWidth="1"/>
    <col min="61" max="61" width="10.7109375" style="175" customWidth="1"/>
    <col min="62" max="62" width="14.42578125" style="241" customWidth="1"/>
    <col min="63" max="63" width="10.28515625" style="242" customWidth="1"/>
    <col min="64" max="64" width="10.7109375" style="175" customWidth="1"/>
    <col min="65" max="65" width="14.42578125" style="241" hidden="1" customWidth="1"/>
    <col min="66" max="66" width="10.28515625" style="242" hidden="1" customWidth="1"/>
    <col min="67" max="67" width="10.7109375" style="175" hidden="1" customWidth="1"/>
    <col min="68" max="68" width="14.42578125" style="241" hidden="1" customWidth="1"/>
    <col min="69" max="69" width="10.28515625" style="242" hidden="1" customWidth="1"/>
    <col min="70" max="70" width="10.7109375" style="175" hidden="1" customWidth="1"/>
    <col min="71" max="71" width="14.42578125" style="241" hidden="1" customWidth="1"/>
    <col min="72" max="72" width="10.28515625" style="242" hidden="1" customWidth="1"/>
    <col min="73" max="73" width="10.7109375" style="175" hidden="1" customWidth="1"/>
    <col min="74" max="74" width="14.42578125" style="241" hidden="1" customWidth="1"/>
    <col min="75" max="75" width="10.28515625" style="242" hidden="1" customWidth="1"/>
    <col min="76" max="76" width="10.7109375" style="175" hidden="1" customWidth="1"/>
    <col min="77" max="77" width="14.42578125" style="241" hidden="1" customWidth="1"/>
    <col min="78" max="78" width="10.28515625" style="242" hidden="1" customWidth="1"/>
    <col min="79" max="79" width="10.7109375" style="175" hidden="1" customWidth="1"/>
    <col min="80" max="80" width="14.42578125" style="241" hidden="1" customWidth="1"/>
    <col min="81" max="81" width="10.28515625" style="242" hidden="1" customWidth="1"/>
    <col min="82" max="82" width="10.7109375" style="175" hidden="1" customWidth="1"/>
    <col min="83" max="83" width="14.42578125" style="241" hidden="1" customWidth="1"/>
    <col min="84" max="84" width="10.28515625" style="242" hidden="1" customWidth="1"/>
    <col min="85" max="85" width="10.7109375" style="175" hidden="1" customWidth="1"/>
    <col min="86" max="86" width="14.42578125" style="241" hidden="1" customWidth="1"/>
    <col min="87" max="87" width="10.28515625" style="242" hidden="1" customWidth="1"/>
    <col min="88" max="88" width="10.7109375" style="175" hidden="1" customWidth="1"/>
    <col min="89" max="89" width="14.42578125" style="241" hidden="1" customWidth="1"/>
    <col min="90" max="90" width="10.28515625" style="242" hidden="1" customWidth="1"/>
    <col min="91" max="91" width="10.7109375" style="175" hidden="1" customWidth="1"/>
    <col min="92" max="92" width="14.42578125" style="241" hidden="1" customWidth="1"/>
    <col min="93" max="93" width="10.28515625" style="242" hidden="1" customWidth="1"/>
    <col min="94" max="94" width="10.7109375" style="175" hidden="1" customWidth="1"/>
    <col min="95" max="95" width="14.42578125" style="241" hidden="1" customWidth="1"/>
    <col min="96" max="96" width="10.28515625" style="242" hidden="1" customWidth="1"/>
    <col min="97" max="97" width="10.7109375" style="175" hidden="1" customWidth="1"/>
    <col min="98" max="98" width="14.42578125" style="241" hidden="1" customWidth="1"/>
    <col min="99" max="99" width="10.28515625" style="242" hidden="1" customWidth="1"/>
    <col min="100" max="100" width="10.7109375" style="175" hidden="1" customWidth="1"/>
    <col min="101" max="101" width="14.42578125" style="241" hidden="1" customWidth="1"/>
    <col min="102" max="102" width="10.28515625" style="242" hidden="1" customWidth="1"/>
    <col min="103" max="103" width="10.7109375" style="175" hidden="1" customWidth="1"/>
    <col min="104" max="104" width="14.42578125" style="241" hidden="1" customWidth="1"/>
    <col min="105" max="105" width="10.28515625" style="242" hidden="1" customWidth="1"/>
    <col min="106" max="106" width="10.7109375" style="175" hidden="1" customWidth="1"/>
    <col min="107" max="107" width="14.42578125" style="241" hidden="1" customWidth="1"/>
    <col min="108" max="108" width="10.28515625" style="242" hidden="1" customWidth="1"/>
    <col min="109" max="109" width="10.7109375" style="175" hidden="1" customWidth="1"/>
    <col min="110" max="110" width="14.42578125" style="241" hidden="1" customWidth="1"/>
    <col min="111" max="111" width="10.28515625" style="242" hidden="1" customWidth="1"/>
    <col min="112" max="112" width="10.7109375" style="175" hidden="1" customWidth="1"/>
    <col min="113" max="113" width="14.42578125" style="241" hidden="1" customWidth="1"/>
    <col min="114" max="114" width="10.28515625" style="242" hidden="1" customWidth="1"/>
    <col min="115" max="115" width="10.7109375" style="175" hidden="1" customWidth="1"/>
    <col min="116" max="116" width="14.42578125" style="241" hidden="1" customWidth="1"/>
    <col min="117" max="117" width="10.28515625" style="242" hidden="1" customWidth="1"/>
    <col min="118" max="118" width="10.7109375" style="175" hidden="1" customWidth="1"/>
    <col min="119" max="119" width="14.42578125" style="241" hidden="1" customWidth="1"/>
    <col min="120" max="120" width="10.28515625" style="242" hidden="1" customWidth="1"/>
    <col min="121" max="121" width="10.7109375" style="175" hidden="1" customWidth="1"/>
    <col min="122" max="122" width="14.42578125" style="241" hidden="1" customWidth="1"/>
    <col min="123" max="123" width="10.28515625" style="242" hidden="1" customWidth="1"/>
    <col min="124" max="124" width="10.7109375" style="175" hidden="1" customWidth="1"/>
    <col min="125" max="125" width="14.42578125" style="241" hidden="1" customWidth="1"/>
    <col min="126" max="126" width="10.28515625" style="242" hidden="1" customWidth="1"/>
    <col min="127" max="127" width="10.7109375" style="175" hidden="1" customWidth="1"/>
    <col min="128" max="128" width="14.42578125" style="241" hidden="1" customWidth="1"/>
    <col min="129" max="129" width="10.28515625" style="242" hidden="1" customWidth="1"/>
    <col min="130" max="130" width="10.7109375" style="175" hidden="1" customWidth="1"/>
    <col min="131" max="131" width="2.7109375" style="175" customWidth="1"/>
    <col min="132" max="132" width="18.42578125" style="175" customWidth="1"/>
    <col min="133" max="133" width="15.42578125" style="175" hidden="1" customWidth="1"/>
    <col min="134" max="134" width="14.42578125" style="175" bestFit="1" customWidth="1"/>
    <col min="135" max="135" width="20.140625" style="175" customWidth="1"/>
    <col min="136" max="136" width="2.7109375" style="175" customWidth="1"/>
    <col min="137" max="137" width="15.42578125" style="175" hidden="1" customWidth="1"/>
    <col min="138" max="138" width="14.42578125" style="175" hidden="1" customWidth="1"/>
    <col min="139" max="139" width="12.42578125" style="175" hidden="1" customWidth="1"/>
    <col min="140" max="140" width="2.7109375" style="175" hidden="1" customWidth="1"/>
    <col min="141" max="141" width="19.28515625" style="175" customWidth="1"/>
    <col min="142" max="142" width="15.42578125" style="175" hidden="1" customWidth="1"/>
    <col min="143" max="143" width="16.5703125" style="175" customWidth="1"/>
    <col min="144" max="144" width="19.42578125" style="175" customWidth="1"/>
    <col min="145" max="145" width="42.85546875" style="175" bestFit="1" customWidth="1"/>
    <col min="146" max="146" width="19.42578125" style="175" bestFit="1" customWidth="1"/>
    <col min="147" max="147" width="23.140625" style="175" bestFit="1" customWidth="1"/>
    <col min="148" max="16384" width="9.140625" style="175"/>
  </cols>
  <sheetData>
    <row r="1" spans="1:147" s="202" customFormat="1" x14ac:dyDescent="0.25">
      <c r="A1" s="260" t="s">
        <v>0</v>
      </c>
      <c r="B1" s="261"/>
      <c r="C1" s="262"/>
      <c r="E1" s="261"/>
      <c r="F1" s="262"/>
      <c r="H1" s="261"/>
      <c r="I1" s="262"/>
      <c r="K1" s="261"/>
      <c r="L1" s="262"/>
      <c r="N1" s="261"/>
      <c r="O1" s="262"/>
      <c r="Q1" s="261"/>
      <c r="R1" s="262"/>
      <c r="T1" s="261"/>
      <c r="U1" s="262"/>
      <c r="W1" s="261"/>
      <c r="X1" s="262"/>
      <c r="Z1" s="261"/>
      <c r="AA1" s="262"/>
      <c r="AC1" s="261"/>
      <c r="AD1" s="262"/>
      <c r="AF1" s="261"/>
      <c r="AG1" s="262"/>
      <c r="AI1" s="261"/>
      <c r="AJ1" s="262"/>
      <c r="AL1" s="261"/>
      <c r="AM1" s="262"/>
      <c r="AO1" s="261"/>
      <c r="AP1" s="262"/>
      <c r="AR1" s="261"/>
      <c r="AS1" s="262"/>
      <c r="AU1" s="261"/>
      <c r="AV1" s="262"/>
      <c r="AX1" s="261"/>
      <c r="AY1" s="262"/>
      <c r="BA1" s="261"/>
      <c r="BB1" s="262"/>
      <c r="BD1" s="261"/>
      <c r="BE1" s="262"/>
      <c r="BG1" s="261"/>
      <c r="BH1" s="262"/>
      <c r="BJ1" s="261"/>
      <c r="BK1" s="262"/>
      <c r="BM1" s="261"/>
      <c r="BN1" s="262"/>
      <c r="BP1" s="261"/>
      <c r="BQ1" s="262"/>
      <c r="BS1" s="261"/>
      <c r="BT1" s="262"/>
      <c r="BV1" s="261"/>
      <c r="BW1" s="262"/>
      <c r="BY1" s="261"/>
      <c r="BZ1" s="262"/>
      <c r="CB1" s="261"/>
      <c r="CC1" s="262"/>
      <c r="CE1" s="261"/>
      <c r="CF1" s="262"/>
      <c r="CH1" s="261"/>
      <c r="CI1" s="262"/>
      <c r="CK1" s="261"/>
      <c r="CL1" s="262"/>
      <c r="CN1" s="261"/>
      <c r="CO1" s="262"/>
      <c r="CQ1" s="261"/>
      <c r="CR1" s="262"/>
      <c r="CT1" s="261"/>
      <c r="CU1" s="262"/>
      <c r="CW1" s="261"/>
      <c r="CX1" s="262"/>
      <c r="CZ1" s="261"/>
      <c r="DA1" s="262"/>
      <c r="DC1" s="261"/>
      <c r="DD1" s="262"/>
      <c r="DF1" s="261"/>
      <c r="DG1" s="262"/>
      <c r="DI1" s="261"/>
      <c r="DJ1" s="262"/>
      <c r="DL1" s="261"/>
      <c r="DM1" s="262"/>
      <c r="DO1" s="261"/>
      <c r="DP1" s="262"/>
      <c r="DR1" s="261"/>
      <c r="DS1" s="262"/>
      <c r="DU1" s="261"/>
      <c r="DV1" s="262"/>
      <c r="DX1" s="261"/>
      <c r="DY1" s="262"/>
      <c r="DZ1" s="263"/>
      <c r="ED1" s="191"/>
      <c r="EE1" s="264" t="s">
        <v>37</v>
      </c>
      <c r="EI1" s="191" t="s">
        <v>38</v>
      </c>
      <c r="EM1" s="191"/>
      <c r="EN1" s="191" t="s">
        <v>39</v>
      </c>
      <c r="EO1" s="260" t="s">
        <v>40</v>
      </c>
      <c r="EP1" s="260" t="s">
        <v>41</v>
      </c>
      <c r="EQ1" s="260" t="s">
        <v>42</v>
      </c>
    </row>
    <row r="2" spans="1:147" s="202" customFormat="1" ht="15.75" thickBot="1" x14ac:dyDescent="0.3">
      <c r="A2" s="260" t="s">
        <v>43</v>
      </c>
      <c r="B2" s="261"/>
      <c r="C2" s="262"/>
      <c r="E2" s="263"/>
      <c r="F2" s="262"/>
      <c r="G2" s="191"/>
      <c r="H2" s="261"/>
      <c r="I2" s="262"/>
      <c r="K2" s="261"/>
      <c r="L2" s="262"/>
      <c r="N2" s="261"/>
      <c r="O2" s="262"/>
      <c r="Q2" s="261"/>
      <c r="R2" s="262"/>
      <c r="T2" s="261"/>
      <c r="U2" s="262"/>
      <c r="W2" s="261"/>
      <c r="X2" s="262"/>
      <c r="Z2" s="261"/>
      <c r="AA2" s="262"/>
      <c r="AC2" s="261"/>
      <c r="AD2" s="262"/>
      <c r="AF2" s="261"/>
      <c r="AG2" s="262"/>
      <c r="AI2" s="261"/>
      <c r="AJ2" s="262"/>
      <c r="AL2" s="261"/>
      <c r="AM2" s="262"/>
      <c r="AO2" s="261"/>
      <c r="AP2" s="262"/>
      <c r="AR2" s="261"/>
      <c r="AS2" s="262"/>
      <c r="AU2" s="261"/>
      <c r="AV2" s="262"/>
      <c r="AX2" s="261"/>
      <c r="AY2" s="262"/>
      <c r="BA2" s="261"/>
      <c r="BB2" s="262"/>
      <c r="BD2" s="261"/>
      <c r="BE2" s="262"/>
      <c r="BG2" s="261"/>
      <c r="BH2" s="262"/>
      <c r="BJ2" s="261"/>
      <c r="BK2" s="262"/>
      <c r="BM2" s="261"/>
      <c r="BN2" s="262"/>
      <c r="BP2" s="261"/>
      <c r="BQ2" s="262"/>
      <c r="BS2" s="261"/>
      <c r="BT2" s="262"/>
      <c r="BV2" s="261"/>
      <c r="BW2" s="262"/>
      <c r="BY2" s="261"/>
      <c r="BZ2" s="262"/>
      <c r="CB2" s="261"/>
      <c r="CC2" s="262"/>
      <c r="CE2" s="261"/>
      <c r="CF2" s="262"/>
      <c r="CH2" s="261"/>
      <c r="CI2" s="262"/>
      <c r="CK2" s="261"/>
      <c r="CL2" s="262"/>
      <c r="CN2" s="261"/>
      <c r="CO2" s="262"/>
      <c r="CQ2" s="261"/>
      <c r="CR2" s="262"/>
      <c r="CT2" s="261"/>
      <c r="CU2" s="262"/>
      <c r="CW2" s="261"/>
      <c r="CX2" s="262"/>
      <c r="CZ2" s="261"/>
      <c r="DA2" s="262"/>
      <c r="DC2" s="261"/>
      <c r="DD2" s="262"/>
      <c r="DF2" s="261"/>
      <c r="DG2" s="262"/>
      <c r="DI2" s="261"/>
      <c r="DJ2" s="262"/>
      <c r="DL2" s="261"/>
      <c r="DM2" s="262"/>
      <c r="DO2" s="261"/>
      <c r="DP2" s="262"/>
      <c r="DR2" s="261"/>
      <c r="DS2" s="262"/>
      <c r="DU2" s="261"/>
      <c r="DV2" s="262"/>
      <c r="DX2" s="261"/>
      <c r="DY2" s="262"/>
      <c r="EB2" s="175" t="s">
        <v>44</v>
      </c>
      <c r="EC2" s="175"/>
      <c r="ED2" s="241"/>
      <c r="EE2" s="241">
        <f>EB41</f>
        <v>316925000</v>
      </c>
      <c r="EI2" s="241">
        <f>EG40</f>
        <v>0</v>
      </c>
      <c r="EM2" s="241"/>
      <c r="EN2" s="241">
        <f>EK41</f>
        <v>269725000</v>
      </c>
      <c r="EO2" s="265">
        <v>-784713.65</v>
      </c>
      <c r="EP2" s="261">
        <f>EN2+EO2</f>
        <v>268940286.35000002</v>
      </c>
      <c r="EQ2" s="261">
        <f>EE2+EO2</f>
        <v>316140286.35000002</v>
      </c>
    </row>
    <row r="3" spans="1:147" ht="15.75" thickTop="1" x14ac:dyDescent="0.25">
      <c r="A3" s="266" t="s">
        <v>246</v>
      </c>
      <c r="E3" s="267" t="s">
        <v>45</v>
      </c>
      <c r="F3" s="243"/>
      <c r="G3" s="244"/>
      <c r="EB3" s="175" t="s">
        <v>46</v>
      </c>
      <c r="ED3" s="241"/>
      <c r="EE3" s="241">
        <f>AVERAGE(EB11:EB41)</f>
        <v>336391959.67741936</v>
      </c>
      <c r="EI3" s="241">
        <f>AVERAGE(EG11:EG40)</f>
        <v>0</v>
      </c>
      <c r="EM3" s="241"/>
      <c r="EN3" s="241">
        <f>AVERAGE(EK11:EK41)</f>
        <v>327803225.80645162</v>
      </c>
    </row>
    <row r="4" spans="1:147" x14ac:dyDescent="0.25">
      <c r="E4" s="245" t="s">
        <v>44</v>
      </c>
      <c r="F4" s="241"/>
      <c r="G4" s="246">
        <f>EQ2</f>
        <v>316140286.35000002</v>
      </c>
      <c r="AI4" s="260" t="s">
        <v>47</v>
      </c>
      <c r="EB4" s="175" t="s">
        <v>48</v>
      </c>
      <c r="ED4" s="242"/>
      <c r="EE4" s="242">
        <f>IF(EE3=0,0,360*(AVERAGE(ED11:ED41)/EE3))</f>
        <v>5.5639698591814092E-2</v>
      </c>
      <c r="EI4" s="242">
        <f>IF(EI3=0,0,360*(AVERAGE(EH11:EH40)/EI3))</f>
        <v>0</v>
      </c>
      <c r="EM4" s="242"/>
      <c r="EN4" s="242">
        <f>IF(EN3=0,0,360*(AVERAGE(EM11:EM41)/EN3))</f>
        <v>5.5716195052106392E-2</v>
      </c>
      <c r="EO4" s="202" t="s">
        <v>241</v>
      </c>
      <c r="EQ4" s="191" t="s">
        <v>47</v>
      </c>
    </row>
    <row r="5" spans="1:147" x14ac:dyDescent="0.25">
      <c r="E5" s="245" t="s">
        <v>46</v>
      </c>
      <c r="F5" s="241"/>
      <c r="G5" s="246">
        <f>EE3</f>
        <v>336391959.67741936</v>
      </c>
      <c r="AI5" s="268" t="s">
        <v>39</v>
      </c>
      <c r="EB5" s="175" t="s">
        <v>49</v>
      </c>
      <c r="ED5" s="241"/>
      <c r="EE5" s="241">
        <f>MAX(EB11:EB41)</f>
        <v>403975000</v>
      </c>
      <c r="EI5" s="241">
        <f>MAX(EG11:EG40)</f>
        <v>0</v>
      </c>
      <c r="EM5" s="241"/>
      <c r="EN5" s="241">
        <f>MAX(EK11:EK41)</f>
        <v>403975000</v>
      </c>
      <c r="EO5" s="175" t="s">
        <v>242</v>
      </c>
    </row>
    <row r="6" spans="1:147" x14ac:dyDescent="0.25">
      <c r="E6" s="245" t="s">
        <v>48</v>
      </c>
      <c r="F6" s="241"/>
      <c r="G6" s="247">
        <f>EE4</f>
        <v>5.5639698591814092E-2</v>
      </c>
    </row>
    <row r="7" spans="1:147" ht="15.75" thickBot="1" x14ac:dyDescent="0.3">
      <c r="E7" s="248" t="s">
        <v>49</v>
      </c>
      <c r="F7" s="249"/>
      <c r="G7" s="250">
        <f>EE5</f>
        <v>403975000</v>
      </c>
      <c r="AI7" s="268" t="s">
        <v>39</v>
      </c>
      <c r="EB7" s="269" t="s">
        <v>50</v>
      </c>
      <c r="EC7" s="269"/>
      <c r="ED7" s="251"/>
      <c r="EE7" s="251"/>
      <c r="EG7" s="269" t="s">
        <v>51</v>
      </c>
      <c r="EH7" s="251"/>
      <c r="EI7" s="251"/>
      <c r="EJ7" s="174"/>
      <c r="EK7" s="269" t="s">
        <v>52</v>
      </c>
      <c r="EL7" s="269"/>
      <c r="EM7" s="251"/>
      <c r="EN7" s="251"/>
    </row>
    <row r="8" spans="1:147" ht="15.75" thickTop="1" x14ac:dyDescent="0.25">
      <c r="AI8" s="263" t="s">
        <v>53</v>
      </c>
      <c r="AL8" s="263" t="s">
        <v>53</v>
      </c>
      <c r="AO8" s="263" t="s">
        <v>53</v>
      </c>
      <c r="AR8" s="263" t="s">
        <v>53</v>
      </c>
      <c r="AU8" s="263" t="s">
        <v>53</v>
      </c>
      <c r="AX8" s="263" t="s">
        <v>53</v>
      </c>
      <c r="BA8" s="263" t="s">
        <v>53</v>
      </c>
      <c r="BD8" s="263" t="s">
        <v>53</v>
      </c>
      <c r="BG8" s="263" t="s">
        <v>53</v>
      </c>
      <c r="BJ8" s="263" t="s">
        <v>53</v>
      </c>
      <c r="BM8" s="263" t="s">
        <v>53</v>
      </c>
      <c r="BP8" s="263" t="s">
        <v>53</v>
      </c>
      <c r="BS8" s="263" t="s">
        <v>53</v>
      </c>
      <c r="BV8" s="263" t="s">
        <v>53</v>
      </c>
      <c r="BY8" s="263" t="s">
        <v>53</v>
      </c>
      <c r="CB8" s="263" t="s">
        <v>53</v>
      </c>
      <c r="CE8" s="263" t="s">
        <v>53</v>
      </c>
      <c r="CH8" s="263" t="s">
        <v>53</v>
      </c>
      <c r="CK8" s="263" t="s">
        <v>53</v>
      </c>
      <c r="CN8" s="263" t="s">
        <v>53</v>
      </c>
      <c r="CQ8" s="263" t="s">
        <v>53</v>
      </c>
      <c r="CT8" s="263" t="s">
        <v>53</v>
      </c>
      <c r="CW8" s="263" t="s">
        <v>53</v>
      </c>
      <c r="CZ8" s="263" t="s">
        <v>53</v>
      </c>
      <c r="DC8" s="263" t="s">
        <v>53</v>
      </c>
      <c r="DF8" s="263" t="s">
        <v>53</v>
      </c>
      <c r="DI8" s="263" t="s">
        <v>53</v>
      </c>
      <c r="DL8" s="263" t="s">
        <v>53</v>
      </c>
      <c r="DO8" s="263" t="s">
        <v>53</v>
      </c>
      <c r="DR8" s="263" t="s">
        <v>53</v>
      </c>
      <c r="EB8" s="252"/>
      <c r="EC8" s="252"/>
      <c r="ED8" s="252"/>
      <c r="EE8" s="252" t="s">
        <v>54</v>
      </c>
      <c r="EG8" s="252"/>
      <c r="EH8" s="270" t="s">
        <v>38</v>
      </c>
      <c r="EI8" s="252" t="s">
        <v>54</v>
      </c>
      <c r="EJ8" s="252"/>
      <c r="EK8" s="191" t="s">
        <v>55</v>
      </c>
      <c r="EL8" s="191" t="s">
        <v>56</v>
      </c>
      <c r="EM8" s="270" t="s">
        <v>57</v>
      </c>
      <c r="EN8" s="252" t="s">
        <v>54</v>
      </c>
    </row>
    <row r="9" spans="1:147" x14ac:dyDescent="0.25">
      <c r="B9" s="253" t="s">
        <v>58</v>
      </c>
      <c r="C9" s="254"/>
      <c r="D9" s="251"/>
      <c r="E9" s="253" t="s">
        <v>59</v>
      </c>
      <c r="F9" s="254"/>
      <c r="G9" s="251"/>
      <c r="H9" s="253" t="s">
        <v>60</v>
      </c>
      <c r="I9" s="254"/>
      <c r="J9" s="251"/>
      <c r="K9" s="253" t="s">
        <v>61</v>
      </c>
      <c r="L9" s="254"/>
      <c r="M9" s="251"/>
      <c r="N9" s="253" t="s">
        <v>62</v>
      </c>
      <c r="O9" s="254"/>
      <c r="P9" s="251"/>
      <c r="Q9" s="253" t="s">
        <v>63</v>
      </c>
      <c r="R9" s="254"/>
      <c r="S9" s="251"/>
      <c r="T9" s="253" t="s">
        <v>64</v>
      </c>
      <c r="U9" s="254"/>
      <c r="V9" s="251"/>
      <c r="W9" s="253" t="s">
        <v>65</v>
      </c>
      <c r="X9" s="254"/>
      <c r="Y9" s="251"/>
      <c r="Z9" s="253" t="s">
        <v>66</v>
      </c>
      <c r="AA9" s="254"/>
      <c r="AB9" s="251"/>
      <c r="AC9" s="271" t="s">
        <v>67</v>
      </c>
      <c r="AD9" s="254"/>
      <c r="AE9" s="251"/>
      <c r="AF9" s="271" t="s">
        <v>68</v>
      </c>
      <c r="AG9" s="254"/>
      <c r="AH9" s="251"/>
      <c r="AI9" s="253" t="s">
        <v>69</v>
      </c>
      <c r="AJ9" s="254"/>
      <c r="AK9" s="251"/>
      <c r="AL9" s="253" t="s">
        <v>70</v>
      </c>
      <c r="AM9" s="254"/>
      <c r="AN9" s="251"/>
      <c r="AO9" s="253" t="s">
        <v>71</v>
      </c>
      <c r="AP9" s="254"/>
      <c r="AQ9" s="251"/>
      <c r="AR9" s="253" t="s">
        <v>72</v>
      </c>
      <c r="AS9" s="254"/>
      <c r="AT9" s="251"/>
      <c r="AU9" s="253" t="s">
        <v>73</v>
      </c>
      <c r="AV9" s="254"/>
      <c r="AW9" s="251"/>
      <c r="AX9" s="253" t="s">
        <v>74</v>
      </c>
      <c r="AY9" s="254"/>
      <c r="AZ9" s="251"/>
      <c r="BA9" s="253" t="s">
        <v>75</v>
      </c>
      <c r="BB9" s="254"/>
      <c r="BC9" s="251"/>
      <c r="BD9" s="253" t="s">
        <v>76</v>
      </c>
      <c r="BE9" s="254"/>
      <c r="BF9" s="251"/>
      <c r="BG9" s="253" t="s">
        <v>77</v>
      </c>
      <c r="BH9" s="254"/>
      <c r="BI9" s="251"/>
      <c r="BJ9" s="253" t="s">
        <v>78</v>
      </c>
      <c r="BK9" s="254"/>
      <c r="BL9" s="251"/>
      <c r="BM9" s="253" t="s">
        <v>79</v>
      </c>
      <c r="BN9" s="254"/>
      <c r="BO9" s="251"/>
      <c r="BP9" s="253" t="s">
        <v>80</v>
      </c>
      <c r="BQ9" s="254"/>
      <c r="BR9" s="251"/>
      <c r="BS9" s="253" t="s">
        <v>81</v>
      </c>
      <c r="BT9" s="254"/>
      <c r="BU9" s="251"/>
      <c r="BV9" s="253" t="s">
        <v>82</v>
      </c>
      <c r="BW9" s="254"/>
      <c r="BX9" s="251"/>
      <c r="BY9" s="253" t="s">
        <v>83</v>
      </c>
      <c r="BZ9" s="254"/>
      <c r="CA9" s="251"/>
      <c r="CB9" s="253" t="s">
        <v>84</v>
      </c>
      <c r="CC9" s="254"/>
      <c r="CD9" s="251"/>
      <c r="CE9" s="253" t="s">
        <v>85</v>
      </c>
      <c r="CF9" s="254"/>
      <c r="CG9" s="251"/>
      <c r="CH9" s="253" t="s">
        <v>86</v>
      </c>
      <c r="CI9" s="254"/>
      <c r="CJ9" s="251"/>
      <c r="CK9" s="253" t="s">
        <v>87</v>
      </c>
      <c r="CL9" s="254"/>
      <c r="CM9" s="251"/>
      <c r="CN9" s="253" t="s">
        <v>88</v>
      </c>
      <c r="CO9" s="254"/>
      <c r="CP9" s="251"/>
      <c r="CQ9" s="253" t="s">
        <v>89</v>
      </c>
      <c r="CR9" s="254"/>
      <c r="CS9" s="251"/>
      <c r="CT9" s="253" t="s">
        <v>90</v>
      </c>
      <c r="CU9" s="254"/>
      <c r="CV9" s="251"/>
      <c r="CW9" s="253" t="s">
        <v>91</v>
      </c>
      <c r="CX9" s="254"/>
      <c r="CY9" s="251"/>
      <c r="CZ9" s="253" t="s">
        <v>92</v>
      </c>
      <c r="DA9" s="254"/>
      <c r="DB9" s="251"/>
      <c r="DC9" s="253" t="s">
        <v>93</v>
      </c>
      <c r="DD9" s="254"/>
      <c r="DE9" s="251"/>
      <c r="DF9" s="253" t="s">
        <v>94</v>
      </c>
      <c r="DG9" s="254"/>
      <c r="DH9" s="251"/>
      <c r="DI9" s="253" t="s">
        <v>95</v>
      </c>
      <c r="DJ9" s="254"/>
      <c r="DK9" s="251"/>
      <c r="DL9" s="253" t="s">
        <v>96</v>
      </c>
      <c r="DM9" s="254"/>
      <c r="DN9" s="251"/>
      <c r="DO9" s="253" t="s">
        <v>97</v>
      </c>
      <c r="DP9" s="254"/>
      <c r="DQ9" s="251"/>
      <c r="DR9" s="253" t="s">
        <v>98</v>
      </c>
      <c r="DS9" s="254"/>
      <c r="DT9" s="251"/>
      <c r="DU9" s="253" t="s">
        <v>99</v>
      </c>
      <c r="DV9" s="254"/>
      <c r="DW9" s="251"/>
      <c r="DX9" s="272" t="s">
        <v>100</v>
      </c>
      <c r="DY9" s="254"/>
      <c r="DZ9" s="251"/>
      <c r="EA9" s="174"/>
      <c r="EB9" s="191" t="s">
        <v>101</v>
      </c>
      <c r="EC9" s="191" t="s">
        <v>102</v>
      </c>
      <c r="ED9" s="252" t="s">
        <v>103</v>
      </c>
      <c r="EE9" s="252" t="s">
        <v>104</v>
      </c>
      <c r="EG9" s="270" t="s">
        <v>105</v>
      </c>
      <c r="EH9" s="252" t="s">
        <v>103</v>
      </c>
      <c r="EI9" s="252" t="s">
        <v>104</v>
      </c>
      <c r="EJ9" s="252"/>
      <c r="EK9" s="270" t="s">
        <v>57</v>
      </c>
      <c r="EL9" s="270" t="s">
        <v>57</v>
      </c>
      <c r="EM9" s="252" t="s">
        <v>103</v>
      </c>
      <c r="EN9" s="252" t="s">
        <v>104</v>
      </c>
    </row>
    <row r="10" spans="1:147" x14ac:dyDescent="0.25">
      <c r="A10" s="252" t="s">
        <v>106</v>
      </c>
      <c r="B10" s="273" t="s">
        <v>107</v>
      </c>
      <c r="C10" s="274" t="s">
        <v>108</v>
      </c>
      <c r="D10" s="275" t="s">
        <v>12</v>
      </c>
      <c r="E10" s="273" t="s">
        <v>107</v>
      </c>
      <c r="F10" s="274" t="s">
        <v>108</v>
      </c>
      <c r="G10" s="275" t="s">
        <v>12</v>
      </c>
      <c r="H10" s="273" t="s">
        <v>107</v>
      </c>
      <c r="I10" s="274" t="s">
        <v>108</v>
      </c>
      <c r="J10" s="275" t="s">
        <v>12</v>
      </c>
      <c r="K10" s="273" t="s">
        <v>107</v>
      </c>
      <c r="L10" s="274" t="s">
        <v>108</v>
      </c>
      <c r="M10" s="275" t="s">
        <v>12</v>
      </c>
      <c r="N10" s="273" t="s">
        <v>107</v>
      </c>
      <c r="O10" s="274" t="s">
        <v>108</v>
      </c>
      <c r="P10" s="275" t="s">
        <v>12</v>
      </c>
      <c r="Q10" s="273" t="s">
        <v>107</v>
      </c>
      <c r="R10" s="274" t="s">
        <v>108</v>
      </c>
      <c r="S10" s="275" t="s">
        <v>12</v>
      </c>
      <c r="T10" s="273" t="s">
        <v>107</v>
      </c>
      <c r="U10" s="274" t="s">
        <v>108</v>
      </c>
      <c r="V10" s="275" t="s">
        <v>12</v>
      </c>
      <c r="W10" s="273" t="s">
        <v>107</v>
      </c>
      <c r="X10" s="274" t="s">
        <v>108</v>
      </c>
      <c r="Y10" s="275" t="s">
        <v>12</v>
      </c>
      <c r="Z10" s="273" t="s">
        <v>107</v>
      </c>
      <c r="AA10" s="274" t="s">
        <v>108</v>
      </c>
      <c r="AB10" s="275" t="s">
        <v>12</v>
      </c>
      <c r="AC10" s="273" t="s">
        <v>107</v>
      </c>
      <c r="AD10" s="274" t="s">
        <v>108</v>
      </c>
      <c r="AE10" s="275" t="s">
        <v>12</v>
      </c>
      <c r="AF10" s="273" t="s">
        <v>107</v>
      </c>
      <c r="AG10" s="274" t="s">
        <v>108</v>
      </c>
      <c r="AH10" s="275" t="s">
        <v>12</v>
      </c>
      <c r="AI10" s="273" t="s">
        <v>107</v>
      </c>
      <c r="AJ10" s="274" t="s">
        <v>108</v>
      </c>
      <c r="AK10" s="275" t="s">
        <v>12</v>
      </c>
      <c r="AL10" s="273" t="s">
        <v>107</v>
      </c>
      <c r="AM10" s="274" t="s">
        <v>108</v>
      </c>
      <c r="AN10" s="275" t="s">
        <v>12</v>
      </c>
      <c r="AO10" s="273" t="s">
        <v>107</v>
      </c>
      <c r="AP10" s="274" t="s">
        <v>108</v>
      </c>
      <c r="AQ10" s="275" t="s">
        <v>12</v>
      </c>
      <c r="AR10" s="273" t="s">
        <v>107</v>
      </c>
      <c r="AS10" s="274" t="s">
        <v>108</v>
      </c>
      <c r="AT10" s="275" t="s">
        <v>12</v>
      </c>
      <c r="AU10" s="273" t="s">
        <v>107</v>
      </c>
      <c r="AV10" s="274" t="s">
        <v>108</v>
      </c>
      <c r="AW10" s="275" t="s">
        <v>12</v>
      </c>
      <c r="AX10" s="273" t="s">
        <v>107</v>
      </c>
      <c r="AY10" s="274" t="s">
        <v>108</v>
      </c>
      <c r="AZ10" s="275" t="s">
        <v>12</v>
      </c>
      <c r="BA10" s="273" t="s">
        <v>107</v>
      </c>
      <c r="BB10" s="274" t="s">
        <v>108</v>
      </c>
      <c r="BC10" s="275" t="s">
        <v>12</v>
      </c>
      <c r="BD10" s="273" t="s">
        <v>107</v>
      </c>
      <c r="BE10" s="274" t="s">
        <v>108</v>
      </c>
      <c r="BF10" s="275" t="s">
        <v>12</v>
      </c>
      <c r="BG10" s="273" t="s">
        <v>107</v>
      </c>
      <c r="BH10" s="274" t="s">
        <v>108</v>
      </c>
      <c r="BI10" s="275" t="s">
        <v>12</v>
      </c>
      <c r="BJ10" s="273" t="s">
        <v>107</v>
      </c>
      <c r="BK10" s="274" t="s">
        <v>108</v>
      </c>
      <c r="BL10" s="275" t="s">
        <v>12</v>
      </c>
      <c r="BM10" s="273" t="s">
        <v>107</v>
      </c>
      <c r="BN10" s="274" t="s">
        <v>108</v>
      </c>
      <c r="BO10" s="275" t="s">
        <v>12</v>
      </c>
      <c r="BP10" s="273" t="s">
        <v>107</v>
      </c>
      <c r="BQ10" s="274" t="s">
        <v>108</v>
      </c>
      <c r="BR10" s="275" t="s">
        <v>12</v>
      </c>
      <c r="BS10" s="273" t="s">
        <v>107</v>
      </c>
      <c r="BT10" s="274" t="s">
        <v>108</v>
      </c>
      <c r="BU10" s="275" t="s">
        <v>12</v>
      </c>
      <c r="BV10" s="273" t="s">
        <v>107</v>
      </c>
      <c r="BW10" s="274" t="s">
        <v>108</v>
      </c>
      <c r="BX10" s="275" t="s">
        <v>12</v>
      </c>
      <c r="BY10" s="273" t="s">
        <v>107</v>
      </c>
      <c r="BZ10" s="274" t="s">
        <v>108</v>
      </c>
      <c r="CA10" s="275" t="s">
        <v>12</v>
      </c>
      <c r="CB10" s="273" t="s">
        <v>107</v>
      </c>
      <c r="CC10" s="274" t="s">
        <v>108</v>
      </c>
      <c r="CD10" s="275" t="s">
        <v>12</v>
      </c>
      <c r="CE10" s="273" t="s">
        <v>107</v>
      </c>
      <c r="CF10" s="274" t="s">
        <v>108</v>
      </c>
      <c r="CG10" s="275" t="s">
        <v>12</v>
      </c>
      <c r="CH10" s="273" t="s">
        <v>107</v>
      </c>
      <c r="CI10" s="274" t="s">
        <v>108</v>
      </c>
      <c r="CJ10" s="275" t="s">
        <v>12</v>
      </c>
      <c r="CK10" s="273" t="s">
        <v>107</v>
      </c>
      <c r="CL10" s="274" t="s">
        <v>108</v>
      </c>
      <c r="CM10" s="275" t="s">
        <v>12</v>
      </c>
      <c r="CN10" s="273" t="s">
        <v>107</v>
      </c>
      <c r="CO10" s="274" t="s">
        <v>108</v>
      </c>
      <c r="CP10" s="275" t="s">
        <v>12</v>
      </c>
      <c r="CQ10" s="273" t="s">
        <v>107</v>
      </c>
      <c r="CR10" s="274" t="s">
        <v>108</v>
      </c>
      <c r="CS10" s="275" t="s">
        <v>12</v>
      </c>
      <c r="CT10" s="273" t="s">
        <v>107</v>
      </c>
      <c r="CU10" s="274" t="s">
        <v>108</v>
      </c>
      <c r="CV10" s="275" t="s">
        <v>12</v>
      </c>
      <c r="CW10" s="273" t="s">
        <v>107</v>
      </c>
      <c r="CX10" s="274" t="s">
        <v>108</v>
      </c>
      <c r="CY10" s="275" t="s">
        <v>12</v>
      </c>
      <c r="CZ10" s="273" t="s">
        <v>107</v>
      </c>
      <c r="DA10" s="274" t="s">
        <v>108</v>
      </c>
      <c r="DB10" s="275" t="s">
        <v>12</v>
      </c>
      <c r="DC10" s="273" t="s">
        <v>107</v>
      </c>
      <c r="DD10" s="274" t="s">
        <v>108</v>
      </c>
      <c r="DE10" s="275" t="s">
        <v>12</v>
      </c>
      <c r="DF10" s="273" t="s">
        <v>107</v>
      </c>
      <c r="DG10" s="274" t="s">
        <v>108</v>
      </c>
      <c r="DH10" s="275" t="s">
        <v>12</v>
      </c>
      <c r="DI10" s="273" t="s">
        <v>107</v>
      </c>
      <c r="DJ10" s="274" t="s">
        <v>108</v>
      </c>
      <c r="DK10" s="275" t="s">
        <v>12</v>
      </c>
      <c r="DL10" s="273" t="s">
        <v>107</v>
      </c>
      <c r="DM10" s="274" t="s">
        <v>108</v>
      </c>
      <c r="DN10" s="275" t="s">
        <v>12</v>
      </c>
      <c r="DO10" s="273" t="s">
        <v>107</v>
      </c>
      <c r="DP10" s="274" t="s">
        <v>108</v>
      </c>
      <c r="DQ10" s="275" t="s">
        <v>12</v>
      </c>
      <c r="DR10" s="273" t="s">
        <v>107</v>
      </c>
      <c r="DS10" s="274" t="s">
        <v>108</v>
      </c>
      <c r="DT10" s="275" t="s">
        <v>12</v>
      </c>
      <c r="DU10" s="273" t="s">
        <v>107</v>
      </c>
      <c r="DV10" s="274" t="s">
        <v>108</v>
      </c>
      <c r="DW10" s="275" t="s">
        <v>12</v>
      </c>
      <c r="DX10" s="273" t="s">
        <v>107</v>
      </c>
      <c r="DY10" s="274"/>
      <c r="DZ10" s="275"/>
      <c r="EA10" s="275"/>
      <c r="EB10" s="275" t="s">
        <v>109</v>
      </c>
      <c r="EC10" s="275" t="s">
        <v>109</v>
      </c>
      <c r="ED10" s="275" t="s">
        <v>12</v>
      </c>
      <c r="EE10" s="275" t="s">
        <v>108</v>
      </c>
      <c r="EG10" s="275" t="s">
        <v>109</v>
      </c>
      <c r="EH10" s="275" t="s">
        <v>12</v>
      </c>
      <c r="EI10" s="275" t="s">
        <v>108</v>
      </c>
      <c r="EJ10" s="275"/>
      <c r="EK10" s="275" t="s">
        <v>109</v>
      </c>
      <c r="EL10" s="275" t="s">
        <v>109</v>
      </c>
      <c r="EM10" s="275" t="s">
        <v>12</v>
      </c>
      <c r="EN10" s="275" t="s">
        <v>108</v>
      </c>
    </row>
    <row r="11" spans="1:147" x14ac:dyDescent="0.25">
      <c r="A11" s="255">
        <v>45505</v>
      </c>
      <c r="B11" s="241">
        <v>0</v>
      </c>
      <c r="C11" s="242">
        <v>5.4579120000000002E-2</v>
      </c>
      <c r="D11" s="241">
        <f>(B11*C11)/360</f>
        <v>0</v>
      </c>
      <c r="G11" s="241">
        <f>(E11*F11)/360</f>
        <v>0</v>
      </c>
      <c r="J11" s="241">
        <f>(H11*I11)/360</f>
        <v>0</v>
      </c>
      <c r="M11" s="241">
        <f>(K11*L11)/360</f>
        <v>0</v>
      </c>
      <c r="P11" s="241">
        <f>(N11*O11)/360</f>
        <v>0</v>
      </c>
      <c r="S11" s="241">
        <f>(Q11*R11)/360</f>
        <v>0</v>
      </c>
      <c r="V11" s="241">
        <f>(T11*U11)/360</f>
        <v>0</v>
      </c>
      <c r="Y11" s="241">
        <f>(W11*X11)/360</f>
        <v>0</v>
      </c>
      <c r="AB11" s="241">
        <f>(Z11*AA11)/360</f>
        <v>0</v>
      </c>
      <c r="AE11" s="241">
        <v>0</v>
      </c>
      <c r="AH11" s="241">
        <v>0</v>
      </c>
      <c r="AI11" s="256">
        <f>16400000+35100000</f>
        <v>51500000</v>
      </c>
      <c r="AJ11" s="257">
        <v>5.4899999999999997E-2</v>
      </c>
      <c r="AK11" s="241">
        <f>(AI11*AJ11)/360</f>
        <v>7853.75</v>
      </c>
      <c r="AL11" s="256">
        <f t="shared" ref="AL11:AL18" si="0">75000000+60000000+70000000+18400000+6600000+25000000+50000000</f>
        <v>305000000</v>
      </c>
      <c r="AM11" s="257">
        <v>5.6000000000000001E-2</v>
      </c>
      <c r="AN11" s="241">
        <f>(AL11*AM11)/360</f>
        <v>47444.444444444445</v>
      </c>
      <c r="AO11" s="256">
        <f t="shared" ref="AO11:AO38" si="1">40000000</f>
        <v>40000000</v>
      </c>
      <c r="AP11" s="257">
        <v>5.6000000000000001E-2</v>
      </c>
      <c r="AQ11" s="241">
        <f>(AO11*AP11)/360</f>
        <v>6222.2222222222226</v>
      </c>
      <c r="AR11" s="256"/>
      <c r="AS11" s="257"/>
      <c r="AT11" s="241">
        <f>(AR11*AS11)/360</f>
        <v>0</v>
      </c>
      <c r="AW11" s="241">
        <f>(AU11*AV11)/360</f>
        <v>0</v>
      </c>
      <c r="AZ11" s="241">
        <f>(AX11*AY11)/360</f>
        <v>0</v>
      </c>
      <c r="BC11" s="241">
        <f>(BA11*BB11)/360</f>
        <v>0</v>
      </c>
      <c r="BF11" s="241">
        <f>(BD11*BE11)/360</f>
        <v>0</v>
      </c>
      <c r="BI11" s="241">
        <f>(BG11*BH11)/360</f>
        <v>0</v>
      </c>
      <c r="BL11" s="241">
        <f>(BJ11*BK11)/360</f>
        <v>0</v>
      </c>
      <c r="BO11" s="241">
        <f>(BM11*BN11)/360</f>
        <v>0</v>
      </c>
      <c r="BR11" s="241">
        <f>(BP11*BQ11)/360</f>
        <v>0</v>
      </c>
      <c r="BU11" s="241">
        <f>(BS11*BT11)/360</f>
        <v>0</v>
      </c>
      <c r="BX11" s="241">
        <f>(BV11*BW11)/360</f>
        <v>0</v>
      </c>
      <c r="CA11" s="241">
        <f>(BY11*BZ11)/360</f>
        <v>0</v>
      </c>
      <c r="CD11" s="241">
        <f>(CB11*CC11)/360</f>
        <v>0</v>
      </c>
      <c r="CG11" s="241">
        <f>(CE11*CF11)/360</f>
        <v>0</v>
      </c>
      <c r="CJ11" s="241">
        <f>(CH11*CI11)/360</f>
        <v>0</v>
      </c>
      <c r="CM11" s="241">
        <f>(CK11*CL11)/360</f>
        <v>0</v>
      </c>
      <c r="CP11" s="241">
        <f>(CN11*CO11)/360</f>
        <v>0</v>
      </c>
      <c r="CS11" s="241">
        <f>(CQ11*CR11)/360</f>
        <v>0</v>
      </c>
      <c r="CV11" s="241">
        <f>(CT11*CU11)/360</f>
        <v>0</v>
      </c>
      <c r="CY11" s="241">
        <f>(CW11*CX11)/360</f>
        <v>0</v>
      </c>
      <c r="DB11" s="241">
        <f>(CZ11*DA11)/360</f>
        <v>0</v>
      </c>
      <c r="DE11" s="241">
        <f>(DC11*DD11)/360</f>
        <v>0</v>
      </c>
      <c r="DH11" s="241">
        <f>(DF11*DG11)/360</f>
        <v>0</v>
      </c>
      <c r="DK11" s="241">
        <f>(DI11*DJ11)/360</f>
        <v>0</v>
      </c>
      <c r="DN11" s="241">
        <f>(DL11*DM11)/360</f>
        <v>0</v>
      </c>
      <c r="DQ11" s="241">
        <f>(DO11*DP11)/360</f>
        <v>0</v>
      </c>
      <c r="DT11" s="241">
        <f>(DR11*DS11)/360</f>
        <v>0</v>
      </c>
      <c r="DW11" s="241">
        <f>(DU11*DV11)/360</f>
        <v>0</v>
      </c>
      <c r="DZ11" s="241"/>
      <c r="EA11" s="241"/>
      <c r="EB11" s="261">
        <f>B11+E11+H11+K11+N11+Q11+T11+W11+Z11+AC11+AF11+AL11+AO11+AR11+AU11+AX11+BA11+BD11+BG11+DU11+AI11+DR11+DO11+DL11+DI11+DF11+DC11+CZ11+CW11+CT11+CQ11+CN11+CK11+CH11+CE11+CB11+BY11+BV11+BS11+BP11+BM11+BJ11</f>
        <v>396500000</v>
      </c>
      <c r="EC11" s="261">
        <f>EB11-EK11+EL11</f>
        <v>0</v>
      </c>
      <c r="ED11" s="241">
        <f>D11+G11+J11+M11+P11+S11+V11+Y11+AB11+AE11+AH11+AK11+AN11+AQ11+AT11+AW11+AZ11+BC11+BF11+BI11+DW11+DT11+DQ11+DN11+DK11+DH11+DE11+DB11+CY11+CV11+CS11+CP11+CM11+CJ11+CG11+CD11+CA11+BX11+BU11+BR11+BO11+BL11</f>
        <v>61520.416666666672</v>
      </c>
      <c r="EE11" s="242">
        <f>IF(EB11&lt;&gt;0,((ED11/EB11)*360),0)</f>
        <v>5.5857124842370751E-2</v>
      </c>
      <c r="EG11" s="261">
        <f>Q11+T11+W11+Z11+AC11+AF11</f>
        <v>0</v>
      </c>
      <c r="EH11" s="241">
        <f>S11+V11+Y11+AB11+AE11+AH11</f>
        <v>0</v>
      </c>
      <c r="EI11" s="242">
        <f>IF(EG11&lt;&gt;0,((EH11/EG11)*360),0)</f>
        <v>0</v>
      </c>
      <c r="EJ11" s="242"/>
      <c r="EK11" s="261">
        <f>DR11+DL11+DI11+DF11+DC11+CZ11+CW11+CT11+CQ11+CN11+CK11+CH11+CE11+CB11+BY11+BV11+BS11+BP11+BM11+BJ11+BG11+BD11+BA11+AX11+AU11+AR11+AO11+AL11+AI11+DO11</f>
        <v>396500000</v>
      </c>
      <c r="EL11" s="261">
        <f>DX11</f>
        <v>0</v>
      </c>
      <c r="EM11" s="261">
        <f>DT11+DQ11+DN11+DK11+DH11+DE11+DB11+CY11+CV11+CS11+CP11+CM11+CJ11+CG11+CD11+CA11+BX11+BU11+BR11+BO11+BL11+BI11+BF11+BC11+AZ11+AW11+AT11+AQ11+AN11+AK11</f>
        <v>61520.416666666672</v>
      </c>
      <c r="EN11" s="242">
        <f>IF(EK11&lt;&gt;0,((EM11/EK11)*360),0)</f>
        <v>5.5857124842370751E-2</v>
      </c>
      <c r="EP11" s="241"/>
    </row>
    <row r="12" spans="1:147" x14ac:dyDescent="0.25">
      <c r="A12" s="255">
        <f>1+A11</f>
        <v>45506</v>
      </c>
      <c r="B12" s="241">
        <v>0</v>
      </c>
      <c r="C12" s="242">
        <v>5.472262E-2</v>
      </c>
      <c r="D12" s="241">
        <f t="shared" ref="D12:D41" si="2">(B12*C12)/360</f>
        <v>0</v>
      </c>
      <c r="G12" s="241">
        <f t="shared" ref="G12:G41" si="3">(E12*F12)/360</f>
        <v>0</v>
      </c>
      <c r="J12" s="241">
        <f t="shared" ref="J12:J41" si="4">(H12*I12)/360</f>
        <v>0</v>
      </c>
      <c r="M12" s="241">
        <f t="shared" ref="M12:M41" si="5">(K12*L12)/360</f>
        <v>0</v>
      </c>
      <c r="P12" s="241">
        <f t="shared" ref="P12:P41" si="6">(N12*O12)/360</f>
        <v>0</v>
      </c>
      <c r="S12" s="241">
        <f t="shared" ref="S12:S41" si="7">(Q12*R12)/360</f>
        <v>0</v>
      </c>
      <c r="V12" s="241">
        <f t="shared" ref="V12:V41" si="8">(T12*U12)/360</f>
        <v>0</v>
      </c>
      <c r="Y12" s="241">
        <f t="shared" ref="Y12:Y41" si="9">(W12*X12)/360</f>
        <v>0</v>
      </c>
      <c r="AB12" s="241">
        <f t="shared" ref="AB12:AB41" si="10">(Z12*AA12)/360</f>
        <v>0</v>
      </c>
      <c r="AE12" s="241">
        <v>0</v>
      </c>
      <c r="AH12" s="241">
        <v>0</v>
      </c>
      <c r="AI12" s="256">
        <f>23975000+35000000</f>
        <v>58975000</v>
      </c>
      <c r="AJ12" s="257">
        <v>5.4899999999999997E-2</v>
      </c>
      <c r="AK12" s="241">
        <f t="shared" ref="AK12:AK41" si="11">(AI12*AJ12)/360</f>
        <v>8993.6875</v>
      </c>
      <c r="AL12" s="256">
        <f t="shared" si="0"/>
        <v>305000000</v>
      </c>
      <c r="AM12" s="257">
        <v>5.6000000000000001E-2</v>
      </c>
      <c r="AN12" s="241">
        <f t="shared" ref="AN12:AN41" si="12">(AL12*AM12)/360</f>
        <v>47444.444444444445</v>
      </c>
      <c r="AO12" s="256">
        <f t="shared" si="1"/>
        <v>40000000</v>
      </c>
      <c r="AP12" s="257">
        <v>5.6000000000000001E-2</v>
      </c>
      <c r="AQ12" s="241">
        <f t="shared" ref="AQ12:AQ41" si="13">(AO12*AP12)/360</f>
        <v>6222.2222222222226</v>
      </c>
      <c r="AR12" s="256"/>
      <c r="AS12" s="257"/>
      <c r="AT12" s="241">
        <f t="shared" ref="AT12:AT41" si="14">(AR12*AS12)/360</f>
        <v>0</v>
      </c>
      <c r="AW12" s="241">
        <f t="shared" ref="AW12:AW41" si="15">(AU12*AV12)/360</f>
        <v>0</v>
      </c>
      <c r="AZ12" s="241">
        <f t="shared" ref="AZ12:AZ41" si="16">(AX12*AY12)/360</f>
        <v>0</v>
      </c>
      <c r="BC12" s="241">
        <f t="shared" ref="BC12:BC41" si="17">(BA12*BB12)/360</f>
        <v>0</v>
      </c>
      <c r="BF12" s="241">
        <f t="shared" ref="BF12:BF41" si="18">(BD12*BE12)/360</f>
        <v>0</v>
      </c>
      <c r="BI12" s="241">
        <f t="shared" ref="BI12:BI41" si="19">(BG12*BH12)/360</f>
        <v>0</v>
      </c>
      <c r="BL12" s="241">
        <f t="shared" ref="BL12:BL41" si="20">(BJ12*BK12)/360</f>
        <v>0</v>
      </c>
      <c r="BO12" s="241">
        <f t="shared" ref="BO12:BO41" si="21">(BM12*BN12)/360</f>
        <v>0</v>
      </c>
      <c r="BR12" s="241">
        <f t="shared" ref="BR12:BR41" si="22">(BP12*BQ12)/360</f>
        <v>0</v>
      </c>
      <c r="BU12" s="241">
        <f t="shared" ref="BU12:BU41" si="23">(BS12*BT12)/360</f>
        <v>0</v>
      </c>
      <c r="BX12" s="241">
        <f t="shared" ref="BX12:BX41" si="24">(BV12*BW12)/360</f>
        <v>0</v>
      </c>
      <c r="CA12" s="241">
        <f t="shared" ref="CA12:CA41" si="25">(BY12*BZ12)/360</f>
        <v>0</v>
      </c>
      <c r="CD12" s="241">
        <f t="shared" ref="CD12:CD41" si="26">(CB12*CC12)/360</f>
        <v>0</v>
      </c>
      <c r="CG12" s="241">
        <f t="shared" ref="CG12:CG41" si="27">(CE12*CF12)/360</f>
        <v>0</v>
      </c>
      <c r="CJ12" s="241">
        <f t="shared" ref="CJ12:CJ41" si="28">(CH12*CI12)/360</f>
        <v>0</v>
      </c>
      <c r="CM12" s="241">
        <f t="shared" ref="CM12:CM41" si="29">(CK12*CL12)/360</f>
        <v>0</v>
      </c>
      <c r="CP12" s="241">
        <f t="shared" ref="CP12:CP41" si="30">(CN12*CO12)/360</f>
        <v>0</v>
      </c>
      <c r="CS12" s="241">
        <f t="shared" ref="CS12:CS41" si="31">(CQ12*CR12)/360</f>
        <v>0</v>
      </c>
      <c r="CV12" s="241">
        <f t="shared" ref="CV12:CV41" si="32">(CT12*CU12)/360</f>
        <v>0</v>
      </c>
      <c r="CY12" s="241">
        <f t="shared" ref="CY12:CY41" si="33">(CW12*CX12)/360</f>
        <v>0</v>
      </c>
      <c r="DB12" s="241">
        <f t="shared" ref="DB12:DB41" si="34">(CZ12*DA12)/360</f>
        <v>0</v>
      </c>
      <c r="DE12" s="241">
        <f t="shared" ref="DE12:DE41" si="35">(DC12*DD12)/360</f>
        <v>0</v>
      </c>
      <c r="DH12" s="241">
        <f t="shared" ref="DH12:DH41" si="36">(DF12*DG12)/360</f>
        <v>0</v>
      </c>
      <c r="DK12" s="241">
        <f t="shared" ref="DK12:DK41" si="37">(DI12*DJ12)/360</f>
        <v>0</v>
      </c>
      <c r="DN12" s="241">
        <f t="shared" ref="DN12:DN41" si="38">(DL12*DM12)/360</f>
        <v>0</v>
      </c>
      <c r="DQ12" s="241">
        <f t="shared" ref="DQ12:DQ41" si="39">(DO12*DP12)/360</f>
        <v>0</v>
      </c>
      <c r="DT12" s="241">
        <f t="shared" ref="DT12:DT41" si="40">(DR12*DS12)/360</f>
        <v>0</v>
      </c>
      <c r="DW12" s="241">
        <f t="shared" ref="DW12:DW41" si="41">(DU12*DV12)/360</f>
        <v>0</v>
      </c>
      <c r="DZ12" s="241"/>
      <c r="EA12" s="241"/>
      <c r="EB12" s="261">
        <f t="shared" ref="EB12:EB41" si="42">B12+E12+H12+K12+N12+Q12+T12+W12+Z12+AC12+AF12+AL12+AO12+AR12+AU12+AX12+BA12+BD12+BG12+DU12+AI12+DR12+DO12+DL12+DI12+DF12+DC12+CZ12+CW12+CT12+CQ12+CN12+CK12+CH12+CE12+CB12+BY12+BV12+BS12+BP12+BM12+BJ12</f>
        <v>403975000</v>
      </c>
      <c r="EC12" s="261">
        <f t="shared" ref="EC12:EC41" si="43">EB12-EK12+EL12</f>
        <v>0</v>
      </c>
      <c r="ED12" s="241">
        <f t="shared" ref="ED12:ED41" si="44">D12+G12+J12+M12+P12+S12+V12+Y12+AB12+AE12+AH12+AK12+AN12+AQ12+AT12+AW12+AZ12+BC12+BF12+BI12+DW12+DT12+DQ12+DN12+DK12+DH12+DE12+DB12+CY12+CV12+CS12+CP12+CM12+CJ12+CG12+CD12+CA12+BX12+BU12+BR12+BO12+BL12</f>
        <v>62660.354166666672</v>
      </c>
      <c r="EE12" s="242">
        <f t="shared" ref="EE12:EE41" si="45">IF(EB12&lt;&gt;0,((ED12/EB12)*360),0)</f>
        <v>5.5839414567733156E-2</v>
      </c>
      <c r="EG12" s="261">
        <f t="shared" ref="EG12:EG41" si="46">Q12+T12+W12+Z12+AC12+AF12</f>
        <v>0</v>
      </c>
      <c r="EH12" s="241">
        <f t="shared" ref="EH12:EH41" si="47">S12+V12+Y12+AB12+AE12+AH12</f>
        <v>0</v>
      </c>
      <c r="EI12" s="242">
        <f t="shared" ref="EI12:EI41" si="48">IF(EG12&lt;&gt;0,((EH12/EG12)*360),0)</f>
        <v>0</v>
      </c>
      <c r="EJ12" s="242"/>
      <c r="EK12" s="261">
        <f t="shared" ref="EK12:EK41" si="49">DR12+DL12+DI12+DF12+DC12+CZ12+CW12+CT12+CQ12+CN12+CK12+CH12+CE12+CB12+BY12+BV12+BS12+BP12+BM12+BJ12+BG12+BD12+BA12+AX12+AU12+AR12+AO12+AL12+AI12+DO12</f>
        <v>403975000</v>
      </c>
      <c r="EL12" s="261">
        <f t="shared" ref="EL12:EL41" si="50">DX12</f>
        <v>0</v>
      </c>
      <c r="EM12" s="261">
        <f t="shared" ref="EM12:EM41" si="51">DT12+DQ12+DN12+DK12+DH12+DE12+DB12+CY12+CV12+CS12+CP12+CM12+CJ12+CG12+CD12+CA12+BX12+BU12+BR12+BO12+BL12+BI12+BF12+BC12+AZ12+AW12+AT12+AQ12+AN12+AK12</f>
        <v>62660.354166666672</v>
      </c>
      <c r="EN12" s="242">
        <f t="shared" ref="EN12:EN41" si="52">IF(EK12&lt;&gt;0,((EM12/EK12)*360),0)</f>
        <v>5.5839414567733156E-2</v>
      </c>
      <c r="EP12" s="241"/>
    </row>
    <row r="13" spans="1:147" x14ac:dyDescent="0.25">
      <c r="A13" s="255">
        <f t="shared" ref="A13:A41" si="53">1+A12</f>
        <v>45507</v>
      </c>
      <c r="B13" s="241">
        <v>0</v>
      </c>
      <c r="C13" s="242">
        <v>5.472262E-2</v>
      </c>
      <c r="D13" s="241">
        <f t="shared" si="2"/>
        <v>0</v>
      </c>
      <c r="G13" s="241">
        <f t="shared" si="3"/>
        <v>0</v>
      </c>
      <c r="J13" s="241">
        <f t="shared" si="4"/>
        <v>0</v>
      </c>
      <c r="M13" s="241">
        <f t="shared" si="5"/>
        <v>0</v>
      </c>
      <c r="P13" s="241">
        <f t="shared" si="6"/>
        <v>0</v>
      </c>
      <c r="S13" s="241">
        <f t="shared" si="7"/>
        <v>0</v>
      </c>
      <c r="V13" s="241">
        <f t="shared" si="8"/>
        <v>0</v>
      </c>
      <c r="Y13" s="241">
        <f t="shared" si="9"/>
        <v>0</v>
      </c>
      <c r="AB13" s="241">
        <f t="shared" si="10"/>
        <v>0</v>
      </c>
      <c r="AE13" s="241">
        <v>0</v>
      </c>
      <c r="AH13" s="241">
        <v>0</v>
      </c>
      <c r="AI13" s="256">
        <f>23975000+35000000</f>
        <v>58975000</v>
      </c>
      <c r="AJ13" s="257">
        <v>5.4899999999999997E-2</v>
      </c>
      <c r="AK13" s="241">
        <f t="shared" si="11"/>
        <v>8993.6875</v>
      </c>
      <c r="AL13" s="256">
        <f t="shared" si="0"/>
        <v>305000000</v>
      </c>
      <c r="AM13" s="257">
        <v>5.6000000000000001E-2</v>
      </c>
      <c r="AN13" s="241">
        <f t="shared" si="12"/>
        <v>47444.444444444445</v>
      </c>
      <c r="AO13" s="256">
        <f t="shared" si="1"/>
        <v>40000000</v>
      </c>
      <c r="AP13" s="257">
        <v>5.6000000000000001E-2</v>
      </c>
      <c r="AQ13" s="241">
        <f t="shared" si="13"/>
        <v>6222.2222222222226</v>
      </c>
      <c r="AR13" s="256"/>
      <c r="AS13" s="257"/>
      <c r="AT13" s="241">
        <f t="shared" si="14"/>
        <v>0</v>
      </c>
      <c r="AW13" s="241">
        <f t="shared" si="15"/>
        <v>0</v>
      </c>
      <c r="AZ13" s="241">
        <f t="shared" si="16"/>
        <v>0</v>
      </c>
      <c r="BC13" s="241">
        <f t="shared" si="17"/>
        <v>0</v>
      </c>
      <c r="BF13" s="241">
        <f t="shared" si="18"/>
        <v>0</v>
      </c>
      <c r="BI13" s="241">
        <f t="shared" si="19"/>
        <v>0</v>
      </c>
      <c r="BL13" s="241">
        <f t="shared" si="20"/>
        <v>0</v>
      </c>
      <c r="BO13" s="241">
        <f t="shared" si="21"/>
        <v>0</v>
      </c>
      <c r="BR13" s="241">
        <f t="shared" si="22"/>
        <v>0</v>
      </c>
      <c r="BU13" s="241">
        <f t="shared" si="23"/>
        <v>0</v>
      </c>
      <c r="BX13" s="241">
        <f t="shared" si="24"/>
        <v>0</v>
      </c>
      <c r="CA13" s="241">
        <f t="shared" si="25"/>
        <v>0</v>
      </c>
      <c r="CD13" s="241">
        <f t="shared" si="26"/>
        <v>0</v>
      </c>
      <c r="CG13" s="241">
        <f t="shared" si="27"/>
        <v>0</v>
      </c>
      <c r="CJ13" s="241">
        <f t="shared" si="28"/>
        <v>0</v>
      </c>
      <c r="CM13" s="241">
        <f t="shared" si="29"/>
        <v>0</v>
      </c>
      <c r="CP13" s="241">
        <f t="shared" si="30"/>
        <v>0</v>
      </c>
      <c r="CS13" s="241">
        <f t="shared" si="31"/>
        <v>0</v>
      </c>
      <c r="CV13" s="241">
        <f t="shared" si="32"/>
        <v>0</v>
      </c>
      <c r="CY13" s="241">
        <f t="shared" si="33"/>
        <v>0</v>
      </c>
      <c r="DB13" s="241">
        <f t="shared" si="34"/>
        <v>0</v>
      </c>
      <c r="DE13" s="241">
        <f t="shared" si="35"/>
        <v>0</v>
      </c>
      <c r="DH13" s="241">
        <f t="shared" si="36"/>
        <v>0</v>
      </c>
      <c r="DK13" s="241">
        <f t="shared" si="37"/>
        <v>0</v>
      </c>
      <c r="DN13" s="241">
        <f t="shared" si="38"/>
        <v>0</v>
      </c>
      <c r="DQ13" s="241">
        <f t="shared" si="39"/>
        <v>0</v>
      </c>
      <c r="DT13" s="241">
        <f t="shared" si="40"/>
        <v>0</v>
      </c>
      <c r="DW13" s="241">
        <f t="shared" si="41"/>
        <v>0</v>
      </c>
      <c r="DZ13" s="241"/>
      <c r="EA13" s="241"/>
      <c r="EB13" s="261">
        <f t="shared" si="42"/>
        <v>403975000</v>
      </c>
      <c r="EC13" s="261">
        <f t="shared" si="43"/>
        <v>0</v>
      </c>
      <c r="ED13" s="241">
        <f t="shared" si="44"/>
        <v>62660.354166666672</v>
      </c>
      <c r="EE13" s="242">
        <f t="shared" si="45"/>
        <v>5.5839414567733156E-2</v>
      </c>
      <c r="EG13" s="261">
        <f t="shared" si="46"/>
        <v>0</v>
      </c>
      <c r="EH13" s="241">
        <f t="shared" si="47"/>
        <v>0</v>
      </c>
      <c r="EI13" s="242">
        <f t="shared" si="48"/>
        <v>0</v>
      </c>
      <c r="EJ13" s="242"/>
      <c r="EK13" s="261">
        <f t="shared" si="49"/>
        <v>403975000</v>
      </c>
      <c r="EL13" s="261">
        <f t="shared" si="50"/>
        <v>0</v>
      </c>
      <c r="EM13" s="261">
        <f t="shared" si="51"/>
        <v>62660.354166666672</v>
      </c>
      <c r="EN13" s="242">
        <f t="shared" si="52"/>
        <v>5.5839414567733156E-2</v>
      </c>
      <c r="EP13" s="241"/>
    </row>
    <row r="14" spans="1:147" x14ac:dyDescent="0.25">
      <c r="A14" s="255">
        <f t="shared" si="53"/>
        <v>45508</v>
      </c>
      <c r="B14" s="241">
        <v>0</v>
      </c>
      <c r="C14" s="242">
        <v>5.472262E-2</v>
      </c>
      <c r="D14" s="241">
        <f t="shared" si="2"/>
        <v>0</v>
      </c>
      <c r="G14" s="241">
        <f t="shared" si="3"/>
        <v>0</v>
      </c>
      <c r="J14" s="241">
        <f t="shared" si="4"/>
        <v>0</v>
      </c>
      <c r="M14" s="241">
        <f t="shared" si="5"/>
        <v>0</v>
      </c>
      <c r="P14" s="241">
        <f t="shared" si="6"/>
        <v>0</v>
      </c>
      <c r="S14" s="241">
        <f t="shared" si="7"/>
        <v>0</v>
      </c>
      <c r="V14" s="241">
        <f t="shared" si="8"/>
        <v>0</v>
      </c>
      <c r="Y14" s="241">
        <f t="shared" si="9"/>
        <v>0</v>
      </c>
      <c r="AB14" s="241">
        <f t="shared" si="10"/>
        <v>0</v>
      </c>
      <c r="AE14" s="241">
        <v>0</v>
      </c>
      <c r="AH14" s="241">
        <v>0</v>
      </c>
      <c r="AI14" s="256">
        <f>23975000+35000000</f>
        <v>58975000</v>
      </c>
      <c r="AJ14" s="257">
        <v>5.4899999999999997E-2</v>
      </c>
      <c r="AK14" s="241">
        <f t="shared" si="11"/>
        <v>8993.6875</v>
      </c>
      <c r="AL14" s="256">
        <f t="shared" si="0"/>
        <v>305000000</v>
      </c>
      <c r="AM14" s="257">
        <v>5.6000000000000001E-2</v>
      </c>
      <c r="AN14" s="241">
        <f t="shared" si="12"/>
        <v>47444.444444444445</v>
      </c>
      <c r="AO14" s="256">
        <f t="shared" si="1"/>
        <v>40000000</v>
      </c>
      <c r="AP14" s="257">
        <v>5.6000000000000001E-2</v>
      </c>
      <c r="AQ14" s="241">
        <f t="shared" si="13"/>
        <v>6222.2222222222226</v>
      </c>
      <c r="AR14" s="256"/>
      <c r="AS14" s="257"/>
      <c r="AT14" s="241">
        <f t="shared" si="14"/>
        <v>0</v>
      </c>
      <c r="AW14" s="241">
        <f t="shared" si="15"/>
        <v>0</v>
      </c>
      <c r="AZ14" s="241">
        <f t="shared" si="16"/>
        <v>0</v>
      </c>
      <c r="BC14" s="241">
        <f t="shared" si="17"/>
        <v>0</v>
      </c>
      <c r="BF14" s="241">
        <f t="shared" si="18"/>
        <v>0</v>
      </c>
      <c r="BI14" s="241">
        <f t="shared" si="19"/>
        <v>0</v>
      </c>
      <c r="BL14" s="241">
        <f t="shared" si="20"/>
        <v>0</v>
      </c>
      <c r="BO14" s="241">
        <f t="shared" si="21"/>
        <v>0</v>
      </c>
      <c r="BR14" s="241">
        <f t="shared" si="22"/>
        <v>0</v>
      </c>
      <c r="BU14" s="241">
        <f t="shared" si="23"/>
        <v>0</v>
      </c>
      <c r="BX14" s="241">
        <f t="shared" si="24"/>
        <v>0</v>
      </c>
      <c r="CA14" s="241">
        <f t="shared" si="25"/>
        <v>0</v>
      </c>
      <c r="CD14" s="241">
        <f t="shared" si="26"/>
        <v>0</v>
      </c>
      <c r="CG14" s="241">
        <f t="shared" si="27"/>
        <v>0</v>
      </c>
      <c r="CJ14" s="241">
        <f t="shared" si="28"/>
        <v>0</v>
      </c>
      <c r="CM14" s="241">
        <f t="shared" si="29"/>
        <v>0</v>
      </c>
      <c r="CP14" s="241">
        <f t="shared" si="30"/>
        <v>0</v>
      </c>
      <c r="CS14" s="241">
        <f t="shared" si="31"/>
        <v>0</v>
      </c>
      <c r="CV14" s="241">
        <f t="shared" si="32"/>
        <v>0</v>
      </c>
      <c r="CY14" s="241">
        <f t="shared" si="33"/>
        <v>0</v>
      </c>
      <c r="DB14" s="241">
        <f t="shared" si="34"/>
        <v>0</v>
      </c>
      <c r="DE14" s="241">
        <f t="shared" si="35"/>
        <v>0</v>
      </c>
      <c r="DH14" s="241">
        <f t="shared" si="36"/>
        <v>0</v>
      </c>
      <c r="DK14" s="241">
        <f t="shared" si="37"/>
        <v>0</v>
      </c>
      <c r="DN14" s="241">
        <f t="shared" si="38"/>
        <v>0</v>
      </c>
      <c r="DQ14" s="241">
        <f t="shared" si="39"/>
        <v>0</v>
      </c>
      <c r="DT14" s="241">
        <f t="shared" si="40"/>
        <v>0</v>
      </c>
      <c r="DW14" s="241">
        <f t="shared" si="41"/>
        <v>0</v>
      </c>
      <c r="DZ14" s="241"/>
      <c r="EA14" s="241"/>
      <c r="EB14" s="261">
        <f t="shared" si="42"/>
        <v>403975000</v>
      </c>
      <c r="EC14" s="261">
        <f t="shared" si="43"/>
        <v>0</v>
      </c>
      <c r="ED14" s="241">
        <f t="shared" si="44"/>
        <v>62660.354166666672</v>
      </c>
      <c r="EE14" s="242">
        <f t="shared" si="45"/>
        <v>5.5839414567733156E-2</v>
      </c>
      <c r="EG14" s="261">
        <f t="shared" si="46"/>
        <v>0</v>
      </c>
      <c r="EH14" s="241">
        <f t="shared" si="47"/>
        <v>0</v>
      </c>
      <c r="EI14" s="242">
        <f t="shared" si="48"/>
        <v>0</v>
      </c>
      <c r="EJ14" s="242"/>
      <c r="EK14" s="261">
        <f t="shared" si="49"/>
        <v>403975000</v>
      </c>
      <c r="EL14" s="261">
        <f t="shared" si="50"/>
        <v>0</v>
      </c>
      <c r="EM14" s="261">
        <f t="shared" si="51"/>
        <v>62660.354166666672</v>
      </c>
      <c r="EN14" s="242">
        <f t="shared" si="52"/>
        <v>5.5839414567733156E-2</v>
      </c>
      <c r="EP14" s="241"/>
    </row>
    <row r="15" spans="1:147" x14ac:dyDescent="0.25">
      <c r="A15" s="255">
        <f t="shared" si="53"/>
        <v>45509</v>
      </c>
      <c r="B15" s="241">
        <v>0</v>
      </c>
      <c r="C15" s="242">
        <v>5.4365259999999999E-2</v>
      </c>
      <c r="D15" s="241">
        <f t="shared" si="2"/>
        <v>0</v>
      </c>
      <c r="G15" s="241">
        <f t="shared" si="3"/>
        <v>0</v>
      </c>
      <c r="J15" s="241">
        <f t="shared" si="4"/>
        <v>0</v>
      </c>
      <c r="M15" s="241">
        <f t="shared" si="5"/>
        <v>0</v>
      </c>
      <c r="P15" s="241">
        <f t="shared" si="6"/>
        <v>0</v>
      </c>
      <c r="S15" s="241">
        <f t="shared" si="7"/>
        <v>0</v>
      </c>
      <c r="V15" s="241">
        <f t="shared" si="8"/>
        <v>0</v>
      </c>
      <c r="Y15" s="241">
        <f t="shared" si="9"/>
        <v>0</v>
      </c>
      <c r="AB15" s="241">
        <f t="shared" si="10"/>
        <v>0</v>
      </c>
      <c r="AE15" s="241">
        <v>0</v>
      </c>
      <c r="AH15" s="241">
        <v>0</v>
      </c>
      <c r="AI15" s="256">
        <f>46350000</f>
        <v>46350000</v>
      </c>
      <c r="AJ15" s="257">
        <v>5.4899999999999997E-2</v>
      </c>
      <c r="AK15" s="241">
        <f t="shared" si="11"/>
        <v>7068.375</v>
      </c>
      <c r="AL15" s="256">
        <f t="shared" si="0"/>
        <v>305000000</v>
      </c>
      <c r="AM15" s="257">
        <v>5.6000000000000001E-2</v>
      </c>
      <c r="AN15" s="241">
        <f t="shared" si="12"/>
        <v>47444.444444444445</v>
      </c>
      <c r="AO15" s="256">
        <f t="shared" si="1"/>
        <v>40000000</v>
      </c>
      <c r="AP15" s="257">
        <v>5.6000000000000001E-2</v>
      </c>
      <c r="AQ15" s="241">
        <f t="shared" si="13"/>
        <v>6222.2222222222226</v>
      </c>
      <c r="AR15" s="256"/>
      <c r="AS15" s="257"/>
      <c r="AT15" s="241">
        <f t="shared" si="14"/>
        <v>0</v>
      </c>
      <c r="AW15" s="241">
        <f t="shared" si="15"/>
        <v>0</v>
      </c>
      <c r="AZ15" s="241">
        <f t="shared" si="16"/>
        <v>0</v>
      </c>
      <c r="BC15" s="241">
        <f t="shared" si="17"/>
        <v>0</v>
      </c>
      <c r="BF15" s="241">
        <f t="shared" si="18"/>
        <v>0</v>
      </c>
      <c r="BI15" s="241">
        <f t="shared" si="19"/>
        <v>0</v>
      </c>
      <c r="BL15" s="241">
        <f t="shared" si="20"/>
        <v>0</v>
      </c>
      <c r="BO15" s="241">
        <f t="shared" si="21"/>
        <v>0</v>
      </c>
      <c r="BR15" s="241">
        <f t="shared" si="22"/>
        <v>0</v>
      </c>
      <c r="BU15" s="241">
        <f t="shared" si="23"/>
        <v>0</v>
      </c>
      <c r="BX15" s="241">
        <f t="shared" si="24"/>
        <v>0</v>
      </c>
      <c r="CA15" s="241">
        <f t="shared" si="25"/>
        <v>0</v>
      </c>
      <c r="CD15" s="241">
        <f t="shared" si="26"/>
        <v>0</v>
      </c>
      <c r="CG15" s="241">
        <f t="shared" si="27"/>
        <v>0</v>
      </c>
      <c r="CJ15" s="241">
        <f t="shared" si="28"/>
        <v>0</v>
      </c>
      <c r="CM15" s="241">
        <f t="shared" si="29"/>
        <v>0</v>
      </c>
      <c r="CP15" s="241">
        <f t="shared" si="30"/>
        <v>0</v>
      </c>
      <c r="CS15" s="241">
        <f t="shared" si="31"/>
        <v>0</v>
      </c>
      <c r="CV15" s="241">
        <f t="shared" si="32"/>
        <v>0</v>
      </c>
      <c r="CY15" s="241">
        <f t="shared" si="33"/>
        <v>0</v>
      </c>
      <c r="DB15" s="241">
        <f t="shared" si="34"/>
        <v>0</v>
      </c>
      <c r="DE15" s="241">
        <f t="shared" si="35"/>
        <v>0</v>
      </c>
      <c r="DH15" s="241">
        <f t="shared" si="36"/>
        <v>0</v>
      </c>
      <c r="DK15" s="241">
        <f t="shared" si="37"/>
        <v>0</v>
      </c>
      <c r="DN15" s="241">
        <f t="shared" si="38"/>
        <v>0</v>
      </c>
      <c r="DQ15" s="241">
        <f t="shared" si="39"/>
        <v>0</v>
      </c>
      <c r="DT15" s="241">
        <f t="shared" si="40"/>
        <v>0</v>
      </c>
      <c r="DW15" s="241">
        <f t="shared" si="41"/>
        <v>0</v>
      </c>
      <c r="DZ15" s="241"/>
      <c r="EA15" s="241"/>
      <c r="EB15" s="261">
        <f t="shared" si="42"/>
        <v>391350000</v>
      </c>
      <c r="EC15" s="261">
        <f t="shared" si="43"/>
        <v>0</v>
      </c>
      <c r="ED15" s="241">
        <f t="shared" si="44"/>
        <v>60735.041666666672</v>
      </c>
      <c r="EE15" s="242">
        <f t="shared" si="45"/>
        <v>5.586972019931008E-2</v>
      </c>
      <c r="EG15" s="261">
        <f t="shared" si="46"/>
        <v>0</v>
      </c>
      <c r="EH15" s="241">
        <f t="shared" si="47"/>
        <v>0</v>
      </c>
      <c r="EI15" s="242">
        <f t="shared" si="48"/>
        <v>0</v>
      </c>
      <c r="EJ15" s="242"/>
      <c r="EK15" s="261">
        <f t="shared" si="49"/>
        <v>391350000</v>
      </c>
      <c r="EL15" s="261">
        <f t="shared" si="50"/>
        <v>0</v>
      </c>
      <c r="EM15" s="261">
        <f t="shared" si="51"/>
        <v>60735.041666666672</v>
      </c>
      <c r="EN15" s="242">
        <f t="shared" si="52"/>
        <v>5.586972019931008E-2</v>
      </c>
      <c r="EP15" s="241"/>
    </row>
    <row r="16" spans="1:147" x14ac:dyDescent="0.25">
      <c r="A16" s="255">
        <f t="shared" si="53"/>
        <v>45510</v>
      </c>
      <c r="B16" s="241">
        <v>0</v>
      </c>
      <c r="C16" s="242">
        <v>5.3932190000000005E-2</v>
      </c>
      <c r="D16" s="241">
        <f t="shared" si="2"/>
        <v>0</v>
      </c>
      <c r="G16" s="241">
        <f t="shared" si="3"/>
        <v>0</v>
      </c>
      <c r="J16" s="241">
        <f t="shared" si="4"/>
        <v>0</v>
      </c>
      <c r="M16" s="241">
        <f t="shared" si="5"/>
        <v>0</v>
      </c>
      <c r="P16" s="241">
        <f t="shared" si="6"/>
        <v>0</v>
      </c>
      <c r="S16" s="241">
        <f t="shared" si="7"/>
        <v>0</v>
      </c>
      <c r="V16" s="241">
        <f t="shared" si="8"/>
        <v>0</v>
      </c>
      <c r="Y16" s="241">
        <f t="shared" si="9"/>
        <v>0</v>
      </c>
      <c r="AB16" s="241">
        <f t="shared" si="10"/>
        <v>0</v>
      </c>
      <c r="AE16" s="241">
        <v>0</v>
      </c>
      <c r="AH16" s="241">
        <v>0</v>
      </c>
      <c r="AI16" s="256">
        <f>24850000</f>
        <v>24850000</v>
      </c>
      <c r="AJ16" s="257">
        <v>5.4800000000000001E-2</v>
      </c>
      <c r="AK16" s="241">
        <f t="shared" si="11"/>
        <v>3782.7222222222222</v>
      </c>
      <c r="AL16" s="256">
        <f t="shared" si="0"/>
        <v>305000000</v>
      </c>
      <c r="AM16" s="257">
        <v>5.6000000000000001E-2</v>
      </c>
      <c r="AN16" s="241">
        <f t="shared" si="12"/>
        <v>47444.444444444445</v>
      </c>
      <c r="AO16" s="256">
        <f t="shared" si="1"/>
        <v>40000000</v>
      </c>
      <c r="AP16" s="257">
        <v>5.6000000000000001E-2</v>
      </c>
      <c r="AQ16" s="241">
        <f t="shared" si="13"/>
        <v>6222.2222222222226</v>
      </c>
      <c r="AR16" s="256"/>
      <c r="AS16" s="257"/>
      <c r="AT16" s="241">
        <f t="shared" si="14"/>
        <v>0</v>
      </c>
      <c r="AW16" s="241">
        <f t="shared" si="15"/>
        <v>0</v>
      </c>
      <c r="AZ16" s="241">
        <f t="shared" si="16"/>
        <v>0</v>
      </c>
      <c r="BC16" s="241">
        <f t="shared" si="17"/>
        <v>0</v>
      </c>
      <c r="BF16" s="241">
        <f t="shared" si="18"/>
        <v>0</v>
      </c>
      <c r="BI16" s="241">
        <f t="shared" si="19"/>
        <v>0</v>
      </c>
      <c r="BL16" s="241">
        <f t="shared" si="20"/>
        <v>0</v>
      </c>
      <c r="BO16" s="241">
        <f t="shared" si="21"/>
        <v>0</v>
      </c>
      <c r="BR16" s="241">
        <f t="shared" si="22"/>
        <v>0</v>
      </c>
      <c r="BU16" s="241">
        <f t="shared" si="23"/>
        <v>0</v>
      </c>
      <c r="BX16" s="241">
        <f t="shared" si="24"/>
        <v>0</v>
      </c>
      <c r="CA16" s="241">
        <f t="shared" si="25"/>
        <v>0</v>
      </c>
      <c r="CD16" s="241">
        <f t="shared" si="26"/>
        <v>0</v>
      </c>
      <c r="CG16" s="241">
        <f t="shared" si="27"/>
        <v>0</v>
      </c>
      <c r="CJ16" s="241">
        <f t="shared" si="28"/>
        <v>0</v>
      </c>
      <c r="CM16" s="241">
        <f t="shared" si="29"/>
        <v>0</v>
      </c>
      <c r="CP16" s="241">
        <f t="shared" si="30"/>
        <v>0</v>
      </c>
      <c r="CS16" s="241">
        <f t="shared" si="31"/>
        <v>0</v>
      </c>
      <c r="CV16" s="241">
        <f t="shared" si="32"/>
        <v>0</v>
      </c>
      <c r="CY16" s="241">
        <f t="shared" si="33"/>
        <v>0</v>
      </c>
      <c r="DB16" s="241">
        <f t="shared" si="34"/>
        <v>0</v>
      </c>
      <c r="DE16" s="241">
        <f t="shared" si="35"/>
        <v>0</v>
      </c>
      <c r="DH16" s="241">
        <f t="shared" si="36"/>
        <v>0</v>
      </c>
      <c r="DK16" s="241">
        <f t="shared" si="37"/>
        <v>0</v>
      </c>
      <c r="DN16" s="241">
        <f t="shared" si="38"/>
        <v>0</v>
      </c>
      <c r="DQ16" s="241">
        <f t="shared" si="39"/>
        <v>0</v>
      </c>
      <c r="DT16" s="241">
        <f t="shared" si="40"/>
        <v>0</v>
      </c>
      <c r="DW16" s="241">
        <f t="shared" si="41"/>
        <v>0</v>
      </c>
      <c r="DZ16" s="241"/>
      <c r="EA16" s="241"/>
      <c r="EB16" s="261">
        <f t="shared" si="42"/>
        <v>369850000</v>
      </c>
      <c r="EC16" s="261">
        <f t="shared" si="43"/>
        <v>0</v>
      </c>
      <c r="ED16" s="241">
        <f t="shared" si="44"/>
        <v>57449.388888888891</v>
      </c>
      <c r="EE16" s="242">
        <f t="shared" si="45"/>
        <v>5.591937271866973E-2</v>
      </c>
      <c r="EG16" s="261">
        <f t="shared" si="46"/>
        <v>0</v>
      </c>
      <c r="EH16" s="241">
        <f t="shared" si="47"/>
        <v>0</v>
      </c>
      <c r="EI16" s="242">
        <f t="shared" si="48"/>
        <v>0</v>
      </c>
      <c r="EJ16" s="242"/>
      <c r="EK16" s="261">
        <f t="shared" si="49"/>
        <v>369850000</v>
      </c>
      <c r="EL16" s="261">
        <f t="shared" si="50"/>
        <v>0</v>
      </c>
      <c r="EM16" s="261">
        <f t="shared" si="51"/>
        <v>57449.388888888891</v>
      </c>
      <c r="EN16" s="242">
        <f t="shared" si="52"/>
        <v>5.591937271866973E-2</v>
      </c>
      <c r="EP16" s="241"/>
    </row>
    <row r="17" spans="1:146" x14ac:dyDescent="0.25">
      <c r="A17" s="255">
        <f t="shared" si="53"/>
        <v>45511</v>
      </c>
      <c r="B17" s="241">
        <v>0</v>
      </c>
      <c r="C17" s="242">
        <v>5.4074650000000002E-2</v>
      </c>
      <c r="D17" s="241">
        <f t="shared" si="2"/>
        <v>0</v>
      </c>
      <c r="G17" s="241">
        <f t="shared" si="3"/>
        <v>0</v>
      </c>
      <c r="J17" s="241">
        <f t="shared" si="4"/>
        <v>0</v>
      </c>
      <c r="M17" s="241">
        <f t="shared" si="5"/>
        <v>0</v>
      </c>
      <c r="P17" s="241">
        <f t="shared" si="6"/>
        <v>0</v>
      </c>
      <c r="S17" s="241">
        <f t="shared" si="7"/>
        <v>0</v>
      </c>
      <c r="V17" s="241">
        <f t="shared" si="8"/>
        <v>0</v>
      </c>
      <c r="Y17" s="241">
        <f t="shared" si="9"/>
        <v>0</v>
      </c>
      <c r="AB17" s="241">
        <f t="shared" si="10"/>
        <v>0</v>
      </c>
      <c r="AE17" s="241">
        <v>0</v>
      </c>
      <c r="AH17" s="241">
        <v>0</v>
      </c>
      <c r="AI17" s="256">
        <f>7950000</f>
        <v>7950000</v>
      </c>
      <c r="AJ17" s="257">
        <v>5.4800000000000001E-2</v>
      </c>
      <c r="AK17" s="241">
        <f t="shared" si="11"/>
        <v>1210.1666666666667</v>
      </c>
      <c r="AL17" s="256">
        <f t="shared" si="0"/>
        <v>305000000</v>
      </c>
      <c r="AM17" s="257">
        <v>5.6000000000000001E-2</v>
      </c>
      <c r="AN17" s="241">
        <f t="shared" si="12"/>
        <v>47444.444444444445</v>
      </c>
      <c r="AO17" s="256">
        <f t="shared" si="1"/>
        <v>40000000</v>
      </c>
      <c r="AP17" s="257">
        <v>5.6000000000000001E-2</v>
      </c>
      <c r="AQ17" s="241">
        <f t="shared" si="13"/>
        <v>6222.2222222222226</v>
      </c>
      <c r="AR17" s="256"/>
      <c r="AS17" s="257"/>
      <c r="AT17" s="241">
        <f t="shared" si="14"/>
        <v>0</v>
      </c>
      <c r="AW17" s="241">
        <f t="shared" si="15"/>
        <v>0</v>
      </c>
      <c r="AZ17" s="241">
        <f t="shared" si="16"/>
        <v>0</v>
      </c>
      <c r="BC17" s="241">
        <f t="shared" si="17"/>
        <v>0</v>
      </c>
      <c r="BF17" s="241">
        <f t="shared" si="18"/>
        <v>0</v>
      </c>
      <c r="BI17" s="241">
        <f t="shared" si="19"/>
        <v>0</v>
      </c>
      <c r="BL17" s="241">
        <f t="shared" si="20"/>
        <v>0</v>
      </c>
      <c r="BO17" s="241">
        <f t="shared" si="21"/>
        <v>0</v>
      </c>
      <c r="BR17" s="241">
        <f t="shared" si="22"/>
        <v>0</v>
      </c>
      <c r="BU17" s="241">
        <f t="shared" si="23"/>
        <v>0</v>
      </c>
      <c r="BX17" s="241">
        <f t="shared" si="24"/>
        <v>0</v>
      </c>
      <c r="CA17" s="241">
        <f t="shared" si="25"/>
        <v>0</v>
      </c>
      <c r="CD17" s="241">
        <f t="shared" si="26"/>
        <v>0</v>
      </c>
      <c r="CG17" s="241">
        <f t="shared" si="27"/>
        <v>0</v>
      </c>
      <c r="CJ17" s="241">
        <f t="shared" si="28"/>
        <v>0</v>
      </c>
      <c r="CM17" s="241">
        <f t="shared" si="29"/>
        <v>0</v>
      </c>
      <c r="CP17" s="241">
        <f t="shared" si="30"/>
        <v>0</v>
      </c>
      <c r="CS17" s="241">
        <f t="shared" si="31"/>
        <v>0</v>
      </c>
      <c r="CV17" s="241">
        <f t="shared" si="32"/>
        <v>0</v>
      </c>
      <c r="CY17" s="241">
        <f t="shared" si="33"/>
        <v>0</v>
      </c>
      <c r="DB17" s="241">
        <f t="shared" si="34"/>
        <v>0</v>
      </c>
      <c r="DE17" s="241">
        <f t="shared" si="35"/>
        <v>0</v>
      </c>
      <c r="DH17" s="241">
        <f t="shared" si="36"/>
        <v>0</v>
      </c>
      <c r="DK17" s="241">
        <f t="shared" si="37"/>
        <v>0</v>
      </c>
      <c r="DN17" s="241">
        <f t="shared" si="38"/>
        <v>0</v>
      </c>
      <c r="DQ17" s="241">
        <f t="shared" si="39"/>
        <v>0</v>
      </c>
      <c r="DT17" s="241">
        <f t="shared" si="40"/>
        <v>0</v>
      </c>
      <c r="DW17" s="241">
        <f t="shared" si="41"/>
        <v>0</v>
      </c>
      <c r="DZ17" s="241"/>
      <c r="EA17" s="241"/>
      <c r="EB17" s="261">
        <f t="shared" si="42"/>
        <v>352950000</v>
      </c>
      <c r="EC17" s="261">
        <f t="shared" si="43"/>
        <v>0</v>
      </c>
      <c r="ED17" s="241">
        <f t="shared" si="44"/>
        <v>54876.833333333328</v>
      </c>
      <c r="EE17" s="242">
        <f t="shared" si="45"/>
        <v>5.5972970675733105E-2</v>
      </c>
      <c r="EG17" s="261">
        <f t="shared" si="46"/>
        <v>0</v>
      </c>
      <c r="EH17" s="241">
        <f t="shared" si="47"/>
        <v>0</v>
      </c>
      <c r="EI17" s="242">
        <f t="shared" si="48"/>
        <v>0</v>
      </c>
      <c r="EJ17" s="242"/>
      <c r="EK17" s="261">
        <f t="shared" si="49"/>
        <v>352950000</v>
      </c>
      <c r="EL17" s="261">
        <f t="shared" si="50"/>
        <v>0</v>
      </c>
      <c r="EM17" s="261">
        <f t="shared" si="51"/>
        <v>54876.833333333336</v>
      </c>
      <c r="EN17" s="242">
        <f t="shared" si="52"/>
        <v>5.5972970675733105E-2</v>
      </c>
      <c r="EP17" s="241"/>
    </row>
    <row r="18" spans="1:146" x14ac:dyDescent="0.25">
      <c r="A18" s="255">
        <f t="shared" si="53"/>
        <v>45512</v>
      </c>
      <c r="B18" s="241">
        <v>0</v>
      </c>
      <c r="C18" s="242">
        <v>5.4208340000000001E-2</v>
      </c>
      <c r="D18" s="241">
        <f t="shared" si="2"/>
        <v>0</v>
      </c>
      <c r="G18" s="241">
        <f t="shared" si="3"/>
        <v>0</v>
      </c>
      <c r="J18" s="241">
        <f t="shared" si="4"/>
        <v>0</v>
      </c>
      <c r="M18" s="241">
        <f t="shared" si="5"/>
        <v>0</v>
      </c>
      <c r="P18" s="241">
        <f t="shared" si="6"/>
        <v>0</v>
      </c>
      <c r="S18" s="241">
        <f t="shared" si="7"/>
        <v>0</v>
      </c>
      <c r="V18" s="241">
        <f t="shared" si="8"/>
        <v>0</v>
      </c>
      <c r="Y18" s="241">
        <f t="shared" si="9"/>
        <v>0</v>
      </c>
      <c r="AB18" s="241">
        <f t="shared" si="10"/>
        <v>0</v>
      </c>
      <c r="AE18" s="241">
        <v>0</v>
      </c>
      <c r="AH18" s="241">
        <v>0</v>
      </c>
      <c r="AI18" s="256">
        <f>8625000</f>
        <v>8625000</v>
      </c>
      <c r="AJ18" s="257">
        <v>5.4800000000000001E-2</v>
      </c>
      <c r="AK18" s="241">
        <f t="shared" si="11"/>
        <v>1312.9166666666667</v>
      </c>
      <c r="AL18" s="256">
        <f t="shared" si="0"/>
        <v>305000000</v>
      </c>
      <c r="AM18" s="257">
        <v>5.6000000000000001E-2</v>
      </c>
      <c r="AN18" s="241">
        <f t="shared" si="12"/>
        <v>47444.444444444445</v>
      </c>
      <c r="AO18" s="256">
        <f t="shared" si="1"/>
        <v>40000000</v>
      </c>
      <c r="AP18" s="257">
        <v>5.6000000000000001E-2</v>
      </c>
      <c r="AQ18" s="241">
        <f t="shared" si="13"/>
        <v>6222.2222222222226</v>
      </c>
      <c r="AR18" s="256"/>
      <c r="AS18" s="257"/>
      <c r="AT18" s="241">
        <f t="shared" si="14"/>
        <v>0</v>
      </c>
      <c r="AW18" s="241">
        <f t="shared" si="15"/>
        <v>0</v>
      </c>
      <c r="AZ18" s="241">
        <f t="shared" si="16"/>
        <v>0</v>
      </c>
      <c r="BC18" s="241">
        <f t="shared" si="17"/>
        <v>0</v>
      </c>
      <c r="BF18" s="241">
        <f t="shared" si="18"/>
        <v>0</v>
      </c>
      <c r="BI18" s="241">
        <f t="shared" si="19"/>
        <v>0</v>
      </c>
      <c r="BL18" s="241">
        <f t="shared" si="20"/>
        <v>0</v>
      </c>
      <c r="BO18" s="241">
        <f t="shared" si="21"/>
        <v>0</v>
      </c>
      <c r="BR18" s="241">
        <f t="shared" si="22"/>
        <v>0</v>
      </c>
      <c r="BU18" s="241">
        <f t="shared" si="23"/>
        <v>0</v>
      </c>
      <c r="BX18" s="241">
        <f t="shared" si="24"/>
        <v>0</v>
      </c>
      <c r="CA18" s="241">
        <f t="shared" si="25"/>
        <v>0</v>
      </c>
      <c r="CD18" s="241">
        <f t="shared" si="26"/>
        <v>0</v>
      </c>
      <c r="CG18" s="241">
        <f t="shared" si="27"/>
        <v>0</v>
      </c>
      <c r="CJ18" s="241">
        <f t="shared" si="28"/>
        <v>0</v>
      </c>
      <c r="CM18" s="241">
        <f t="shared" si="29"/>
        <v>0</v>
      </c>
      <c r="CP18" s="241">
        <f t="shared" si="30"/>
        <v>0</v>
      </c>
      <c r="CS18" s="241">
        <f t="shared" si="31"/>
        <v>0</v>
      </c>
      <c r="CV18" s="241">
        <f t="shared" si="32"/>
        <v>0</v>
      </c>
      <c r="CY18" s="241">
        <f t="shared" si="33"/>
        <v>0</v>
      </c>
      <c r="DB18" s="241">
        <f t="shared" si="34"/>
        <v>0</v>
      </c>
      <c r="DE18" s="241">
        <f t="shared" si="35"/>
        <v>0</v>
      </c>
      <c r="DH18" s="241">
        <f t="shared" si="36"/>
        <v>0</v>
      </c>
      <c r="DK18" s="241">
        <f t="shared" si="37"/>
        <v>0</v>
      </c>
      <c r="DN18" s="241">
        <f t="shared" si="38"/>
        <v>0</v>
      </c>
      <c r="DQ18" s="241">
        <f t="shared" si="39"/>
        <v>0</v>
      </c>
      <c r="DT18" s="241">
        <f t="shared" si="40"/>
        <v>0</v>
      </c>
      <c r="DW18" s="241">
        <f t="shared" si="41"/>
        <v>0</v>
      </c>
      <c r="DZ18" s="241"/>
      <c r="EA18" s="241"/>
      <c r="EB18" s="261">
        <f t="shared" si="42"/>
        <v>353625000</v>
      </c>
      <c r="EC18" s="261">
        <f t="shared" si="43"/>
        <v>0</v>
      </c>
      <c r="ED18" s="241">
        <f t="shared" si="44"/>
        <v>54979.583333333328</v>
      </c>
      <c r="EE18" s="242">
        <f t="shared" si="45"/>
        <v>5.5970731707317069E-2</v>
      </c>
      <c r="EG18" s="261">
        <f t="shared" si="46"/>
        <v>0</v>
      </c>
      <c r="EH18" s="241">
        <f t="shared" si="47"/>
        <v>0</v>
      </c>
      <c r="EI18" s="242">
        <f t="shared" si="48"/>
        <v>0</v>
      </c>
      <c r="EJ18" s="242"/>
      <c r="EK18" s="261">
        <f t="shared" si="49"/>
        <v>353625000</v>
      </c>
      <c r="EL18" s="261">
        <f t="shared" si="50"/>
        <v>0</v>
      </c>
      <c r="EM18" s="261">
        <f t="shared" si="51"/>
        <v>54979.583333333336</v>
      </c>
      <c r="EN18" s="242">
        <f t="shared" si="52"/>
        <v>5.5970731707317076E-2</v>
      </c>
      <c r="EP18" s="241"/>
    </row>
    <row r="19" spans="1:146" x14ac:dyDescent="0.25">
      <c r="A19" s="255">
        <f t="shared" si="53"/>
        <v>45513</v>
      </c>
      <c r="B19" s="241">
        <v>0</v>
      </c>
      <c r="C19" s="242">
        <v>5.4107000000000002E-2</v>
      </c>
      <c r="D19" s="241">
        <f t="shared" si="2"/>
        <v>0</v>
      </c>
      <c r="G19" s="241">
        <f t="shared" si="3"/>
        <v>0</v>
      </c>
      <c r="J19" s="241">
        <f t="shared" si="4"/>
        <v>0</v>
      </c>
      <c r="M19" s="241">
        <f t="shared" si="5"/>
        <v>0</v>
      </c>
      <c r="P19" s="241">
        <f t="shared" si="6"/>
        <v>0</v>
      </c>
      <c r="S19" s="241">
        <f t="shared" si="7"/>
        <v>0</v>
      </c>
      <c r="V19" s="241">
        <f t="shared" si="8"/>
        <v>0</v>
      </c>
      <c r="Y19" s="241">
        <f t="shared" si="9"/>
        <v>0</v>
      </c>
      <c r="AB19" s="241">
        <f t="shared" si="10"/>
        <v>0</v>
      </c>
      <c r="AE19" s="241">
        <v>0</v>
      </c>
      <c r="AH19" s="241">
        <v>0</v>
      </c>
      <c r="AI19" s="256">
        <f>35050000+15000000</f>
        <v>50050000</v>
      </c>
      <c r="AJ19" s="257">
        <v>5.4800000000000001E-2</v>
      </c>
      <c r="AK19" s="241">
        <f t="shared" si="11"/>
        <v>7618.7222222222226</v>
      </c>
      <c r="AL19" s="256">
        <f>75000000+60000000+70000000+18400000+6600000+25000000</f>
        <v>255000000</v>
      </c>
      <c r="AM19" s="257">
        <v>5.6000000000000001E-2</v>
      </c>
      <c r="AN19" s="241">
        <f t="shared" si="12"/>
        <v>39666.666666666664</v>
      </c>
      <c r="AO19" s="256">
        <f t="shared" si="1"/>
        <v>40000000</v>
      </c>
      <c r="AP19" s="257">
        <v>5.6000000000000001E-2</v>
      </c>
      <c r="AQ19" s="241">
        <f t="shared" si="13"/>
        <v>6222.2222222222226</v>
      </c>
      <c r="AR19" s="256"/>
      <c r="AS19" s="257"/>
      <c r="AT19" s="241">
        <f t="shared" si="14"/>
        <v>0</v>
      </c>
      <c r="AW19" s="241">
        <f t="shared" si="15"/>
        <v>0</v>
      </c>
      <c r="AZ19" s="241">
        <f t="shared" si="16"/>
        <v>0</v>
      </c>
      <c r="BC19" s="241">
        <f t="shared" si="17"/>
        <v>0</v>
      </c>
      <c r="BF19" s="241">
        <f t="shared" si="18"/>
        <v>0</v>
      </c>
      <c r="BI19" s="241">
        <f t="shared" si="19"/>
        <v>0</v>
      </c>
      <c r="BL19" s="241">
        <f t="shared" si="20"/>
        <v>0</v>
      </c>
      <c r="BO19" s="241">
        <f t="shared" si="21"/>
        <v>0</v>
      </c>
      <c r="BR19" s="241">
        <f t="shared" si="22"/>
        <v>0</v>
      </c>
      <c r="BU19" s="241">
        <f t="shared" si="23"/>
        <v>0</v>
      </c>
      <c r="BX19" s="241">
        <f t="shared" si="24"/>
        <v>0</v>
      </c>
      <c r="CA19" s="241">
        <f t="shared" si="25"/>
        <v>0</v>
      </c>
      <c r="CD19" s="241">
        <f t="shared" si="26"/>
        <v>0</v>
      </c>
      <c r="CG19" s="241">
        <f t="shared" si="27"/>
        <v>0</v>
      </c>
      <c r="CJ19" s="241">
        <f t="shared" si="28"/>
        <v>0</v>
      </c>
      <c r="CM19" s="241">
        <f t="shared" si="29"/>
        <v>0</v>
      </c>
      <c r="CP19" s="241">
        <f t="shared" si="30"/>
        <v>0</v>
      </c>
      <c r="CS19" s="241">
        <f t="shared" si="31"/>
        <v>0</v>
      </c>
      <c r="CV19" s="241">
        <f t="shared" si="32"/>
        <v>0</v>
      </c>
      <c r="CY19" s="241">
        <f t="shared" si="33"/>
        <v>0</v>
      </c>
      <c r="DB19" s="241">
        <f t="shared" si="34"/>
        <v>0</v>
      </c>
      <c r="DE19" s="241">
        <f t="shared" si="35"/>
        <v>0</v>
      </c>
      <c r="DH19" s="241">
        <f t="shared" si="36"/>
        <v>0</v>
      </c>
      <c r="DK19" s="241">
        <f t="shared" si="37"/>
        <v>0</v>
      </c>
      <c r="DN19" s="241">
        <f t="shared" si="38"/>
        <v>0</v>
      </c>
      <c r="DQ19" s="241">
        <f t="shared" si="39"/>
        <v>0</v>
      </c>
      <c r="DT19" s="241">
        <f t="shared" si="40"/>
        <v>0</v>
      </c>
      <c r="DW19" s="241">
        <f t="shared" si="41"/>
        <v>0</v>
      </c>
      <c r="DZ19" s="241"/>
      <c r="EA19" s="241"/>
      <c r="EB19" s="261">
        <f t="shared" si="42"/>
        <v>345050000</v>
      </c>
      <c r="EC19" s="261">
        <f t="shared" si="43"/>
        <v>0</v>
      </c>
      <c r="ED19" s="241">
        <f t="shared" si="44"/>
        <v>53507.611111111109</v>
      </c>
      <c r="EE19" s="242">
        <f t="shared" si="45"/>
        <v>5.5825938269815974E-2</v>
      </c>
      <c r="EG19" s="261">
        <f t="shared" si="46"/>
        <v>0</v>
      </c>
      <c r="EH19" s="241">
        <f t="shared" si="47"/>
        <v>0</v>
      </c>
      <c r="EI19" s="242">
        <f t="shared" si="48"/>
        <v>0</v>
      </c>
      <c r="EJ19" s="242"/>
      <c r="EK19" s="261">
        <f t="shared" si="49"/>
        <v>345050000</v>
      </c>
      <c r="EL19" s="261">
        <f t="shared" si="50"/>
        <v>0</v>
      </c>
      <c r="EM19" s="261">
        <f t="shared" si="51"/>
        <v>53507.611111111109</v>
      </c>
      <c r="EN19" s="242">
        <f t="shared" si="52"/>
        <v>5.5825938269815974E-2</v>
      </c>
      <c r="EP19" s="241"/>
    </row>
    <row r="20" spans="1:146" x14ac:dyDescent="0.25">
      <c r="A20" s="255">
        <f t="shared" si="53"/>
        <v>45514</v>
      </c>
      <c r="B20" s="241">
        <v>0</v>
      </c>
      <c r="C20" s="242">
        <v>5.4107000000000002E-2</v>
      </c>
      <c r="D20" s="241">
        <f t="shared" si="2"/>
        <v>0</v>
      </c>
      <c r="G20" s="241">
        <f t="shared" si="3"/>
        <v>0</v>
      </c>
      <c r="J20" s="241">
        <f t="shared" si="4"/>
        <v>0</v>
      </c>
      <c r="M20" s="241">
        <f t="shared" si="5"/>
        <v>0</v>
      </c>
      <c r="P20" s="241">
        <f t="shared" si="6"/>
        <v>0</v>
      </c>
      <c r="S20" s="241">
        <f t="shared" si="7"/>
        <v>0</v>
      </c>
      <c r="V20" s="241">
        <f t="shared" si="8"/>
        <v>0</v>
      </c>
      <c r="Y20" s="241">
        <f t="shared" si="9"/>
        <v>0</v>
      </c>
      <c r="AB20" s="241">
        <f t="shared" si="10"/>
        <v>0</v>
      </c>
      <c r="AE20" s="241">
        <v>0</v>
      </c>
      <c r="AH20" s="241">
        <v>0</v>
      </c>
      <c r="AI20" s="256">
        <f>35050000+15000000</f>
        <v>50050000</v>
      </c>
      <c r="AJ20" s="257">
        <v>5.4800000000000001E-2</v>
      </c>
      <c r="AK20" s="241">
        <f t="shared" si="11"/>
        <v>7618.7222222222226</v>
      </c>
      <c r="AL20" s="256">
        <f>75000000+60000000+70000000+18400000+6600000+25000000</f>
        <v>255000000</v>
      </c>
      <c r="AM20" s="257">
        <v>5.6000000000000001E-2</v>
      </c>
      <c r="AN20" s="241">
        <f t="shared" si="12"/>
        <v>39666.666666666664</v>
      </c>
      <c r="AO20" s="256">
        <f t="shared" si="1"/>
        <v>40000000</v>
      </c>
      <c r="AP20" s="257">
        <v>5.6000000000000001E-2</v>
      </c>
      <c r="AQ20" s="241">
        <f t="shared" si="13"/>
        <v>6222.2222222222226</v>
      </c>
      <c r="AR20" s="256"/>
      <c r="AS20" s="257"/>
      <c r="AT20" s="241">
        <f t="shared" si="14"/>
        <v>0</v>
      </c>
      <c r="AW20" s="241">
        <f t="shared" si="15"/>
        <v>0</v>
      </c>
      <c r="AZ20" s="241">
        <f t="shared" si="16"/>
        <v>0</v>
      </c>
      <c r="BC20" s="241">
        <f t="shared" si="17"/>
        <v>0</v>
      </c>
      <c r="BF20" s="241">
        <f t="shared" si="18"/>
        <v>0</v>
      </c>
      <c r="BI20" s="241">
        <f t="shared" si="19"/>
        <v>0</v>
      </c>
      <c r="BL20" s="241">
        <f t="shared" si="20"/>
        <v>0</v>
      </c>
      <c r="BO20" s="241">
        <f t="shared" si="21"/>
        <v>0</v>
      </c>
      <c r="BR20" s="241">
        <f t="shared" si="22"/>
        <v>0</v>
      </c>
      <c r="BU20" s="241">
        <f t="shared" si="23"/>
        <v>0</v>
      </c>
      <c r="BX20" s="241">
        <f t="shared" si="24"/>
        <v>0</v>
      </c>
      <c r="CA20" s="241">
        <f t="shared" si="25"/>
        <v>0</v>
      </c>
      <c r="CD20" s="241">
        <f t="shared" si="26"/>
        <v>0</v>
      </c>
      <c r="CG20" s="241">
        <f t="shared" si="27"/>
        <v>0</v>
      </c>
      <c r="CJ20" s="241">
        <f t="shared" si="28"/>
        <v>0</v>
      </c>
      <c r="CM20" s="241">
        <f t="shared" si="29"/>
        <v>0</v>
      </c>
      <c r="CP20" s="241">
        <f t="shared" si="30"/>
        <v>0</v>
      </c>
      <c r="CS20" s="241">
        <f t="shared" si="31"/>
        <v>0</v>
      </c>
      <c r="CV20" s="241">
        <f t="shared" si="32"/>
        <v>0</v>
      </c>
      <c r="CY20" s="241">
        <f t="shared" si="33"/>
        <v>0</v>
      </c>
      <c r="DB20" s="241">
        <f t="shared" si="34"/>
        <v>0</v>
      </c>
      <c r="DE20" s="241">
        <f t="shared" si="35"/>
        <v>0</v>
      </c>
      <c r="DH20" s="241">
        <f t="shared" si="36"/>
        <v>0</v>
      </c>
      <c r="DK20" s="241">
        <f t="shared" si="37"/>
        <v>0</v>
      </c>
      <c r="DN20" s="241">
        <f t="shared" si="38"/>
        <v>0</v>
      </c>
      <c r="DQ20" s="241">
        <f t="shared" si="39"/>
        <v>0</v>
      </c>
      <c r="DT20" s="241">
        <f t="shared" si="40"/>
        <v>0</v>
      </c>
      <c r="DW20" s="241">
        <f t="shared" si="41"/>
        <v>0</v>
      </c>
      <c r="DZ20" s="241"/>
      <c r="EA20" s="241"/>
      <c r="EB20" s="261">
        <f t="shared" si="42"/>
        <v>345050000</v>
      </c>
      <c r="EC20" s="261">
        <f t="shared" si="43"/>
        <v>0</v>
      </c>
      <c r="ED20" s="241">
        <f t="shared" si="44"/>
        <v>53507.611111111109</v>
      </c>
      <c r="EE20" s="242">
        <f t="shared" si="45"/>
        <v>5.5825938269815974E-2</v>
      </c>
      <c r="EG20" s="261">
        <f t="shared" si="46"/>
        <v>0</v>
      </c>
      <c r="EH20" s="241">
        <f t="shared" si="47"/>
        <v>0</v>
      </c>
      <c r="EI20" s="242">
        <f t="shared" si="48"/>
        <v>0</v>
      </c>
      <c r="EJ20" s="242"/>
      <c r="EK20" s="261">
        <f t="shared" si="49"/>
        <v>345050000</v>
      </c>
      <c r="EL20" s="261">
        <f t="shared" si="50"/>
        <v>0</v>
      </c>
      <c r="EM20" s="261">
        <f t="shared" si="51"/>
        <v>53507.611111111109</v>
      </c>
      <c r="EN20" s="242">
        <f t="shared" si="52"/>
        <v>5.5825938269815974E-2</v>
      </c>
      <c r="EP20" s="241"/>
    </row>
    <row r="21" spans="1:146" x14ac:dyDescent="0.25">
      <c r="A21" s="255">
        <f t="shared" si="53"/>
        <v>45515</v>
      </c>
      <c r="B21" s="241">
        <v>0</v>
      </c>
      <c r="C21" s="242">
        <v>5.4107000000000002E-2</v>
      </c>
      <c r="D21" s="241">
        <f t="shared" si="2"/>
        <v>0</v>
      </c>
      <c r="G21" s="241">
        <f t="shared" si="3"/>
        <v>0</v>
      </c>
      <c r="J21" s="241">
        <f t="shared" si="4"/>
        <v>0</v>
      </c>
      <c r="M21" s="241">
        <f t="shared" si="5"/>
        <v>0</v>
      </c>
      <c r="P21" s="241">
        <f t="shared" si="6"/>
        <v>0</v>
      </c>
      <c r="S21" s="241">
        <f t="shared" si="7"/>
        <v>0</v>
      </c>
      <c r="V21" s="241">
        <f t="shared" si="8"/>
        <v>0</v>
      </c>
      <c r="Y21" s="241">
        <f t="shared" si="9"/>
        <v>0</v>
      </c>
      <c r="AB21" s="241">
        <f t="shared" si="10"/>
        <v>0</v>
      </c>
      <c r="AE21" s="241">
        <v>0</v>
      </c>
      <c r="AH21" s="241">
        <v>0</v>
      </c>
      <c r="AI21" s="256">
        <f>35050000+15000000</f>
        <v>50050000</v>
      </c>
      <c r="AJ21" s="257">
        <v>5.4800000000000001E-2</v>
      </c>
      <c r="AK21" s="241">
        <f t="shared" si="11"/>
        <v>7618.7222222222226</v>
      </c>
      <c r="AL21" s="256">
        <f>75000000+60000000+70000000+18400000+6600000+25000000</f>
        <v>255000000</v>
      </c>
      <c r="AM21" s="257">
        <v>5.6000000000000001E-2</v>
      </c>
      <c r="AN21" s="241">
        <f t="shared" si="12"/>
        <v>39666.666666666664</v>
      </c>
      <c r="AO21" s="256">
        <f t="shared" si="1"/>
        <v>40000000</v>
      </c>
      <c r="AP21" s="257">
        <v>5.6000000000000001E-2</v>
      </c>
      <c r="AQ21" s="241">
        <f t="shared" si="13"/>
        <v>6222.2222222222226</v>
      </c>
      <c r="AR21" s="256"/>
      <c r="AS21" s="257"/>
      <c r="AT21" s="241">
        <f t="shared" si="14"/>
        <v>0</v>
      </c>
      <c r="AW21" s="241">
        <f t="shared" si="15"/>
        <v>0</v>
      </c>
      <c r="AZ21" s="241">
        <f t="shared" si="16"/>
        <v>0</v>
      </c>
      <c r="BC21" s="241">
        <f t="shared" si="17"/>
        <v>0</v>
      </c>
      <c r="BF21" s="241">
        <f t="shared" si="18"/>
        <v>0</v>
      </c>
      <c r="BI21" s="241">
        <f t="shared" si="19"/>
        <v>0</v>
      </c>
      <c r="BL21" s="241">
        <f t="shared" si="20"/>
        <v>0</v>
      </c>
      <c r="BO21" s="241">
        <f t="shared" si="21"/>
        <v>0</v>
      </c>
      <c r="BR21" s="241">
        <f t="shared" si="22"/>
        <v>0</v>
      </c>
      <c r="BU21" s="241">
        <f t="shared" si="23"/>
        <v>0</v>
      </c>
      <c r="BX21" s="241">
        <f t="shared" si="24"/>
        <v>0</v>
      </c>
      <c r="CA21" s="241">
        <f t="shared" si="25"/>
        <v>0</v>
      </c>
      <c r="CD21" s="241">
        <f t="shared" si="26"/>
        <v>0</v>
      </c>
      <c r="CG21" s="241">
        <f t="shared" si="27"/>
        <v>0</v>
      </c>
      <c r="CJ21" s="241">
        <f t="shared" si="28"/>
        <v>0</v>
      </c>
      <c r="CM21" s="241">
        <f t="shared" si="29"/>
        <v>0</v>
      </c>
      <c r="CP21" s="241">
        <f t="shared" si="30"/>
        <v>0</v>
      </c>
      <c r="CS21" s="241">
        <f t="shared" si="31"/>
        <v>0</v>
      </c>
      <c r="CV21" s="241">
        <f t="shared" si="32"/>
        <v>0</v>
      </c>
      <c r="CY21" s="241">
        <f t="shared" si="33"/>
        <v>0</v>
      </c>
      <c r="DB21" s="241">
        <f t="shared" si="34"/>
        <v>0</v>
      </c>
      <c r="DE21" s="241">
        <f t="shared" si="35"/>
        <v>0</v>
      </c>
      <c r="DH21" s="241">
        <f t="shared" si="36"/>
        <v>0</v>
      </c>
      <c r="DK21" s="241">
        <f t="shared" si="37"/>
        <v>0</v>
      </c>
      <c r="DN21" s="241">
        <f t="shared" si="38"/>
        <v>0</v>
      </c>
      <c r="DQ21" s="241">
        <f t="shared" si="39"/>
        <v>0</v>
      </c>
      <c r="DT21" s="241">
        <f t="shared" si="40"/>
        <v>0</v>
      </c>
      <c r="DW21" s="241">
        <f t="shared" si="41"/>
        <v>0</v>
      </c>
      <c r="DZ21" s="241"/>
      <c r="EA21" s="241"/>
      <c r="EB21" s="261">
        <f t="shared" si="42"/>
        <v>345050000</v>
      </c>
      <c r="EC21" s="261">
        <f t="shared" si="43"/>
        <v>0</v>
      </c>
      <c r="ED21" s="241">
        <f t="shared" si="44"/>
        <v>53507.611111111109</v>
      </c>
      <c r="EE21" s="242">
        <f t="shared" si="45"/>
        <v>5.5825938269815974E-2</v>
      </c>
      <c r="EG21" s="261">
        <f t="shared" si="46"/>
        <v>0</v>
      </c>
      <c r="EH21" s="241">
        <f t="shared" si="47"/>
        <v>0</v>
      </c>
      <c r="EI21" s="242">
        <f t="shared" si="48"/>
        <v>0</v>
      </c>
      <c r="EJ21" s="242"/>
      <c r="EK21" s="261">
        <f t="shared" si="49"/>
        <v>345050000</v>
      </c>
      <c r="EL21" s="261">
        <f t="shared" si="50"/>
        <v>0</v>
      </c>
      <c r="EM21" s="261">
        <f t="shared" si="51"/>
        <v>53507.611111111109</v>
      </c>
      <c r="EN21" s="242">
        <f t="shared" si="52"/>
        <v>5.5825938269815974E-2</v>
      </c>
      <c r="EP21" s="241"/>
    </row>
    <row r="22" spans="1:146" x14ac:dyDescent="0.25">
      <c r="A22" s="255">
        <f t="shared" si="53"/>
        <v>45516</v>
      </c>
      <c r="B22" s="241">
        <v>0</v>
      </c>
      <c r="C22" s="242">
        <v>5.3893500000000004E-2</v>
      </c>
      <c r="D22" s="241">
        <f t="shared" si="2"/>
        <v>0</v>
      </c>
      <c r="G22" s="241">
        <f t="shared" si="3"/>
        <v>0</v>
      </c>
      <c r="J22" s="241">
        <f t="shared" si="4"/>
        <v>0</v>
      </c>
      <c r="M22" s="241">
        <f t="shared" si="5"/>
        <v>0</v>
      </c>
      <c r="P22" s="241">
        <f t="shared" si="6"/>
        <v>0</v>
      </c>
      <c r="S22" s="241">
        <f t="shared" si="7"/>
        <v>0</v>
      </c>
      <c r="V22" s="241">
        <f t="shared" si="8"/>
        <v>0</v>
      </c>
      <c r="Y22" s="241">
        <f t="shared" si="9"/>
        <v>0</v>
      </c>
      <c r="AB22" s="241">
        <f t="shared" si="10"/>
        <v>0</v>
      </c>
      <c r="AE22" s="241">
        <v>0</v>
      </c>
      <c r="AH22" s="241">
        <v>0</v>
      </c>
      <c r="AI22" s="256">
        <f>40000000+22525000</f>
        <v>62525000</v>
      </c>
      <c r="AJ22" s="257">
        <v>5.4800000000000001E-2</v>
      </c>
      <c r="AK22" s="241">
        <f t="shared" si="11"/>
        <v>9517.6944444444453</v>
      </c>
      <c r="AL22" s="256">
        <f>75000000+60000000+70000000+18400000+6600000+25000000</f>
        <v>255000000</v>
      </c>
      <c r="AM22" s="257">
        <v>5.6000000000000001E-2</v>
      </c>
      <c r="AN22" s="241">
        <f t="shared" si="12"/>
        <v>39666.666666666664</v>
      </c>
      <c r="AO22" s="256">
        <f t="shared" si="1"/>
        <v>40000000</v>
      </c>
      <c r="AP22" s="257">
        <v>5.6000000000000001E-2</v>
      </c>
      <c r="AQ22" s="241">
        <f t="shared" si="13"/>
        <v>6222.2222222222226</v>
      </c>
      <c r="AR22" s="256"/>
      <c r="AS22" s="257"/>
      <c r="AT22" s="241">
        <f t="shared" si="14"/>
        <v>0</v>
      </c>
      <c r="AW22" s="241">
        <f t="shared" si="15"/>
        <v>0</v>
      </c>
      <c r="AZ22" s="241">
        <f t="shared" si="16"/>
        <v>0</v>
      </c>
      <c r="BC22" s="241">
        <f t="shared" si="17"/>
        <v>0</v>
      </c>
      <c r="BF22" s="241">
        <f t="shared" si="18"/>
        <v>0</v>
      </c>
      <c r="BI22" s="241">
        <f t="shared" si="19"/>
        <v>0</v>
      </c>
      <c r="BL22" s="241">
        <f t="shared" si="20"/>
        <v>0</v>
      </c>
      <c r="BO22" s="241">
        <f t="shared" si="21"/>
        <v>0</v>
      </c>
      <c r="BR22" s="241">
        <f t="shared" si="22"/>
        <v>0</v>
      </c>
      <c r="BU22" s="241">
        <f t="shared" si="23"/>
        <v>0</v>
      </c>
      <c r="BX22" s="241">
        <f t="shared" si="24"/>
        <v>0</v>
      </c>
      <c r="CA22" s="241">
        <f t="shared" si="25"/>
        <v>0</v>
      </c>
      <c r="CD22" s="241">
        <f t="shared" si="26"/>
        <v>0</v>
      </c>
      <c r="CG22" s="241">
        <f t="shared" si="27"/>
        <v>0</v>
      </c>
      <c r="CJ22" s="241">
        <f t="shared" si="28"/>
        <v>0</v>
      </c>
      <c r="CM22" s="241">
        <f t="shared" si="29"/>
        <v>0</v>
      </c>
      <c r="CP22" s="241">
        <f t="shared" si="30"/>
        <v>0</v>
      </c>
      <c r="CS22" s="241">
        <f t="shared" si="31"/>
        <v>0</v>
      </c>
      <c r="CV22" s="241">
        <f t="shared" si="32"/>
        <v>0</v>
      </c>
      <c r="CY22" s="241">
        <f t="shared" si="33"/>
        <v>0</v>
      </c>
      <c r="DB22" s="241">
        <f t="shared" si="34"/>
        <v>0</v>
      </c>
      <c r="DE22" s="241">
        <f t="shared" si="35"/>
        <v>0</v>
      </c>
      <c r="DH22" s="241">
        <f t="shared" si="36"/>
        <v>0</v>
      </c>
      <c r="DK22" s="241">
        <f t="shared" si="37"/>
        <v>0</v>
      </c>
      <c r="DN22" s="241">
        <f t="shared" si="38"/>
        <v>0</v>
      </c>
      <c r="DQ22" s="241">
        <f t="shared" si="39"/>
        <v>0</v>
      </c>
      <c r="DT22" s="241">
        <f t="shared" si="40"/>
        <v>0</v>
      </c>
      <c r="DW22" s="241">
        <f t="shared" si="41"/>
        <v>0</v>
      </c>
      <c r="DZ22" s="241"/>
      <c r="EA22" s="241"/>
      <c r="EB22" s="261">
        <f t="shared" si="42"/>
        <v>357525000</v>
      </c>
      <c r="EC22" s="261">
        <f t="shared" si="43"/>
        <v>0</v>
      </c>
      <c r="ED22" s="241">
        <f t="shared" si="44"/>
        <v>55406.583333333328</v>
      </c>
      <c r="EE22" s="242">
        <f t="shared" si="45"/>
        <v>5.5790140549611913E-2</v>
      </c>
      <c r="EG22" s="261">
        <f t="shared" si="46"/>
        <v>0</v>
      </c>
      <c r="EH22" s="241">
        <f t="shared" si="47"/>
        <v>0</v>
      </c>
      <c r="EI22" s="242">
        <f t="shared" si="48"/>
        <v>0</v>
      </c>
      <c r="EJ22" s="242"/>
      <c r="EK22" s="261">
        <f t="shared" si="49"/>
        <v>357525000</v>
      </c>
      <c r="EL22" s="261">
        <f t="shared" si="50"/>
        <v>0</v>
      </c>
      <c r="EM22" s="261">
        <f t="shared" si="51"/>
        <v>55406.583333333336</v>
      </c>
      <c r="EN22" s="242">
        <f t="shared" si="52"/>
        <v>5.579014054961192E-2</v>
      </c>
      <c r="EP22" s="241"/>
    </row>
    <row r="23" spans="1:146" x14ac:dyDescent="0.25">
      <c r="A23" s="255">
        <f t="shared" si="53"/>
        <v>45517</v>
      </c>
      <c r="B23" s="241">
        <v>0</v>
      </c>
      <c r="C23" s="242">
        <v>5.4079090000000003E-2</v>
      </c>
      <c r="D23" s="241">
        <f t="shared" si="2"/>
        <v>0</v>
      </c>
      <c r="G23" s="241">
        <f t="shared" si="3"/>
        <v>0</v>
      </c>
      <c r="J23" s="241">
        <f t="shared" si="4"/>
        <v>0</v>
      </c>
      <c r="M23" s="241">
        <f t="shared" si="5"/>
        <v>0</v>
      </c>
      <c r="P23" s="241">
        <f t="shared" si="6"/>
        <v>0</v>
      </c>
      <c r="S23" s="241">
        <f t="shared" si="7"/>
        <v>0</v>
      </c>
      <c r="V23" s="241">
        <f t="shared" si="8"/>
        <v>0</v>
      </c>
      <c r="Y23" s="241">
        <f t="shared" si="9"/>
        <v>0</v>
      </c>
      <c r="AB23" s="241">
        <f t="shared" si="10"/>
        <v>0</v>
      </c>
      <c r="AE23" s="241">
        <v>0</v>
      </c>
      <c r="AH23" s="241">
        <v>0</v>
      </c>
      <c r="AI23" s="256">
        <f>45175000+30000000</f>
        <v>75175000</v>
      </c>
      <c r="AJ23" s="257">
        <v>5.4800000000000001E-2</v>
      </c>
      <c r="AK23" s="241">
        <f t="shared" si="11"/>
        <v>11443.305555555555</v>
      </c>
      <c r="AL23" s="256">
        <f>75000000+60000000+70000000+18400000+6600000</f>
        <v>230000000</v>
      </c>
      <c r="AM23" s="257">
        <v>5.6000000000000001E-2</v>
      </c>
      <c r="AN23" s="241">
        <f t="shared" si="12"/>
        <v>35777.777777777781</v>
      </c>
      <c r="AO23" s="256">
        <f t="shared" si="1"/>
        <v>40000000</v>
      </c>
      <c r="AP23" s="257">
        <v>5.6000000000000001E-2</v>
      </c>
      <c r="AQ23" s="241">
        <f t="shared" si="13"/>
        <v>6222.2222222222226</v>
      </c>
      <c r="AR23" s="256"/>
      <c r="AS23" s="257"/>
      <c r="AT23" s="241">
        <f t="shared" si="14"/>
        <v>0</v>
      </c>
      <c r="AW23" s="241">
        <f t="shared" si="15"/>
        <v>0</v>
      </c>
      <c r="AZ23" s="241">
        <f t="shared" si="16"/>
        <v>0</v>
      </c>
      <c r="BC23" s="241">
        <f t="shared" si="17"/>
        <v>0</v>
      </c>
      <c r="BF23" s="241">
        <f t="shared" si="18"/>
        <v>0</v>
      </c>
      <c r="BI23" s="241">
        <f t="shared" si="19"/>
        <v>0</v>
      </c>
      <c r="BL23" s="241">
        <f t="shared" si="20"/>
        <v>0</v>
      </c>
      <c r="BO23" s="241">
        <f t="shared" si="21"/>
        <v>0</v>
      </c>
      <c r="BR23" s="241">
        <f t="shared" si="22"/>
        <v>0</v>
      </c>
      <c r="BU23" s="241">
        <f t="shared" si="23"/>
        <v>0</v>
      </c>
      <c r="BX23" s="241">
        <f t="shared" si="24"/>
        <v>0</v>
      </c>
      <c r="CA23" s="241">
        <f t="shared" si="25"/>
        <v>0</v>
      </c>
      <c r="CD23" s="241">
        <f t="shared" si="26"/>
        <v>0</v>
      </c>
      <c r="CG23" s="241">
        <f t="shared" si="27"/>
        <v>0</v>
      </c>
      <c r="CJ23" s="241">
        <f t="shared" si="28"/>
        <v>0</v>
      </c>
      <c r="CM23" s="241">
        <f t="shared" si="29"/>
        <v>0</v>
      </c>
      <c r="CP23" s="241">
        <f t="shared" si="30"/>
        <v>0</v>
      </c>
      <c r="CS23" s="241">
        <f t="shared" si="31"/>
        <v>0</v>
      </c>
      <c r="CV23" s="241">
        <f t="shared" si="32"/>
        <v>0</v>
      </c>
      <c r="CY23" s="241">
        <f t="shared" si="33"/>
        <v>0</v>
      </c>
      <c r="DB23" s="241">
        <f t="shared" si="34"/>
        <v>0</v>
      </c>
      <c r="DE23" s="241">
        <f t="shared" si="35"/>
        <v>0</v>
      </c>
      <c r="DH23" s="241">
        <f t="shared" si="36"/>
        <v>0</v>
      </c>
      <c r="DK23" s="241">
        <f t="shared" si="37"/>
        <v>0</v>
      </c>
      <c r="DN23" s="241">
        <f t="shared" si="38"/>
        <v>0</v>
      </c>
      <c r="DQ23" s="241">
        <f t="shared" si="39"/>
        <v>0</v>
      </c>
      <c r="DT23" s="241">
        <f t="shared" si="40"/>
        <v>0</v>
      </c>
      <c r="DW23" s="241">
        <f t="shared" si="41"/>
        <v>0</v>
      </c>
      <c r="DZ23" s="241"/>
      <c r="EA23" s="241"/>
      <c r="EB23" s="261">
        <f t="shared" si="42"/>
        <v>345175000</v>
      </c>
      <c r="EC23" s="261">
        <f t="shared" si="43"/>
        <v>0</v>
      </c>
      <c r="ED23" s="241">
        <f t="shared" si="44"/>
        <v>53443.305555555562</v>
      </c>
      <c r="EE23" s="242">
        <f t="shared" si="45"/>
        <v>5.5738654305786922E-2</v>
      </c>
      <c r="EG23" s="261">
        <f t="shared" si="46"/>
        <v>0</v>
      </c>
      <c r="EH23" s="241">
        <f t="shared" si="47"/>
        <v>0</v>
      </c>
      <c r="EI23" s="242">
        <f t="shared" si="48"/>
        <v>0</v>
      </c>
      <c r="EJ23" s="242"/>
      <c r="EK23" s="261">
        <f t="shared" si="49"/>
        <v>345175000</v>
      </c>
      <c r="EL23" s="261">
        <f t="shared" si="50"/>
        <v>0</v>
      </c>
      <c r="EM23" s="261">
        <f t="shared" si="51"/>
        <v>53443.305555555555</v>
      </c>
      <c r="EN23" s="242">
        <f t="shared" si="52"/>
        <v>5.5738654305786922E-2</v>
      </c>
      <c r="EP23" s="241"/>
    </row>
    <row r="24" spans="1:146" x14ac:dyDescent="0.25">
      <c r="A24" s="255">
        <f t="shared" si="53"/>
        <v>45518</v>
      </c>
      <c r="B24" s="241">
        <v>0</v>
      </c>
      <c r="C24" s="242">
        <v>5.3820859999999998E-2</v>
      </c>
      <c r="D24" s="241">
        <f t="shared" si="2"/>
        <v>0</v>
      </c>
      <c r="G24" s="241">
        <f t="shared" si="3"/>
        <v>0</v>
      </c>
      <c r="J24" s="241">
        <f t="shared" si="4"/>
        <v>0</v>
      </c>
      <c r="M24" s="241">
        <f t="shared" si="5"/>
        <v>0</v>
      </c>
      <c r="P24" s="241">
        <f t="shared" si="6"/>
        <v>0</v>
      </c>
      <c r="S24" s="241">
        <f t="shared" si="7"/>
        <v>0</v>
      </c>
      <c r="V24" s="241">
        <f t="shared" si="8"/>
        <v>0</v>
      </c>
      <c r="Y24" s="241">
        <f t="shared" si="9"/>
        <v>0</v>
      </c>
      <c r="AB24" s="241">
        <f t="shared" si="10"/>
        <v>0</v>
      </c>
      <c r="AE24" s="241">
        <v>0</v>
      </c>
      <c r="AH24" s="241">
        <v>0</v>
      </c>
      <c r="AI24" s="256">
        <f>30000000+39150000</f>
        <v>69150000</v>
      </c>
      <c r="AJ24" s="257">
        <v>5.4800000000000001E-2</v>
      </c>
      <c r="AK24" s="241">
        <f t="shared" si="11"/>
        <v>10526.166666666666</v>
      </c>
      <c r="AL24" s="256">
        <f>75000000+60000000+70000000+18400000+6600000</f>
        <v>230000000</v>
      </c>
      <c r="AM24" s="257">
        <v>5.6000000000000001E-2</v>
      </c>
      <c r="AN24" s="241">
        <f t="shared" si="12"/>
        <v>35777.777777777781</v>
      </c>
      <c r="AO24" s="256">
        <f t="shared" si="1"/>
        <v>40000000</v>
      </c>
      <c r="AP24" s="257">
        <v>5.6000000000000001E-2</v>
      </c>
      <c r="AQ24" s="241">
        <f t="shared" si="13"/>
        <v>6222.2222222222226</v>
      </c>
      <c r="AR24" s="256"/>
      <c r="AS24" s="257"/>
      <c r="AT24" s="241">
        <f t="shared" si="14"/>
        <v>0</v>
      </c>
      <c r="AW24" s="241">
        <f t="shared" si="15"/>
        <v>0</v>
      </c>
      <c r="AZ24" s="241">
        <f t="shared" si="16"/>
        <v>0</v>
      </c>
      <c r="BC24" s="241">
        <f t="shared" si="17"/>
        <v>0</v>
      </c>
      <c r="BF24" s="241">
        <f t="shared" si="18"/>
        <v>0</v>
      </c>
      <c r="BI24" s="241">
        <f t="shared" si="19"/>
        <v>0</v>
      </c>
      <c r="BL24" s="241">
        <f t="shared" si="20"/>
        <v>0</v>
      </c>
      <c r="BO24" s="241">
        <f t="shared" si="21"/>
        <v>0</v>
      </c>
      <c r="BR24" s="241">
        <f t="shared" si="22"/>
        <v>0</v>
      </c>
      <c r="BU24" s="241">
        <f t="shared" si="23"/>
        <v>0</v>
      </c>
      <c r="BX24" s="241">
        <f t="shared" si="24"/>
        <v>0</v>
      </c>
      <c r="CA24" s="241">
        <f t="shared" si="25"/>
        <v>0</v>
      </c>
      <c r="CD24" s="241">
        <f t="shared" si="26"/>
        <v>0</v>
      </c>
      <c r="CG24" s="241">
        <f t="shared" si="27"/>
        <v>0</v>
      </c>
      <c r="CJ24" s="241">
        <f t="shared" si="28"/>
        <v>0</v>
      </c>
      <c r="CM24" s="241">
        <f t="shared" si="29"/>
        <v>0</v>
      </c>
      <c r="CP24" s="241">
        <f t="shared" si="30"/>
        <v>0</v>
      </c>
      <c r="CS24" s="241">
        <f t="shared" si="31"/>
        <v>0</v>
      </c>
      <c r="CV24" s="241">
        <f t="shared" si="32"/>
        <v>0</v>
      </c>
      <c r="CY24" s="241">
        <f t="shared" si="33"/>
        <v>0</v>
      </c>
      <c r="DB24" s="241">
        <f t="shared" si="34"/>
        <v>0</v>
      </c>
      <c r="DE24" s="241">
        <f t="shared" si="35"/>
        <v>0</v>
      </c>
      <c r="DH24" s="241">
        <f t="shared" si="36"/>
        <v>0</v>
      </c>
      <c r="DK24" s="241">
        <f t="shared" si="37"/>
        <v>0</v>
      </c>
      <c r="DN24" s="241">
        <f t="shared" si="38"/>
        <v>0</v>
      </c>
      <c r="DQ24" s="241">
        <f t="shared" si="39"/>
        <v>0</v>
      </c>
      <c r="DT24" s="241">
        <f t="shared" si="40"/>
        <v>0</v>
      </c>
      <c r="DW24" s="241">
        <f t="shared" si="41"/>
        <v>0</v>
      </c>
      <c r="DZ24" s="241"/>
      <c r="EA24" s="241"/>
      <c r="EB24" s="261">
        <f t="shared" si="42"/>
        <v>339150000</v>
      </c>
      <c r="EC24" s="261">
        <f t="shared" si="43"/>
        <v>0</v>
      </c>
      <c r="ED24" s="241">
        <f t="shared" si="44"/>
        <v>52526.166666666672</v>
      </c>
      <c r="EE24" s="242">
        <f t="shared" si="45"/>
        <v>5.5755329500221142E-2</v>
      </c>
      <c r="EG24" s="261">
        <f t="shared" si="46"/>
        <v>0</v>
      </c>
      <c r="EH24" s="241">
        <f t="shared" si="47"/>
        <v>0</v>
      </c>
      <c r="EI24" s="242">
        <f t="shared" si="48"/>
        <v>0</v>
      </c>
      <c r="EJ24" s="242"/>
      <c r="EK24" s="261">
        <f t="shared" si="49"/>
        <v>339150000</v>
      </c>
      <c r="EL24" s="261">
        <f t="shared" si="50"/>
        <v>0</v>
      </c>
      <c r="EM24" s="261">
        <f t="shared" si="51"/>
        <v>52526.166666666664</v>
      </c>
      <c r="EN24" s="242">
        <f t="shared" si="52"/>
        <v>5.5755329500221135E-2</v>
      </c>
      <c r="EP24" s="241"/>
    </row>
    <row r="25" spans="1:146" x14ac:dyDescent="0.25">
      <c r="A25" s="255">
        <f t="shared" si="53"/>
        <v>45519</v>
      </c>
      <c r="B25" s="241">
        <v>0</v>
      </c>
      <c r="C25" s="242">
        <v>5.3733620000000003E-2</v>
      </c>
      <c r="D25" s="241">
        <f t="shared" si="2"/>
        <v>0</v>
      </c>
      <c r="G25" s="241">
        <f t="shared" si="3"/>
        <v>0</v>
      </c>
      <c r="J25" s="241">
        <f t="shared" si="4"/>
        <v>0</v>
      </c>
      <c r="M25" s="241">
        <f t="shared" si="5"/>
        <v>0</v>
      </c>
      <c r="P25" s="241">
        <f t="shared" si="6"/>
        <v>0</v>
      </c>
      <c r="S25" s="241">
        <f t="shared" si="7"/>
        <v>0</v>
      </c>
      <c r="V25" s="241">
        <f t="shared" si="8"/>
        <v>0</v>
      </c>
      <c r="Y25" s="241">
        <f t="shared" si="9"/>
        <v>0</v>
      </c>
      <c r="AB25" s="241">
        <f t="shared" si="10"/>
        <v>0</v>
      </c>
      <c r="AE25" s="241">
        <v>0</v>
      </c>
      <c r="AH25" s="241">
        <v>0</v>
      </c>
      <c r="AI25" s="256">
        <f>45000000+18950000</f>
        <v>63950000</v>
      </c>
      <c r="AJ25" s="257">
        <v>5.4800000000000001E-2</v>
      </c>
      <c r="AK25" s="241">
        <f t="shared" si="11"/>
        <v>9734.6111111111113</v>
      </c>
      <c r="AL25" s="256">
        <f>75000000+60000000+70000000+18400000+6600000</f>
        <v>230000000</v>
      </c>
      <c r="AM25" s="257">
        <v>5.6000000000000001E-2</v>
      </c>
      <c r="AN25" s="241">
        <f t="shared" si="12"/>
        <v>35777.777777777781</v>
      </c>
      <c r="AO25" s="256">
        <f t="shared" si="1"/>
        <v>40000000</v>
      </c>
      <c r="AP25" s="257">
        <v>5.6000000000000001E-2</v>
      </c>
      <c r="AQ25" s="241">
        <f t="shared" si="13"/>
        <v>6222.2222222222226</v>
      </c>
      <c r="AR25" s="256"/>
      <c r="AS25" s="257"/>
      <c r="AT25" s="241">
        <f t="shared" si="14"/>
        <v>0</v>
      </c>
      <c r="AW25" s="241">
        <f t="shared" si="15"/>
        <v>0</v>
      </c>
      <c r="AZ25" s="241">
        <f t="shared" si="16"/>
        <v>0</v>
      </c>
      <c r="BC25" s="241">
        <f t="shared" si="17"/>
        <v>0</v>
      </c>
      <c r="BF25" s="241">
        <f t="shared" si="18"/>
        <v>0</v>
      </c>
      <c r="BI25" s="241">
        <f t="shared" si="19"/>
        <v>0</v>
      </c>
      <c r="BL25" s="241">
        <f t="shared" si="20"/>
        <v>0</v>
      </c>
      <c r="BO25" s="241">
        <f t="shared" si="21"/>
        <v>0</v>
      </c>
      <c r="BR25" s="241">
        <f t="shared" si="22"/>
        <v>0</v>
      </c>
      <c r="BU25" s="241">
        <f t="shared" si="23"/>
        <v>0</v>
      </c>
      <c r="BX25" s="241">
        <f t="shared" si="24"/>
        <v>0</v>
      </c>
      <c r="CA25" s="241">
        <f t="shared" si="25"/>
        <v>0</v>
      </c>
      <c r="CD25" s="241">
        <f t="shared" si="26"/>
        <v>0</v>
      </c>
      <c r="CG25" s="241">
        <f t="shared" si="27"/>
        <v>0</v>
      </c>
      <c r="CJ25" s="241">
        <f t="shared" si="28"/>
        <v>0</v>
      </c>
      <c r="CM25" s="241">
        <f t="shared" si="29"/>
        <v>0</v>
      </c>
      <c r="CP25" s="241">
        <f t="shared" si="30"/>
        <v>0</v>
      </c>
      <c r="CS25" s="241">
        <f t="shared" si="31"/>
        <v>0</v>
      </c>
      <c r="CV25" s="241">
        <f t="shared" si="32"/>
        <v>0</v>
      </c>
      <c r="CY25" s="241">
        <f t="shared" si="33"/>
        <v>0</v>
      </c>
      <c r="DB25" s="241">
        <f t="shared" si="34"/>
        <v>0</v>
      </c>
      <c r="DE25" s="241">
        <f t="shared" si="35"/>
        <v>0</v>
      </c>
      <c r="DH25" s="241">
        <f t="shared" si="36"/>
        <v>0</v>
      </c>
      <c r="DK25" s="241">
        <f t="shared" si="37"/>
        <v>0</v>
      </c>
      <c r="DN25" s="241">
        <f t="shared" si="38"/>
        <v>0</v>
      </c>
      <c r="DQ25" s="241">
        <f t="shared" si="39"/>
        <v>0</v>
      </c>
      <c r="DT25" s="241">
        <f t="shared" si="40"/>
        <v>0</v>
      </c>
      <c r="DW25" s="241">
        <f t="shared" si="41"/>
        <v>0</v>
      </c>
      <c r="DZ25" s="241"/>
      <c r="EA25" s="241"/>
      <c r="EB25" s="261">
        <f t="shared" si="42"/>
        <v>333950000</v>
      </c>
      <c r="EC25" s="261">
        <f t="shared" si="43"/>
        <v>0</v>
      </c>
      <c r="ED25" s="241">
        <f t="shared" si="44"/>
        <v>51734.611111111109</v>
      </c>
      <c r="EE25" s="242">
        <f t="shared" si="45"/>
        <v>5.5770205120527022E-2</v>
      </c>
      <c r="EG25" s="261">
        <f t="shared" si="46"/>
        <v>0</v>
      </c>
      <c r="EH25" s="241">
        <f t="shared" si="47"/>
        <v>0</v>
      </c>
      <c r="EI25" s="242">
        <f t="shared" si="48"/>
        <v>0</v>
      </c>
      <c r="EJ25" s="242"/>
      <c r="EK25" s="261">
        <f t="shared" si="49"/>
        <v>333950000</v>
      </c>
      <c r="EL25" s="261">
        <f t="shared" si="50"/>
        <v>0</v>
      </c>
      <c r="EM25" s="261">
        <f t="shared" si="51"/>
        <v>51734.611111111109</v>
      </c>
      <c r="EN25" s="242">
        <f t="shared" si="52"/>
        <v>5.5770205120527022E-2</v>
      </c>
      <c r="EP25" s="241"/>
    </row>
    <row r="26" spans="1:146" x14ac:dyDescent="0.25">
      <c r="A26" s="255">
        <f t="shared" si="53"/>
        <v>45520</v>
      </c>
      <c r="B26" s="241">
        <v>35975150</v>
      </c>
      <c r="C26" s="242">
        <v>5.28E-2</v>
      </c>
      <c r="D26" s="241">
        <f t="shared" si="2"/>
        <v>5276.355333333333</v>
      </c>
      <c r="G26" s="241">
        <f t="shared" si="3"/>
        <v>0</v>
      </c>
      <c r="J26" s="241">
        <f t="shared" si="4"/>
        <v>0</v>
      </c>
      <c r="M26" s="241">
        <f t="shared" si="5"/>
        <v>0</v>
      </c>
      <c r="P26" s="241">
        <f t="shared" si="6"/>
        <v>0</v>
      </c>
      <c r="S26" s="241">
        <f t="shared" si="7"/>
        <v>0</v>
      </c>
      <c r="V26" s="241">
        <f t="shared" si="8"/>
        <v>0</v>
      </c>
      <c r="Y26" s="241">
        <f t="shared" si="9"/>
        <v>0</v>
      </c>
      <c r="AB26" s="241">
        <f t="shared" si="10"/>
        <v>0</v>
      </c>
      <c r="AE26" s="241">
        <v>0</v>
      </c>
      <c r="AH26" s="241">
        <v>0</v>
      </c>
      <c r="AI26" s="256">
        <f>10000000+21775000</f>
        <v>31775000</v>
      </c>
      <c r="AJ26" s="257">
        <v>5.4800000000000001E-2</v>
      </c>
      <c r="AK26" s="241">
        <f t="shared" si="11"/>
        <v>4836.8611111111113</v>
      </c>
      <c r="AL26" s="256">
        <f t="shared" ref="AL26:AL31" si="54">75000000+60000000+70000000+18400000</f>
        <v>223400000</v>
      </c>
      <c r="AM26" s="257">
        <v>5.6000000000000001E-2</v>
      </c>
      <c r="AN26" s="241">
        <f t="shared" si="12"/>
        <v>34751.111111111109</v>
      </c>
      <c r="AO26" s="256">
        <f t="shared" si="1"/>
        <v>40000000</v>
      </c>
      <c r="AP26" s="257">
        <v>5.6000000000000001E-2</v>
      </c>
      <c r="AQ26" s="241">
        <f t="shared" si="13"/>
        <v>6222.2222222222226</v>
      </c>
      <c r="AR26" s="256"/>
      <c r="AS26" s="257"/>
      <c r="AT26" s="241">
        <f t="shared" si="14"/>
        <v>0</v>
      </c>
      <c r="AW26" s="241">
        <f t="shared" si="15"/>
        <v>0</v>
      </c>
      <c r="AZ26" s="241">
        <f t="shared" si="16"/>
        <v>0</v>
      </c>
      <c r="BC26" s="241">
        <f t="shared" si="17"/>
        <v>0</v>
      </c>
      <c r="BF26" s="241">
        <f t="shared" si="18"/>
        <v>0</v>
      </c>
      <c r="BI26" s="241">
        <f t="shared" si="19"/>
        <v>0</v>
      </c>
      <c r="BL26" s="241">
        <f t="shared" si="20"/>
        <v>0</v>
      </c>
      <c r="BO26" s="241">
        <f t="shared" si="21"/>
        <v>0</v>
      </c>
      <c r="BR26" s="241">
        <f t="shared" si="22"/>
        <v>0</v>
      </c>
      <c r="BU26" s="241">
        <f t="shared" si="23"/>
        <v>0</v>
      </c>
      <c r="BX26" s="241">
        <f t="shared" si="24"/>
        <v>0</v>
      </c>
      <c r="CA26" s="241">
        <f t="shared" si="25"/>
        <v>0</v>
      </c>
      <c r="CD26" s="241">
        <f t="shared" si="26"/>
        <v>0</v>
      </c>
      <c r="CG26" s="241">
        <f t="shared" si="27"/>
        <v>0</v>
      </c>
      <c r="CJ26" s="241">
        <f t="shared" si="28"/>
        <v>0</v>
      </c>
      <c r="CM26" s="241">
        <f t="shared" si="29"/>
        <v>0</v>
      </c>
      <c r="CP26" s="241">
        <f t="shared" si="30"/>
        <v>0</v>
      </c>
      <c r="CS26" s="241">
        <f t="shared" si="31"/>
        <v>0</v>
      </c>
      <c r="CV26" s="241">
        <f t="shared" si="32"/>
        <v>0</v>
      </c>
      <c r="CY26" s="241">
        <f t="shared" si="33"/>
        <v>0</v>
      </c>
      <c r="DB26" s="241">
        <f t="shared" si="34"/>
        <v>0</v>
      </c>
      <c r="DE26" s="241">
        <f t="shared" si="35"/>
        <v>0</v>
      </c>
      <c r="DH26" s="241">
        <f t="shared" si="36"/>
        <v>0</v>
      </c>
      <c r="DK26" s="241">
        <f t="shared" si="37"/>
        <v>0</v>
      </c>
      <c r="DN26" s="241">
        <f t="shared" si="38"/>
        <v>0</v>
      </c>
      <c r="DQ26" s="241">
        <f t="shared" si="39"/>
        <v>0</v>
      </c>
      <c r="DT26" s="241">
        <f t="shared" si="40"/>
        <v>0</v>
      </c>
      <c r="DW26" s="241">
        <f t="shared" si="41"/>
        <v>0</v>
      </c>
      <c r="DZ26" s="241"/>
      <c r="EA26" s="241"/>
      <c r="EB26" s="261">
        <f t="shared" si="42"/>
        <v>331150150</v>
      </c>
      <c r="EC26" s="261">
        <f t="shared" si="43"/>
        <v>35975150</v>
      </c>
      <c r="ED26" s="241">
        <f t="shared" si="44"/>
        <v>51086.549777777778</v>
      </c>
      <c r="EE26" s="242">
        <f t="shared" si="45"/>
        <v>5.5537217543159809E-2</v>
      </c>
      <c r="EG26" s="261">
        <f t="shared" si="46"/>
        <v>0</v>
      </c>
      <c r="EH26" s="241">
        <f t="shared" si="47"/>
        <v>0</v>
      </c>
      <c r="EI26" s="242">
        <f t="shared" si="48"/>
        <v>0</v>
      </c>
      <c r="EJ26" s="242"/>
      <c r="EK26" s="261">
        <f t="shared" si="49"/>
        <v>295175000</v>
      </c>
      <c r="EL26" s="261">
        <f t="shared" si="50"/>
        <v>0</v>
      </c>
      <c r="EM26" s="261">
        <f t="shared" si="51"/>
        <v>45810.194444444438</v>
      </c>
      <c r="EN26" s="242">
        <f t="shared" si="52"/>
        <v>5.5870822393495376E-2</v>
      </c>
      <c r="EP26" s="241"/>
    </row>
    <row r="27" spans="1:146" x14ac:dyDescent="0.25">
      <c r="A27" s="255">
        <f t="shared" si="53"/>
        <v>45521</v>
      </c>
      <c r="B27" s="241">
        <v>35975150</v>
      </c>
      <c r="C27" s="242">
        <v>5.28E-2</v>
      </c>
      <c r="D27" s="241">
        <f t="shared" si="2"/>
        <v>5276.355333333333</v>
      </c>
      <c r="G27" s="241">
        <f t="shared" si="3"/>
        <v>0</v>
      </c>
      <c r="J27" s="241">
        <f t="shared" si="4"/>
        <v>0</v>
      </c>
      <c r="M27" s="241">
        <f t="shared" si="5"/>
        <v>0</v>
      </c>
      <c r="P27" s="241">
        <f t="shared" si="6"/>
        <v>0</v>
      </c>
      <c r="S27" s="241">
        <f t="shared" si="7"/>
        <v>0</v>
      </c>
      <c r="V27" s="241">
        <f t="shared" si="8"/>
        <v>0</v>
      </c>
      <c r="Y27" s="241">
        <f t="shared" si="9"/>
        <v>0</v>
      </c>
      <c r="AB27" s="241">
        <f t="shared" si="10"/>
        <v>0</v>
      </c>
      <c r="AE27" s="241">
        <v>0</v>
      </c>
      <c r="AH27" s="241">
        <v>0</v>
      </c>
      <c r="AI27" s="256">
        <f>10000000+21775000</f>
        <v>31775000</v>
      </c>
      <c r="AJ27" s="257">
        <v>5.4800000000000001E-2</v>
      </c>
      <c r="AK27" s="241">
        <f t="shared" si="11"/>
        <v>4836.8611111111113</v>
      </c>
      <c r="AL27" s="256">
        <f t="shared" si="54"/>
        <v>223400000</v>
      </c>
      <c r="AM27" s="257">
        <v>5.6000000000000001E-2</v>
      </c>
      <c r="AN27" s="241">
        <f t="shared" si="12"/>
        <v>34751.111111111109</v>
      </c>
      <c r="AO27" s="256">
        <f t="shared" si="1"/>
        <v>40000000</v>
      </c>
      <c r="AP27" s="257">
        <v>5.6000000000000001E-2</v>
      </c>
      <c r="AQ27" s="241">
        <f t="shared" si="13"/>
        <v>6222.2222222222226</v>
      </c>
      <c r="AR27" s="256"/>
      <c r="AS27" s="257"/>
      <c r="AT27" s="241">
        <f t="shared" si="14"/>
        <v>0</v>
      </c>
      <c r="AW27" s="241">
        <f t="shared" si="15"/>
        <v>0</v>
      </c>
      <c r="AZ27" s="241">
        <f t="shared" si="16"/>
        <v>0</v>
      </c>
      <c r="BC27" s="241">
        <f t="shared" si="17"/>
        <v>0</v>
      </c>
      <c r="BF27" s="241">
        <f t="shared" si="18"/>
        <v>0</v>
      </c>
      <c r="BI27" s="241">
        <f t="shared" si="19"/>
        <v>0</v>
      </c>
      <c r="BL27" s="241">
        <f t="shared" si="20"/>
        <v>0</v>
      </c>
      <c r="BO27" s="241">
        <f t="shared" si="21"/>
        <v>0</v>
      </c>
      <c r="BR27" s="241">
        <f t="shared" si="22"/>
        <v>0</v>
      </c>
      <c r="BU27" s="241">
        <f t="shared" si="23"/>
        <v>0</v>
      </c>
      <c r="BX27" s="241">
        <f t="shared" si="24"/>
        <v>0</v>
      </c>
      <c r="CA27" s="241">
        <f t="shared" si="25"/>
        <v>0</v>
      </c>
      <c r="CD27" s="241">
        <f t="shared" si="26"/>
        <v>0</v>
      </c>
      <c r="CG27" s="241">
        <f t="shared" si="27"/>
        <v>0</v>
      </c>
      <c r="CJ27" s="241">
        <f t="shared" si="28"/>
        <v>0</v>
      </c>
      <c r="CM27" s="241">
        <f t="shared" si="29"/>
        <v>0</v>
      </c>
      <c r="CP27" s="241">
        <f t="shared" si="30"/>
        <v>0</v>
      </c>
      <c r="CS27" s="241">
        <f t="shared" si="31"/>
        <v>0</v>
      </c>
      <c r="CV27" s="241">
        <f t="shared" si="32"/>
        <v>0</v>
      </c>
      <c r="CY27" s="241">
        <f t="shared" si="33"/>
        <v>0</v>
      </c>
      <c r="DB27" s="241">
        <f t="shared" si="34"/>
        <v>0</v>
      </c>
      <c r="DE27" s="241">
        <f t="shared" si="35"/>
        <v>0</v>
      </c>
      <c r="DH27" s="241">
        <f t="shared" si="36"/>
        <v>0</v>
      </c>
      <c r="DK27" s="241">
        <f t="shared" si="37"/>
        <v>0</v>
      </c>
      <c r="DN27" s="241">
        <f t="shared" si="38"/>
        <v>0</v>
      </c>
      <c r="DQ27" s="241">
        <f t="shared" si="39"/>
        <v>0</v>
      </c>
      <c r="DT27" s="241">
        <f t="shared" si="40"/>
        <v>0</v>
      </c>
      <c r="DW27" s="241">
        <f t="shared" si="41"/>
        <v>0</v>
      </c>
      <c r="DZ27" s="241"/>
      <c r="EA27" s="241"/>
      <c r="EB27" s="261">
        <f t="shared" si="42"/>
        <v>331150150</v>
      </c>
      <c r="EC27" s="261">
        <f t="shared" si="43"/>
        <v>35975150</v>
      </c>
      <c r="ED27" s="241">
        <f t="shared" si="44"/>
        <v>51086.549777777778</v>
      </c>
      <c r="EE27" s="242">
        <f t="shared" si="45"/>
        <v>5.5537217543159809E-2</v>
      </c>
      <c r="EG27" s="261">
        <f t="shared" si="46"/>
        <v>0</v>
      </c>
      <c r="EH27" s="241">
        <f t="shared" si="47"/>
        <v>0</v>
      </c>
      <c r="EI27" s="242">
        <f t="shared" si="48"/>
        <v>0</v>
      </c>
      <c r="EJ27" s="242"/>
      <c r="EK27" s="261">
        <f t="shared" si="49"/>
        <v>295175000</v>
      </c>
      <c r="EL27" s="261">
        <f t="shared" si="50"/>
        <v>0</v>
      </c>
      <c r="EM27" s="261">
        <f t="shared" si="51"/>
        <v>45810.194444444438</v>
      </c>
      <c r="EN27" s="242">
        <f t="shared" si="52"/>
        <v>5.5870822393495376E-2</v>
      </c>
      <c r="EP27" s="241"/>
    </row>
    <row r="28" spans="1:146" x14ac:dyDescent="0.25">
      <c r="A28" s="255">
        <f t="shared" si="53"/>
        <v>45522</v>
      </c>
      <c r="B28" s="241">
        <v>35975150</v>
      </c>
      <c r="C28" s="242">
        <v>5.28E-2</v>
      </c>
      <c r="D28" s="241">
        <f t="shared" si="2"/>
        <v>5276.355333333333</v>
      </c>
      <c r="G28" s="241">
        <f t="shared" si="3"/>
        <v>0</v>
      </c>
      <c r="J28" s="241">
        <f t="shared" si="4"/>
        <v>0</v>
      </c>
      <c r="M28" s="241">
        <f t="shared" si="5"/>
        <v>0</v>
      </c>
      <c r="P28" s="241">
        <f t="shared" si="6"/>
        <v>0</v>
      </c>
      <c r="S28" s="241">
        <f t="shared" si="7"/>
        <v>0</v>
      </c>
      <c r="V28" s="241">
        <f t="shared" si="8"/>
        <v>0</v>
      </c>
      <c r="Y28" s="241">
        <f t="shared" si="9"/>
        <v>0</v>
      </c>
      <c r="AB28" s="241">
        <f t="shared" si="10"/>
        <v>0</v>
      </c>
      <c r="AE28" s="241">
        <v>0</v>
      </c>
      <c r="AH28" s="241">
        <v>0</v>
      </c>
      <c r="AI28" s="256">
        <f>10000000+21775000</f>
        <v>31775000</v>
      </c>
      <c r="AJ28" s="257">
        <v>5.4800000000000001E-2</v>
      </c>
      <c r="AK28" s="241">
        <f t="shared" si="11"/>
        <v>4836.8611111111113</v>
      </c>
      <c r="AL28" s="256">
        <f t="shared" si="54"/>
        <v>223400000</v>
      </c>
      <c r="AM28" s="257">
        <v>5.6000000000000001E-2</v>
      </c>
      <c r="AN28" s="241">
        <f t="shared" si="12"/>
        <v>34751.111111111109</v>
      </c>
      <c r="AO28" s="256">
        <f t="shared" si="1"/>
        <v>40000000</v>
      </c>
      <c r="AP28" s="257">
        <v>5.6000000000000001E-2</v>
      </c>
      <c r="AQ28" s="241">
        <f t="shared" si="13"/>
        <v>6222.2222222222226</v>
      </c>
      <c r="AR28" s="256"/>
      <c r="AS28" s="257"/>
      <c r="AT28" s="241">
        <f t="shared" si="14"/>
        <v>0</v>
      </c>
      <c r="AW28" s="241">
        <f t="shared" si="15"/>
        <v>0</v>
      </c>
      <c r="AZ28" s="241">
        <f t="shared" si="16"/>
        <v>0</v>
      </c>
      <c r="BC28" s="241">
        <f t="shared" si="17"/>
        <v>0</v>
      </c>
      <c r="BF28" s="241">
        <f t="shared" si="18"/>
        <v>0</v>
      </c>
      <c r="BI28" s="241">
        <f t="shared" si="19"/>
        <v>0</v>
      </c>
      <c r="BL28" s="241">
        <f t="shared" si="20"/>
        <v>0</v>
      </c>
      <c r="BO28" s="241">
        <f t="shared" si="21"/>
        <v>0</v>
      </c>
      <c r="BR28" s="241">
        <f t="shared" si="22"/>
        <v>0</v>
      </c>
      <c r="BU28" s="241">
        <f t="shared" si="23"/>
        <v>0</v>
      </c>
      <c r="BX28" s="241">
        <f t="shared" si="24"/>
        <v>0</v>
      </c>
      <c r="CA28" s="241">
        <f t="shared" si="25"/>
        <v>0</v>
      </c>
      <c r="CD28" s="241">
        <f t="shared" si="26"/>
        <v>0</v>
      </c>
      <c r="CG28" s="241">
        <f t="shared" si="27"/>
        <v>0</v>
      </c>
      <c r="CJ28" s="241">
        <f t="shared" si="28"/>
        <v>0</v>
      </c>
      <c r="CM28" s="241">
        <f t="shared" si="29"/>
        <v>0</v>
      </c>
      <c r="CP28" s="241">
        <f t="shared" si="30"/>
        <v>0</v>
      </c>
      <c r="CS28" s="241">
        <f t="shared" si="31"/>
        <v>0</v>
      </c>
      <c r="CV28" s="241">
        <f t="shared" si="32"/>
        <v>0</v>
      </c>
      <c r="CY28" s="241">
        <f t="shared" si="33"/>
        <v>0</v>
      </c>
      <c r="DB28" s="241">
        <f t="shared" si="34"/>
        <v>0</v>
      </c>
      <c r="DE28" s="241">
        <f t="shared" si="35"/>
        <v>0</v>
      </c>
      <c r="DH28" s="241">
        <f t="shared" si="36"/>
        <v>0</v>
      </c>
      <c r="DK28" s="241">
        <f t="shared" si="37"/>
        <v>0</v>
      </c>
      <c r="DN28" s="241">
        <f t="shared" si="38"/>
        <v>0</v>
      </c>
      <c r="DQ28" s="241">
        <f t="shared" si="39"/>
        <v>0</v>
      </c>
      <c r="DT28" s="241">
        <f t="shared" si="40"/>
        <v>0</v>
      </c>
      <c r="DW28" s="241">
        <f t="shared" si="41"/>
        <v>0</v>
      </c>
      <c r="DZ28" s="241"/>
      <c r="EA28" s="241"/>
      <c r="EB28" s="261">
        <f t="shared" si="42"/>
        <v>331150150</v>
      </c>
      <c r="EC28" s="261">
        <f t="shared" si="43"/>
        <v>35975150</v>
      </c>
      <c r="ED28" s="241">
        <f t="shared" si="44"/>
        <v>51086.549777777778</v>
      </c>
      <c r="EE28" s="242">
        <f t="shared" si="45"/>
        <v>5.5537217543159809E-2</v>
      </c>
      <c r="EG28" s="261">
        <f t="shared" si="46"/>
        <v>0</v>
      </c>
      <c r="EH28" s="241">
        <f t="shared" si="47"/>
        <v>0</v>
      </c>
      <c r="EI28" s="242">
        <f t="shared" si="48"/>
        <v>0</v>
      </c>
      <c r="EJ28" s="242"/>
      <c r="EK28" s="261">
        <f t="shared" si="49"/>
        <v>295175000</v>
      </c>
      <c r="EL28" s="261">
        <f t="shared" si="50"/>
        <v>0</v>
      </c>
      <c r="EM28" s="261">
        <f t="shared" si="51"/>
        <v>45810.194444444438</v>
      </c>
      <c r="EN28" s="242">
        <f t="shared" si="52"/>
        <v>5.5870822393495376E-2</v>
      </c>
      <c r="EP28" s="241"/>
    </row>
    <row r="29" spans="1:146" x14ac:dyDescent="0.25">
      <c r="A29" s="255">
        <f t="shared" si="53"/>
        <v>45523</v>
      </c>
      <c r="B29" s="241">
        <v>43950150</v>
      </c>
      <c r="C29" s="242">
        <v>5.2699999999999997E-2</v>
      </c>
      <c r="D29" s="241">
        <f t="shared" si="2"/>
        <v>6433.8136249999998</v>
      </c>
      <c r="G29" s="241">
        <f t="shared" si="3"/>
        <v>0</v>
      </c>
      <c r="J29" s="241">
        <f t="shared" si="4"/>
        <v>0</v>
      </c>
      <c r="M29" s="241">
        <f t="shared" si="5"/>
        <v>0</v>
      </c>
      <c r="P29" s="241">
        <f t="shared" si="6"/>
        <v>0</v>
      </c>
      <c r="S29" s="241">
        <f t="shared" si="7"/>
        <v>0</v>
      </c>
      <c r="V29" s="241">
        <f t="shared" si="8"/>
        <v>0</v>
      </c>
      <c r="Y29" s="241">
        <f t="shared" si="9"/>
        <v>0</v>
      </c>
      <c r="AB29" s="241">
        <f t="shared" si="10"/>
        <v>0</v>
      </c>
      <c r="AE29" s="241">
        <v>0</v>
      </c>
      <c r="AH29" s="241">
        <v>0</v>
      </c>
      <c r="AI29" s="256">
        <f>17300000</f>
        <v>17300000</v>
      </c>
      <c r="AJ29" s="257">
        <v>5.4800000000000001E-2</v>
      </c>
      <c r="AK29" s="241">
        <f t="shared" si="11"/>
        <v>2633.4444444444443</v>
      </c>
      <c r="AL29" s="256">
        <f t="shared" si="54"/>
        <v>223400000</v>
      </c>
      <c r="AM29" s="257">
        <v>5.6000000000000001E-2</v>
      </c>
      <c r="AN29" s="241">
        <f t="shared" si="12"/>
        <v>34751.111111111109</v>
      </c>
      <c r="AO29" s="256">
        <f t="shared" si="1"/>
        <v>40000000</v>
      </c>
      <c r="AP29" s="257">
        <v>5.6000000000000001E-2</v>
      </c>
      <c r="AQ29" s="241">
        <f t="shared" si="13"/>
        <v>6222.2222222222226</v>
      </c>
      <c r="AR29" s="256"/>
      <c r="AS29" s="257"/>
      <c r="AT29" s="241">
        <f t="shared" si="14"/>
        <v>0</v>
      </c>
      <c r="AW29" s="241">
        <f t="shared" si="15"/>
        <v>0</v>
      </c>
      <c r="AZ29" s="241">
        <f t="shared" si="16"/>
        <v>0</v>
      </c>
      <c r="BC29" s="241">
        <f t="shared" si="17"/>
        <v>0</v>
      </c>
      <c r="BF29" s="241">
        <f t="shared" si="18"/>
        <v>0</v>
      </c>
      <c r="BI29" s="241">
        <f t="shared" si="19"/>
        <v>0</v>
      </c>
      <c r="BL29" s="241">
        <f t="shared" si="20"/>
        <v>0</v>
      </c>
      <c r="BO29" s="241">
        <f t="shared" si="21"/>
        <v>0</v>
      </c>
      <c r="BR29" s="241">
        <f t="shared" si="22"/>
        <v>0</v>
      </c>
      <c r="BU29" s="241">
        <f t="shared" si="23"/>
        <v>0</v>
      </c>
      <c r="BX29" s="241">
        <f t="shared" si="24"/>
        <v>0</v>
      </c>
      <c r="CA29" s="241">
        <f t="shared" si="25"/>
        <v>0</v>
      </c>
      <c r="CD29" s="241">
        <f t="shared" si="26"/>
        <v>0</v>
      </c>
      <c r="CG29" s="241">
        <f t="shared" si="27"/>
        <v>0</v>
      </c>
      <c r="CJ29" s="241">
        <f t="shared" si="28"/>
        <v>0</v>
      </c>
      <c r="CM29" s="241">
        <f t="shared" si="29"/>
        <v>0</v>
      </c>
      <c r="CP29" s="241">
        <f t="shared" si="30"/>
        <v>0</v>
      </c>
      <c r="CS29" s="241">
        <f t="shared" si="31"/>
        <v>0</v>
      </c>
      <c r="CV29" s="241">
        <f t="shared" si="32"/>
        <v>0</v>
      </c>
      <c r="CY29" s="241">
        <f t="shared" si="33"/>
        <v>0</v>
      </c>
      <c r="DB29" s="241">
        <f t="shared" si="34"/>
        <v>0</v>
      </c>
      <c r="DE29" s="241">
        <f t="shared" si="35"/>
        <v>0</v>
      </c>
      <c r="DH29" s="241">
        <f t="shared" si="36"/>
        <v>0</v>
      </c>
      <c r="DK29" s="241">
        <f t="shared" si="37"/>
        <v>0</v>
      </c>
      <c r="DN29" s="241">
        <f t="shared" si="38"/>
        <v>0</v>
      </c>
      <c r="DQ29" s="241">
        <f t="shared" si="39"/>
        <v>0</v>
      </c>
      <c r="DT29" s="241">
        <f t="shared" si="40"/>
        <v>0</v>
      </c>
      <c r="DW29" s="241">
        <f t="shared" si="41"/>
        <v>0</v>
      </c>
      <c r="DZ29" s="241"/>
      <c r="EA29" s="241"/>
      <c r="EB29" s="261">
        <f t="shared" si="42"/>
        <v>324650150</v>
      </c>
      <c r="EC29" s="261">
        <f t="shared" si="43"/>
        <v>43950150</v>
      </c>
      <c r="ED29" s="241">
        <f t="shared" si="44"/>
        <v>50040.591402777776</v>
      </c>
      <c r="EE29" s="242">
        <f t="shared" si="45"/>
        <v>5.5489310277540296E-2</v>
      </c>
      <c r="EG29" s="261">
        <f t="shared" si="46"/>
        <v>0</v>
      </c>
      <c r="EH29" s="241">
        <f t="shared" si="47"/>
        <v>0</v>
      </c>
      <c r="EI29" s="242">
        <f t="shared" si="48"/>
        <v>0</v>
      </c>
      <c r="EJ29" s="242"/>
      <c r="EK29" s="261">
        <f t="shared" si="49"/>
        <v>280700000</v>
      </c>
      <c r="EL29" s="261">
        <f t="shared" si="50"/>
        <v>0</v>
      </c>
      <c r="EM29" s="261">
        <f t="shared" si="51"/>
        <v>43606.777777777774</v>
      </c>
      <c r="EN29" s="242">
        <f t="shared" si="52"/>
        <v>5.5926042037762726E-2</v>
      </c>
      <c r="EP29" s="241"/>
    </row>
    <row r="30" spans="1:146" x14ac:dyDescent="0.25">
      <c r="A30" s="255">
        <f t="shared" si="53"/>
        <v>45524</v>
      </c>
      <c r="B30" s="241">
        <v>19975150</v>
      </c>
      <c r="C30" s="242">
        <v>5.2900000000000003E-2</v>
      </c>
      <c r="D30" s="241">
        <f t="shared" si="2"/>
        <v>2935.2373194444444</v>
      </c>
      <c r="G30" s="241">
        <f t="shared" si="3"/>
        <v>0</v>
      </c>
      <c r="J30" s="241">
        <f t="shared" si="4"/>
        <v>0</v>
      </c>
      <c r="M30" s="241">
        <f t="shared" si="5"/>
        <v>0</v>
      </c>
      <c r="P30" s="241">
        <f t="shared" si="6"/>
        <v>0</v>
      </c>
      <c r="S30" s="241">
        <f t="shared" si="7"/>
        <v>0</v>
      </c>
      <c r="V30" s="241">
        <f t="shared" si="8"/>
        <v>0</v>
      </c>
      <c r="Y30" s="241">
        <f t="shared" si="9"/>
        <v>0</v>
      </c>
      <c r="AB30" s="241">
        <f t="shared" si="10"/>
        <v>0</v>
      </c>
      <c r="AE30" s="241">
        <v>0</v>
      </c>
      <c r="AH30" s="241">
        <v>0</v>
      </c>
      <c r="AI30" s="256">
        <f>23925000+1000000</f>
        <v>24925000</v>
      </c>
      <c r="AJ30" s="257">
        <v>5.4800000000000001E-2</v>
      </c>
      <c r="AK30" s="241">
        <f t="shared" si="11"/>
        <v>3794.1388888888887</v>
      </c>
      <c r="AL30" s="256">
        <f t="shared" si="54"/>
        <v>223400000</v>
      </c>
      <c r="AM30" s="257">
        <v>5.6000000000000001E-2</v>
      </c>
      <c r="AN30" s="241">
        <f t="shared" si="12"/>
        <v>34751.111111111109</v>
      </c>
      <c r="AO30" s="256">
        <f t="shared" si="1"/>
        <v>40000000</v>
      </c>
      <c r="AP30" s="257">
        <v>5.6000000000000001E-2</v>
      </c>
      <c r="AQ30" s="241">
        <f t="shared" si="13"/>
        <v>6222.2222222222226</v>
      </c>
      <c r="AR30" s="256"/>
      <c r="AS30" s="257"/>
      <c r="AT30" s="241">
        <f t="shared" si="14"/>
        <v>0</v>
      </c>
      <c r="AW30" s="241">
        <f t="shared" si="15"/>
        <v>0</v>
      </c>
      <c r="AZ30" s="241">
        <f t="shared" si="16"/>
        <v>0</v>
      </c>
      <c r="BC30" s="241">
        <f t="shared" si="17"/>
        <v>0</v>
      </c>
      <c r="BF30" s="241">
        <f t="shared" si="18"/>
        <v>0</v>
      </c>
      <c r="BI30" s="241">
        <f t="shared" si="19"/>
        <v>0</v>
      </c>
      <c r="BL30" s="241">
        <f t="shared" si="20"/>
        <v>0</v>
      </c>
      <c r="BO30" s="241">
        <f t="shared" si="21"/>
        <v>0</v>
      </c>
      <c r="BR30" s="241">
        <f t="shared" si="22"/>
        <v>0</v>
      </c>
      <c r="BU30" s="241">
        <f t="shared" si="23"/>
        <v>0</v>
      </c>
      <c r="BX30" s="241">
        <f t="shared" si="24"/>
        <v>0</v>
      </c>
      <c r="CA30" s="241">
        <f t="shared" si="25"/>
        <v>0</v>
      </c>
      <c r="CD30" s="241">
        <f t="shared" si="26"/>
        <v>0</v>
      </c>
      <c r="CG30" s="241">
        <f t="shared" si="27"/>
        <v>0</v>
      </c>
      <c r="CJ30" s="241">
        <f t="shared" si="28"/>
        <v>0</v>
      </c>
      <c r="CM30" s="241">
        <f t="shared" si="29"/>
        <v>0</v>
      </c>
      <c r="CP30" s="241">
        <f t="shared" si="30"/>
        <v>0</v>
      </c>
      <c r="CS30" s="241">
        <f t="shared" si="31"/>
        <v>0</v>
      </c>
      <c r="CV30" s="241">
        <f t="shared" si="32"/>
        <v>0</v>
      </c>
      <c r="CY30" s="241">
        <f t="shared" si="33"/>
        <v>0</v>
      </c>
      <c r="DB30" s="241">
        <f t="shared" si="34"/>
        <v>0</v>
      </c>
      <c r="DE30" s="241">
        <f t="shared" si="35"/>
        <v>0</v>
      </c>
      <c r="DH30" s="241">
        <f t="shared" si="36"/>
        <v>0</v>
      </c>
      <c r="DK30" s="241">
        <f t="shared" si="37"/>
        <v>0</v>
      </c>
      <c r="DN30" s="241">
        <f t="shared" si="38"/>
        <v>0</v>
      </c>
      <c r="DQ30" s="241">
        <f t="shared" si="39"/>
        <v>0</v>
      </c>
      <c r="DT30" s="241">
        <f t="shared" si="40"/>
        <v>0</v>
      </c>
      <c r="DW30" s="241">
        <f t="shared" si="41"/>
        <v>0</v>
      </c>
      <c r="DZ30" s="241"/>
      <c r="EA30" s="241"/>
      <c r="EB30" s="261">
        <f t="shared" si="42"/>
        <v>308300150</v>
      </c>
      <c r="EC30" s="261">
        <f t="shared" si="43"/>
        <v>19975150</v>
      </c>
      <c r="ED30" s="241">
        <f t="shared" si="44"/>
        <v>47702.709541666671</v>
      </c>
      <c r="EE30" s="242">
        <f t="shared" si="45"/>
        <v>5.57021312996442E-2</v>
      </c>
      <c r="EG30" s="261">
        <f t="shared" si="46"/>
        <v>0</v>
      </c>
      <c r="EH30" s="241">
        <f t="shared" si="47"/>
        <v>0</v>
      </c>
      <c r="EI30" s="242">
        <f t="shared" si="48"/>
        <v>0</v>
      </c>
      <c r="EJ30" s="242"/>
      <c r="EK30" s="261">
        <f t="shared" si="49"/>
        <v>288325000</v>
      </c>
      <c r="EL30" s="261">
        <f t="shared" si="50"/>
        <v>0</v>
      </c>
      <c r="EM30" s="261">
        <f t="shared" si="51"/>
        <v>44767.472222222219</v>
      </c>
      <c r="EN30" s="242">
        <f t="shared" si="52"/>
        <v>5.5896262897771602E-2</v>
      </c>
      <c r="EP30" s="241"/>
    </row>
    <row r="31" spans="1:146" x14ac:dyDescent="0.25">
      <c r="A31" s="255">
        <f t="shared" si="53"/>
        <v>45525</v>
      </c>
      <c r="B31" s="241">
        <v>0</v>
      </c>
      <c r="C31" s="242">
        <v>5.3284940000000003E-2</v>
      </c>
      <c r="D31" s="241">
        <f t="shared" si="2"/>
        <v>0</v>
      </c>
      <c r="G31" s="241">
        <f t="shared" si="3"/>
        <v>0</v>
      </c>
      <c r="J31" s="241">
        <f t="shared" si="4"/>
        <v>0</v>
      </c>
      <c r="M31" s="241">
        <f t="shared" si="5"/>
        <v>0</v>
      </c>
      <c r="P31" s="241">
        <f t="shared" si="6"/>
        <v>0</v>
      </c>
      <c r="S31" s="241">
        <f t="shared" si="7"/>
        <v>0</v>
      </c>
      <c r="V31" s="241">
        <f t="shared" si="8"/>
        <v>0</v>
      </c>
      <c r="Y31" s="241">
        <f t="shared" si="9"/>
        <v>0</v>
      </c>
      <c r="AB31" s="241">
        <f t="shared" si="10"/>
        <v>0</v>
      </c>
      <c r="AE31" s="241">
        <v>0</v>
      </c>
      <c r="AH31" s="241">
        <v>0</v>
      </c>
      <c r="AI31" s="256">
        <f>50000000+10050000</f>
        <v>60050000</v>
      </c>
      <c r="AJ31" s="257">
        <v>5.4800000000000001E-2</v>
      </c>
      <c r="AK31" s="241">
        <f t="shared" si="11"/>
        <v>9140.9444444444453</v>
      </c>
      <c r="AL31" s="256">
        <f t="shared" si="54"/>
        <v>223400000</v>
      </c>
      <c r="AM31" s="257">
        <v>5.6000000000000001E-2</v>
      </c>
      <c r="AN31" s="241">
        <f t="shared" si="12"/>
        <v>34751.111111111109</v>
      </c>
      <c r="AO31" s="256">
        <f t="shared" si="1"/>
        <v>40000000</v>
      </c>
      <c r="AP31" s="257">
        <v>5.6000000000000001E-2</v>
      </c>
      <c r="AQ31" s="241">
        <f t="shared" si="13"/>
        <v>6222.2222222222226</v>
      </c>
      <c r="AR31" s="256"/>
      <c r="AS31" s="257"/>
      <c r="AT31" s="241">
        <f t="shared" si="14"/>
        <v>0</v>
      </c>
      <c r="AW31" s="241">
        <f t="shared" si="15"/>
        <v>0</v>
      </c>
      <c r="AZ31" s="241">
        <f t="shared" si="16"/>
        <v>0</v>
      </c>
      <c r="BC31" s="241">
        <f t="shared" si="17"/>
        <v>0</v>
      </c>
      <c r="BF31" s="241">
        <f t="shared" si="18"/>
        <v>0</v>
      </c>
      <c r="BI31" s="241">
        <f t="shared" si="19"/>
        <v>0</v>
      </c>
      <c r="BL31" s="241">
        <f t="shared" si="20"/>
        <v>0</v>
      </c>
      <c r="BO31" s="241">
        <f t="shared" si="21"/>
        <v>0</v>
      </c>
      <c r="BR31" s="241">
        <f t="shared" si="22"/>
        <v>0</v>
      </c>
      <c r="BU31" s="241">
        <f t="shared" si="23"/>
        <v>0</v>
      </c>
      <c r="BX31" s="241">
        <f t="shared" si="24"/>
        <v>0</v>
      </c>
      <c r="CA31" s="241">
        <f t="shared" si="25"/>
        <v>0</v>
      </c>
      <c r="CD31" s="241">
        <f t="shared" si="26"/>
        <v>0</v>
      </c>
      <c r="CG31" s="241">
        <f t="shared" si="27"/>
        <v>0</v>
      </c>
      <c r="CJ31" s="241">
        <f t="shared" si="28"/>
        <v>0</v>
      </c>
      <c r="CM31" s="241">
        <f t="shared" si="29"/>
        <v>0</v>
      </c>
      <c r="CP31" s="241">
        <f t="shared" si="30"/>
        <v>0</v>
      </c>
      <c r="CS31" s="241">
        <f t="shared" si="31"/>
        <v>0</v>
      </c>
      <c r="CV31" s="241">
        <f t="shared" si="32"/>
        <v>0</v>
      </c>
      <c r="CY31" s="241">
        <f t="shared" si="33"/>
        <v>0</v>
      </c>
      <c r="DB31" s="241">
        <f t="shared" si="34"/>
        <v>0</v>
      </c>
      <c r="DE31" s="241">
        <f t="shared" si="35"/>
        <v>0</v>
      </c>
      <c r="DH31" s="241">
        <f t="shared" si="36"/>
        <v>0</v>
      </c>
      <c r="DK31" s="241">
        <f t="shared" si="37"/>
        <v>0</v>
      </c>
      <c r="DN31" s="241">
        <f t="shared" si="38"/>
        <v>0</v>
      </c>
      <c r="DQ31" s="241">
        <f t="shared" si="39"/>
        <v>0</v>
      </c>
      <c r="DT31" s="241">
        <f t="shared" si="40"/>
        <v>0</v>
      </c>
      <c r="DW31" s="241">
        <f t="shared" si="41"/>
        <v>0</v>
      </c>
      <c r="DZ31" s="241"/>
      <c r="EA31" s="241"/>
      <c r="EB31" s="261">
        <f t="shared" si="42"/>
        <v>323450000</v>
      </c>
      <c r="EC31" s="261">
        <f t="shared" si="43"/>
        <v>0</v>
      </c>
      <c r="ED31" s="241">
        <f t="shared" si="44"/>
        <v>50114.277777777781</v>
      </c>
      <c r="EE31" s="242">
        <f t="shared" si="45"/>
        <v>5.5777214407172669E-2</v>
      </c>
      <c r="EG31" s="261">
        <f t="shared" si="46"/>
        <v>0</v>
      </c>
      <c r="EH31" s="241">
        <f t="shared" si="47"/>
        <v>0</v>
      </c>
      <c r="EI31" s="242">
        <f t="shared" si="48"/>
        <v>0</v>
      </c>
      <c r="EJ31" s="242"/>
      <c r="EK31" s="261">
        <f t="shared" si="49"/>
        <v>323450000</v>
      </c>
      <c r="EL31" s="261">
        <f t="shared" si="50"/>
        <v>0</v>
      </c>
      <c r="EM31" s="261">
        <f t="shared" si="51"/>
        <v>50114.277777777774</v>
      </c>
      <c r="EN31" s="242">
        <f t="shared" si="52"/>
        <v>5.5777214407172662E-2</v>
      </c>
      <c r="EP31" s="241"/>
    </row>
    <row r="32" spans="1:146" x14ac:dyDescent="0.25">
      <c r="A32" s="255">
        <f t="shared" si="53"/>
        <v>45526</v>
      </c>
      <c r="B32" s="241">
        <v>0</v>
      </c>
      <c r="C32" s="242">
        <v>5.2961109999999999E-2</v>
      </c>
      <c r="D32" s="241">
        <f t="shared" si="2"/>
        <v>0</v>
      </c>
      <c r="G32" s="241">
        <f t="shared" si="3"/>
        <v>0</v>
      </c>
      <c r="J32" s="241">
        <f t="shared" si="4"/>
        <v>0</v>
      </c>
      <c r="M32" s="241">
        <f t="shared" si="5"/>
        <v>0</v>
      </c>
      <c r="P32" s="241">
        <f t="shared" si="6"/>
        <v>0</v>
      </c>
      <c r="S32" s="241">
        <f t="shared" si="7"/>
        <v>0</v>
      </c>
      <c r="V32" s="241">
        <f t="shared" si="8"/>
        <v>0</v>
      </c>
      <c r="Y32" s="241">
        <f t="shared" si="9"/>
        <v>0</v>
      </c>
      <c r="AB32" s="241">
        <f t="shared" si="10"/>
        <v>0</v>
      </c>
      <c r="AE32" s="241">
        <v>0</v>
      </c>
      <c r="AH32" s="241">
        <v>0</v>
      </c>
      <c r="AI32" s="256">
        <f>50000000+18100000</f>
        <v>68100000</v>
      </c>
      <c r="AJ32" s="257">
        <v>5.4699999999999999E-2</v>
      </c>
      <c r="AK32" s="241">
        <f t="shared" si="11"/>
        <v>10347.416666666666</v>
      </c>
      <c r="AL32" s="256">
        <f>75000000+60000000+70000000</f>
        <v>205000000</v>
      </c>
      <c r="AM32" s="257">
        <v>5.6000000000000001E-2</v>
      </c>
      <c r="AN32" s="241">
        <f t="shared" si="12"/>
        <v>31888.888888888891</v>
      </c>
      <c r="AO32" s="256">
        <f t="shared" si="1"/>
        <v>40000000</v>
      </c>
      <c r="AP32" s="257">
        <v>5.6000000000000001E-2</v>
      </c>
      <c r="AQ32" s="241">
        <f t="shared" si="13"/>
        <v>6222.2222222222226</v>
      </c>
      <c r="AR32" s="256"/>
      <c r="AS32" s="257"/>
      <c r="AT32" s="241">
        <f t="shared" si="14"/>
        <v>0</v>
      </c>
      <c r="AW32" s="241">
        <f t="shared" si="15"/>
        <v>0</v>
      </c>
      <c r="AZ32" s="241">
        <f t="shared" si="16"/>
        <v>0</v>
      </c>
      <c r="BC32" s="241">
        <f t="shared" si="17"/>
        <v>0</v>
      </c>
      <c r="BF32" s="241">
        <f t="shared" si="18"/>
        <v>0</v>
      </c>
      <c r="BI32" s="241">
        <f t="shared" si="19"/>
        <v>0</v>
      </c>
      <c r="BL32" s="241">
        <f t="shared" si="20"/>
        <v>0</v>
      </c>
      <c r="BO32" s="241">
        <f t="shared" si="21"/>
        <v>0</v>
      </c>
      <c r="BR32" s="241">
        <f t="shared" si="22"/>
        <v>0</v>
      </c>
      <c r="BU32" s="241">
        <f t="shared" si="23"/>
        <v>0</v>
      </c>
      <c r="BX32" s="241">
        <f t="shared" si="24"/>
        <v>0</v>
      </c>
      <c r="CA32" s="241">
        <f t="shared" si="25"/>
        <v>0</v>
      </c>
      <c r="CD32" s="241">
        <f t="shared" si="26"/>
        <v>0</v>
      </c>
      <c r="CG32" s="241">
        <f t="shared" si="27"/>
        <v>0</v>
      </c>
      <c r="CJ32" s="241">
        <f t="shared" si="28"/>
        <v>0</v>
      </c>
      <c r="CM32" s="241">
        <f t="shared" si="29"/>
        <v>0</v>
      </c>
      <c r="CP32" s="241">
        <f t="shared" si="30"/>
        <v>0</v>
      </c>
      <c r="CS32" s="241">
        <f t="shared" si="31"/>
        <v>0</v>
      </c>
      <c r="CV32" s="241">
        <f t="shared" si="32"/>
        <v>0</v>
      </c>
      <c r="CY32" s="241">
        <f t="shared" si="33"/>
        <v>0</v>
      </c>
      <c r="DB32" s="241">
        <f t="shared" si="34"/>
        <v>0</v>
      </c>
      <c r="DE32" s="241">
        <f t="shared" si="35"/>
        <v>0</v>
      </c>
      <c r="DH32" s="241">
        <f t="shared" si="36"/>
        <v>0</v>
      </c>
      <c r="DK32" s="241">
        <f t="shared" si="37"/>
        <v>0</v>
      </c>
      <c r="DN32" s="241">
        <f t="shared" si="38"/>
        <v>0</v>
      </c>
      <c r="DQ32" s="241">
        <f t="shared" si="39"/>
        <v>0</v>
      </c>
      <c r="DT32" s="241">
        <f t="shared" si="40"/>
        <v>0</v>
      </c>
      <c r="DW32" s="241">
        <f t="shared" si="41"/>
        <v>0</v>
      </c>
      <c r="DZ32" s="241"/>
      <c r="EA32" s="241"/>
      <c r="EB32" s="261">
        <f t="shared" si="42"/>
        <v>313100000</v>
      </c>
      <c r="EC32" s="261">
        <f t="shared" si="43"/>
        <v>0</v>
      </c>
      <c r="ED32" s="241">
        <f t="shared" si="44"/>
        <v>48458.527777777781</v>
      </c>
      <c r="EE32" s="242">
        <f t="shared" si="45"/>
        <v>5.571724688597892E-2</v>
      </c>
      <c r="EG32" s="261">
        <f t="shared" si="46"/>
        <v>0</v>
      </c>
      <c r="EH32" s="241">
        <f t="shared" si="47"/>
        <v>0</v>
      </c>
      <c r="EI32" s="242">
        <f t="shared" si="48"/>
        <v>0</v>
      </c>
      <c r="EJ32" s="242"/>
      <c r="EK32" s="261">
        <f t="shared" si="49"/>
        <v>313100000</v>
      </c>
      <c r="EL32" s="261">
        <f t="shared" si="50"/>
        <v>0</v>
      </c>
      <c r="EM32" s="261">
        <f t="shared" si="51"/>
        <v>48458.527777777774</v>
      </c>
      <c r="EN32" s="242">
        <f t="shared" si="52"/>
        <v>5.5717246885978913E-2</v>
      </c>
      <c r="EP32" s="241"/>
    </row>
    <row r="33" spans="1:146" x14ac:dyDescent="0.25">
      <c r="A33" s="255">
        <f t="shared" si="53"/>
        <v>45527</v>
      </c>
      <c r="B33" s="241">
        <v>0</v>
      </c>
      <c r="C33" s="242">
        <v>5.2813660000000005E-2</v>
      </c>
      <c r="D33" s="241">
        <f t="shared" si="2"/>
        <v>0</v>
      </c>
      <c r="G33" s="241">
        <f t="shared" si="3"/>
        <v>0</v>
      </c>
      <c r="J33" s="241">
        <f t="shared" si="4"/>
        <v>0</v>
      </c>
      <c r="M33" s="241">
        <f t="shared" si="5"/>
        <v>0</v>
      </c>
      <c r="P33" s="241">
        <f t="shared" si="6"/>
        <v>0</v>
      </c>
      <c r="S33" s="241">
        <f t="shared" si="7"/>
        <v>0</v>
      </c>
      <c r="V33" s="241">
        <f t="shared" si="8"/>
        <v>0</v>
      </c>
      <c r="Y33" s="241">
        <f t="shared" si="9"/>
        <v>0</v>
      </c>
      <c r="AB33" s="241">
        <f t="shared" si="10"/>
        <v>0</v>
      </c>
      <c r="AE33" s="241">
        <v>0</v>
      </c>
      <c r="AH33" s="241">
        <v>0</v>
      </c>
      <c r="AI33" s="256">
        <f>52000000</f>
        <v>52000000</v>
      </c>
      <c r="AJ33" s="257">
        <v>5.4699999999999999E-2</v>
      </c>
      <c r="AK33" s="241">
        <f t="shared" si="11"/>
        <v>7901.1111111111113</v>
      </c>
      <c r="AL33" s="256">
        <f>75000000+60000000+70000000</f>
        <v>205000000</v>
      </c>
      <c r="AM33" s="257">
        <v>5.6000000000000001E-2</v>
      </c>
      <c r="AN33" s="241">
        <f t="shared" si="12"/>
        <v>31888.888888888891</v>
      </c>
      <c r="AO33" s="256">
        <f t="shared" si="1"/>
        <v>40000000</v>
      </c>
      <c r="AP33" s="257">
        <v>5.6000000000000001E-2</v>
      </c>
      <c r="AQ33" s="241">
        <f t="shared" si="13"/>
        <v>6222.2222222222226</v>
      </c>
      <c r="AR33" s="256"/>
      <c r="AS33" s="257"/>
      <c r="AT33" s="241">
        <f t="shared" si="14"/>
        <v>0</v>
      </c>
      <c r="AW33" s="241">
        <f t="shared" si="15"/>
        <v>0</v>
      </c>
      <c r="AZ33" s="241">
        <f t="shared" si="16"/>
        <v>0</v>
      </c>
      <c r="BC33" s="241">
        <f t="shared" si="17"/>
        <v>0</v>
      </c>
      <c r="BF33" s="241">
        <f t="shared" si="18"/>
        <v>0</v>
      </c>
      <c r="BI33" s="241">
        <f t="shared" si="19"/>
        <v>0</v>
      </c>
      <c r="BL33" s="241">
        <f t="shared" si="20"/>
        <v>0</v>
      </c>
      <c r="BO33" s="241">
        <f t="shared" si="21"/>
        <v>0</v>
      </c>
      <c r="BR33" s="241">
        <f t="shared" si="22"/>
        <v>0</v>
      </c>
      <c r="BU33" s="241">
        <f t="shared" si="23"/>
        <v>0</v>
      </c>
      <c r="BX33" s="241">
        <f t="shared" si="24"/>
        <v>0</v>
      </c>
      <c r="CA33" s="241">
        <f t="shared" si="25"/>
        <v>0</v>
      </c>
      <c r="CD33" s="241">
        <f t="shared" si="26"/>
        <v>0</v>
      </c>
      <c r="CG33" s="241">
        <f t="shared" si="27"/>
        <v>0</v>
      </c>
      <c r="CJ33" s="241">
        <f t="shared" si="28"/>
        <v>0</v>
      </c>
      <c r="CM33" s="241">
        <f t="shared" si="29"/>
        <v>0</v>
      </c>
      <c r="CP33" s="241">
        <f t="shared" si="30"/>
        <v>0</v>
      </c>
      <c r="CS33" s="241">
        <f t="shared" si="31"/>
        <v>0</v>
      </c>
      <c r="CV33" s="241">
        <f t="shared" si="32"/>
        <v>0</v>
      </c>
      <c r="CY33" s="241">
        <f t="shared" si="33"/>
        <v>0</v>
      </c>
      <c r="DB33" s="241">
        <f t="shared" si="34"/>
        <v>0</v>
      </c>
      <c r="DE33" s="241">
        <f t="shared" si="35"/>
        <v>0</v>
      </c>
      <c r="DH33" s="241">
        <f t="shared" si="36"/>
        <v>0</v>
      </c>
      <c r="DK33" s="241">
        <f t="shared" si="37"/>
        <v>0</v>
      </c>
      <c r="DN33" s="241">
        <f t="shared" si="38"/>
        <v>0</v>
      </c>
      <c r="DQ33" s="241">
        <f t="shared" si="39"/>
        <v>0</v>
      </c>
      <c r="DT33" s="241">
        <f t="shared" si="40"/>
        <v>0</v>
      </c>
      <c r="DW33" s="241">
        <f t="shared" si="41"/>
        <v>0</v>
      </c>
      <c r="DZ33" s="241"/>
      <c r="EA33" s="241"/>
      <c r="EB33" s="261">
        <f t="shared" si="42"/>
        <v>297000000</v>
      </c>
      <c r="EC33" s="261">
        <f t="shared" si="43"/>
        <v>0</v>
      </c>
      <c r="ED33" s="241">
        <f t="shared" si="44"/>
        <v>46012.222222222219</v>
      </c>
      <c r="EE33" s="242">
        <f t="shared" si="45"/>
        <v>5.5772390572390571E-2</v>
      </c>
      <c r="EG33" s="261">
        <f t="shared" si="46"/>
        <v>0</v>
      </c>
      <c r="EH33" s="241">
        <f t="shared" si="47"/>
        <v>0</v>
      </c>
      <c r="EI33" s="242">
        <f t="shared" si="48"/>
        <v>0</v>
      </c>
      <c r="EJ33" s="242"/>
      <c r="EK33" s="261">
        <f t="shared" si="49"/>
        <v>297000000</v>
      </c>
      <c r="EL33" s="261">
        <f t="shared" si="50"/>
        <v>0</v>
      </c>
      <c r="EM33" s="261">
        <f t="shared" si="51"/>
        <v>46012.222222222219</v>
      </c>
      <c r="EN33" s="242">
        <f t="shared" si="52"/>
        <v>5.5772390572390571E-2</v>
      </c>
      <c r="EP33" s="241"/>
    </row>
    <row r="34" spans="1:146" x14ac:dyDescent="0.25">
      <c r="A34" s="255">
        <f t="shared" si="53"/>
        <v>45528</v>
      </c>
      <c r="B34" s="241">
        <v>0</v>
      </c>
      <c r="C34" s="242">
        <v>5.2813660000000005E-2</v>
      </c>
      <c r="D34" s="241">
        <f t="shared" si="2"/>
        <v>0</v>
      </c>
      <c r="G34" s="241">
        <f t="shared" si="3"/>
        <v>0</v>
      </c>
      <c r="J34" s="241">
        <f t="shared" si="4"/>
        <v>0</v>
      </c>
      <c r="M34" s="241">
        <f t="shared" si="5"/>
        <v>0</v>
      </c>
      <c r="P34" s="241">
        <f t="shared" si="6"/>
        <v>0</v>
      </c>
      <c r="S34" s="241">
        <f t="shared" si="7"/>
        <v>0</v>
      </c>
      <c r="V34" s="241">
        <f t="shared" si="8"/>
        <v>0</v>
      </c>
      <c r="Y34" s="241">
        <f t="shared" si="9"/>
        <v>0</v>
      </c>
      <c r="AB34" s="241">
        <f t="shared" si="10"/>
        <v>0</v>
      </c>
      <c r="AE34" s="241">
        <v>0</v>
      </c>
      <c r="AH34" s="241">
        <v>0</v>
      </c>
      <c r="AI34" s="256">
        <f>52000000</f>
        <v>52000000</v>
      </c>
      <c r="AJ34" s="257">
        <v>5.4699999999999999E-2</v>
      </c>
      <c r="AK34" s="241">
        <f t="shared" si="11"/>
        <v>7901.1111111111113</v>
      </c>
      <c r="AL34" s="256">
        <f>75000000+60000000+70000000</f>
        <v>205000000</v>
      </c>
      <c r="AM34" s="257">
        <v>5.6000000000000001E-2</v>
      </c>
      <c r="AN34" s="241">
        <f t="shared" si="12"/>
        <v>31888.888888888891</v>
      </c>
      <c r="AO34" s="256">
        <f t="shared" si="1"/>
        <v>40000000</v>
      </c>
      <c r="AP34" s="257">
        <v>5.6000000000000001E-2</v>
      </c>
      <c r="AQ34" s="241">
        <f t="shared" si="13"/>
        <v>6222.2222222222226</v>
      </c>
      <c r="AR34" s="256"/>
      <c r="AS34" s="257"/>
      <c r="AT34" s="241">
        <f t="shared" si="14"/>
        <v>0</v>
      </c>
      <c r="AW34" s="241">
        <f t="shared" si="15"/>
        <v>0</v>
      </c>
      <c r="AZ34" s="241">
        <f t="shared" si="16"/>
        <v>0</v>
      </c>
      <c r="BC34" s="241">
        <f t="shared" si="17"/>
        <v>0</v>
      </c>
      <c r="BF34" s="241">
        <f t="shared" si="18"/>
        <v>0</v>
      </c>
      <c r="BI34" s="241">
        <f t="shared" si="19"/>
        <v>0</v>
      </c>
      <c r="BL34" s="241">
        <f t="shared" si="20"/>
        <v>0</v>
      </c>
      <c r="BO34" s="241">
        <f t="shared" si="21"/>
        <v>0</v>
      </c>
      <c r="BR34" s="241">
        <f t="shared" si="22"/>
        <v>0</v>
      </c>
      <c r="BU34" s="241">
        <f t="shared" si="23"/>
        <v>0</v>
      </c>
      <c r="BX34" s="241">
        <f t="shared" si="24"/>
        <v>0</v>
      </c>
      <c r="CA34" s="241">
        <f t="shared" si="25"/>
        <v>0</v>
      </c>
      <c r="CD34" s="241">
        <f t="shared" si="26"/>
        <v>0</v>
      </c>
      <c r="CG34" s="241">
        <f t="shared" si="27"/>
        <v>0</v>
      </c>
      <c r="CJ34" s="241">
        <f t="shared" si="28"/>
        <v>0</v>
      </c>
      <c r="CM34" s="241">
        <f t="shared" si="29"/>
        <v>0</v>
      </c>
      <c r="CP34" s="241">
        <f t="shared" si="30"/>
        <v>0</v>
      </c>
      <c r="CS34" s="241">
        <f t="shared" si="31"/>
        <v>0</v>
      </c>
      <c r="CV34" s="241">
        <f t="shared" si="32"/>
        <v>0</v>
      </c>
      <c r="CY34" s="241">
        <f t="shared" si="33"/>
        <v>0</v>
      </c>
      <c r="DB34" s="241">
        <f t="shared" si="34"/>
        <v>0</v>
      </c>
      <c r="DE34" s="241">
        <f t="shared" si="35"/>
        <v>0</v>
      </c>
      <c r="DH34" s="241">
        <f t="shared" si="36"/>
        <v>0</v>
      </c>
      <c r="DK34" s="241">
        <f t="shared" si="37"/>
        <v>0</v>
      </c>
      <c r="DN34" s="241">
        <f t="shared" si="38"/>
        <v>0</v>
      </c>
      <c r="DQ34" s="241">
        <f t="shared" si="39"/>
        <v>0</v>
      </c>
      <c r="DT34" s="241">
        <f t="shared" si="40"/>
        <v>0</v>
      </c>
      <c r="DW34" s="241">
        <f t="shared" si="41"/>
        <v>0</v>
      </c>
      <c r="DZ34" s="241"/>
      <c r="EA34" s="241"/>
      <c r="EB34" s="261">
        <f t="shared" si="42"/>
        <v>297000000</v>
      </c>
      <c r="EC34" s="261">
        <f t="shared" si="43"/>
        <v>0</v>
      </c>
      <c r="ED34" s="241">
        <f t="shared" si="44"/>
        <v>46012.222222222219</v>
      </c>
      <c r="EE34" s="242">
        <f t="shared" si="45"/>
        <v>5.5772390572390571E-2</v>
      </c>
      <c r="EG34" s="261">
        <f t="shared" si="46"/>
        <v>0</v>
      </c>
      <c r="EH34" s="241">
        <f t="shared" si="47"/>
        <v>0</v>
      </c>
      <c r="EI34" s="242">
        <f t="shared" si="48"/>
        <v>0</v>
      </c>
      <c r="EJ34" s="242"/>
      <c r="EK34" s="261">
        <f t="shared" si="49"/>
        <v>297000000</v>
      </c>
      <c r="EL34" s="261">
        <f t="shared" si="50"/>
        <v>0</v>
      </c>
      <c r="EM34" s="261">
        <f t="shared" si="51"/>
        <v>46012.222222222219</v>
      </c>
      <c r="EN34" s="242">
        <f t="shared" si="52"/>
        <v>5.5772390572390571E-2</v>
      </c>
      <c r="EP34" s="241"/>
    </row>
    <row r="35" spans="1:146" x14ac:dyDescent="0.25">
      <c r="A35" s="255">
        <f t="shared" si="53"/>
        <v>45529</v>
      </c>
      <c r="B35" s="241">
        <v>0</v>
      </c>
      <c r="C35" s="242">
        <v>5.2813660000000005E-2</v>
      </c>
      <c r="D35" s="241">
        <f t="shared" si="2"/>
        <v>0</v>
      </c>
      <c r="G35" s="241">
        <f t="shared" si="3"/>
        <v>0</v>
      </c>
      <c r="J35" s="241">
        <f t="shared" si="4"/>
        <v>0</v>
      </c>
      <c r="M35" s="241">
        <f t="shared" si="5"/>
        <v>0</v>
      </c>
      <c r="P35" s="241">
        <f t="shared" si="6"/>
        <v>0</v>
      </c>
      <c r="S35" s="241">
        <f t="shared" si="7"/>
        <v>0</v>
      </c>
      <c r="V35" s="241">
        <f t="shared" si="8"/>
        <v>0</v>
      </c>
      <c r="Y35" s="241">
        <f t="shared" si="9"/>
        <v>0</v>
      </c>
      <c r="AB35" s="241">
        <f t="shared" si="10"/>
        <v>0</v>
      </c>
      <c r="AE35" s="241">
        <v>0</v>
      </c>
      <c r="AH35" s="241">
        <v>0</v>
      </c>
      <c r="AI35" s="256">
        <f>52000000</f>
        <v>52000000</v>
      </c>
      <c r="AJ35" s="257">
        <v>5.4699999999999999E-2</v>
      </c>
      <c r="AK35" s="241">
        <f t="shared" si="11"/>
        <v>7901.1111111111113</v>
      </c>
      <c r="AL35" s="256">
        <f>75000000+60000000+70000000</f>
        <v>205000000</v>
      </c>
      <c r="AM35" s="257">
        <v>5.6000000000000001E-2</v>
      </c>
      <c r="AN35" s="241">
        <f t="shared" si="12"/>
        <v>31888.888888888891</v>
      </c>
      <c r="AO35" s="256">
        <f t="shared" si="1"/>
        <v>40000000</v>
      </c>
      <c r="AP35" s="257">
        <v>5.6000000000000001E-2</v>
      </c>
      <c r="AQ35" s="241">
        <f t="shared" si="13"/>
        <v>6222.2222222222226</v>
      </c>
      <c r="AR35" s="256"/>
      <c r="AS35" s="257"/>
      <c r="AT35" s="241">
        <f t="shared" si="14"/>
        <v>0</v>
      </c>
      <c r="AW35" s="241">
        <f t="shared" si="15"/>
        <v>0</v>
      </c>
      <c r="AZ35" s="241">
        <f t="shared" si="16"/>
        <v>0</v>
      </c>
      <c r="BC35" s="241">
        <f t="shared" si="17"/>
        <v>0</v>
      </c>
      <c r="BF35" s="241">
        <f t="shared" si="18"/>
        <v>0</v>
      </c>
      <c r="BI35" s="241">
        <f t="shared" si="19"/>
        <v>0</v>
      </c>
      <c r="BL35" s="241">
        <f t="shared" si="20"/>
        <v>0</v>
      </c>
      <c r="BO35" s="241">
        <f t="shared" si="21"/>
        <v>0</v>
      </c>
      <c r="BR35" s="241">
        <f t="shared" si="22"/>
        <v>0</v>
      </c>
      <c r="BU35" s="241">
        <f t="shared" si="23"/>
        <v>0</v>
      </c>
      <c r="BX35" s="241">
        <f t="shared" si="24"/>
        <v>0</v>
      </c>
      <c r="CA35" s="241">
        <f t="shared" si="25"/>
        <v>0</v>
      </c>
      <c r="CD35" s="241">
        <f t="shared" si="26"/>
        <v>0</v>
      </c>
      <c r="CG35" s="241">
        <f t="shared" si="27"/>
        <v>0</v>
      </c>
      <c r="CJ35" s="241">
        <f t="shared" si="28"/>
        <v>0</v>
      </c>
      <c r="CM35" s="241">
        <f t="shared" si="29"/>
        <v>0</v>
      </c>
      <c r="CP35" s="241">
        <f t="shared" si="30"/>
        <v>0</v>
      </c>
      <c r="CS35" s="241">
        <f t="shared" si="31"/>
        <v>0</v>
      </c>
      <c r="CV35" s="241">
        <f t="shared" si="32"/>
        <v>0</v>
      </c>
      <c r="CY35" s="241">
        <f t="shared" si="33"/>
        <v>0</v>
      </c>
      <c r="DB35" s="241">
        <f t="shared" si="34"/>
        <v>0</v>
      </c>
      <c r="DE35" s="241">
        <f t="shared" si="35"/>
        <v>0</v>
      </c>
      <c r="DH35" s="241">
        <f t="shared" si="36"/>
        <v>0</v>
      </c>
      <c r="DK35" s="241">
        <f t="shared" si="37"/>
        <v>0</v>
      </c>
      <c r="DN35" s="241">
        <f t="shared" si="38"/>
        <v>0</v>
      </c>
      <c r="DQ35" s="241">
        <f t="shared" si="39"/>
        <v>0</v>
      </c>
      <c r="DT35" s="241">
        <f t="shared" si="40"/>
        <v>0</v>
      </c>
      <c r="DW35" s="241">
        <f t="shared" si="41"/>
        <v>0</v>
      </c>
      <c r="DZ35" s="241"/>
      <c r="EA35" s="241"/>
      <c r="EB35" s="261">
        <f t="shared" si="42"/>
        <v>297000000</v>
      </c>
      <c r="EC35" s="261">
        <f t="shared" si="43"/>
        <v>0</v>
      </c>
      <c r="ED35" s="241">
        <f t="shared" si="44"/>
        <v>46012.222222222219</v>
      </c>
      <c r="EE35" s="242">
        <f t="shared" si="45"/>
        <v>5.5772390572390571E-2</v>
      </c>
      <c r="EG35" s="261">
        <f t="shared" si="46"/>
        <v>0</v>
      </c>
      <c r="EH35" s="241">
        <f t="shared" si="47"/>
        <v>0</v>
      </c>
      <c r="EI35" s="242">
        <f t="shared" si="48"/>
        <v>0</v>
      </c>
      <c r="EJ35" s="242"/>
      <c r="EK35" s="261">
        <f t="shared" si="49"/>
        <v>297000000</v>
      </c>
      <c r="EL35" s="261">
        <f t="shared" si="50"/>
        <v>0</v>
      </c>
      <c r="EM35" s="261">
        <f t="shared" si="51"/>
        <v>46012.222222222219</v>
      </c>
      <c r="EN35" s="242">
        <f t="shared" si="52"/>
        <v>5.5772390572390571E-2</v>
      </c>
      <c r="EP35" s="241"/>
    </row>
    <row r="36" spans="1:146" x14ac:dyDescent="0.25">
      <c r="A36" s="255">
        <f t="shared" si="53"/>
        <v>45530</v>
      </c>
      <c r="B36" s="241">
        <v>0</v>
      </c>
      <c r="C36" s="242">
        <v>5.3769980000000002E-2</v>
      </c>
      <c r="D36" s="241">
        <f t="shared" si="2"/>
        <v>0</v>
      </c>
      <c r="G36" s="241">
        <f t="shared" si="3"/>
        <v>0</v>
      </c>
      <c r="J36" s="241">
        <f t="shared" si="4"/>
        <v>0</v>
      </c>
      <c r="M36" s="241">
        <f t="shared" si="5"/>
        <v>0</v>
      </c>
      <c r="P36" s="241">
        <f t="shared" si="6"/>
        <v>0</v>
      </c>
      <c r="S36" s="241">
        <f t="shared" si="7"/>
        <v>0</v>
      </c>
      <c r="V36" s="241">
        <f t="shared" si="8"/>
        <v>0</v>
      </c>
      <c r="Y36" s="241">
        <f t="shared" si="9"/>
        <v>0</v>
      </c>
      <c r="AB36" s="241">
        <f t="shared" si="10"/>
        <v>0</v>
      </c>
      <c r="AE36" s="241">
        <v>0</v>
      </c>
      <c r="AH36" s="241">
        <v>0</v>
      </c>
      <c r="AI36" s="256">
        <f>57550000</f>
        <v>57550000</v>
      </c>
      <c r="AJ36" s="257">
        <v>5.4699999999999999E-2</v>
      </c>
      <c r="AK36" s="241">
        <f t="shared" si="11"/>
        <v>8744.4027777777774</v>
      </c>
      <c r="AL36" s="256">
        <f>75000000</f>
        <v>75000000</v>
      </c>
      <c r="AM36" s="257">
        <v>5.6000000000000001E-2</v>
      </c>
      <c r="AN36" s="241">
        <f t="shared" si="12"/>
        <v>11666.666666666666</v>
      </c>
      <c r="AO36" s="256">
        <f t="shared" si="1"/>
        <v>40000000</v>
      </c>
      <c r="AP36" s="257">
        <v>5.6000000000000001E-2</v>
      </c>
      <c r="AQ36" s="241">
        <f t="shared" si="13"/>
        <v>6222.2222222222226</v>
      </c>
      <c r="AR36" s="256">
        <f t="shared" ref="AR36:AR41" si="55">65000000+60000000</f>
        <v>125000000</v>
      </c>
      <c r="AS36" s="257">
        <v>5.5E-2</v>
      </c>
      <c r="AT36" s="241">
        <f t="shared" si="14"/>
        <v>19097.222222222223</v>
      </c>
      <c r="AW36" s="241">
        <f t="shared" si="15"/>
        <v>0</v>
      </c>
      <c r="AZ36" s="241">
        <f t="shared" si="16"/>
        <v>0</v>
      </c>
      <c r="BC36" s="241">
        <f t="shared" si="17"/>
        <v>0</v>
      </c>
      <c r="BF36" s="241">
        <f t="shared" si="18"/>
        <v>0</v>
      </c>
      <c r="BI36" s="241">
        <f t="shared" si="19"/>
        <v>0</v>
      </c>
      <c r="BL36" s="241">
        <f t="shared" si="20"/>
        <v>0</v>
      </c>
      <c r="BO36" s="241">
        <f t="shared" si="21"/>
        <v>0</v>
      </c>
      <c r="BR36" s="241">
        <f t="shared" si="22"/>
        <v>0</v>
      </c>
      <c r="BU36" s="241">
        <f t="shared" si="23"/>
        <v>0</v>
      </c>
      <c r="BX36" s="241">
        <f t="shared" si="24"/>
        <v>0</v>
      </c>
      <c r="CA36" s="241">
        <f t="shared" si="25"/>
        <v>0</v>
      </c>
      <c r="CD36" s="241">
        <f t="shared" si="26"/>
        <v>0</v>
      </c>
      <c r="CG36" s="241">
        <f t="shared" si="27"/>
        <v>0</v>
      </c>
      <c r="CJ36" s="241">
        <f t="shared" si="28"/>
        <v>0</v>
      </c>
      <c r="CM36" s="241">
        <f t="shared" si="29"/>
        <v>0</v>
      </c>
      <c r="CP36" s="241">
        <f t="shared" si="30"/>
        <v>0</v>
      </c>
      <c r="CS36" s="241">
        <f t="shared" si="31"/>
        <v>0</v>
      </c>
      <c r="CV36" s="241">
        <f t="shared" si="32"/>
        <v>0</v>
      </c>
      <c r="CY36" s="241">
        <f t="shared" si="33"/>
        <v>0</v>
      </c>
      <c r="DB36" s="241">
        <f t="shared" si="34"/>
        <v>0</v>
      </c>
      <c r="DE36" s="241">
        <f t="shared" si="35"/>
        <v>0</v>
      </c>
      <c r="DH36" s="241">
        <f t="shared" si="36"/>
        <v>0</v>
      </c>
      <c r="DK36" s="241">
        <f t="shared" si="37"/>
        <v>0</v>
      </c>
      <c r="DN36" s="241">
        <f t="shared" si="38"/>
        <v>0</v>
      </c>
      <c r="DQ36" s="241">
        <f t="shared" si="39"/>
        <v>0</v>
      </c>
      <c r="DT36" s="241">
        <f t="shared" si="40"/>
        <v>0</v>
      </c>
      <c r="DW36" s="241">
        <f t="shared" si="41"/>
        <v>0</v>
      </c>
      <c r="DZ36" s="241"/>
      <c r="EA36" s="241"/>
      <c r="EB36" s="261">
        <f t="shared" si="42"/>
        <v>297550000</v>
      </c>
      <c r="EC36" s="261">
        <f t="shared" si="43"/>
        <v>0</v>
      </c>
      <c r="ED36" s="241">
        <f t="shared" si="44"/>
        <v>45730.513888888891</v>
      </c>
      <c r="EE36" s="242">
        <f t="shared" si="45"/>
        <v>5.5328465804066543E-2</v>
      </c>
      <c r="EG36" s="261">
        <f t="shared" si="46"/>
        <v>0</v>
      </c>
      <c r="EH36" s="241">
        <f t="shared" si="47"/>
        <v>0</v>
      </c>
      <c r="EI36" s="242">
        <f t="shared" si="48"/>
        <v>0</v>
      </c>
      <c r="EJ36" s="242"/>
      <c r="EK36" s="261">
        <f t="shared" si="49"/>
        <v>297550000</v>
      </c>
      <c r="EL36" s="261">
        <f t="shared" si="50"/>
        <v>0</v>
      </c>
      <c r="EM36" s="261">
        <f t="shared" si="51"/>
        <v>45730.513888888891</v>
      </c>
      <c r="EN36" s="242">
        <f t="shared" si="52"/>
        <v>5.5328465804066543E-2</v>
      </c>
      <c r="EP36" s="241"/>
    </row>
    <row r="37" spans="1:146" x14ac:dyDescent="0.25">
      <c r="A37" s="255">
        <f t="shared" si="53"/>
        <v>45531</v>
      </c>
      <c r="B37" s="241">
        <v>0</v>
      </c>
      <c r="C37" s="242">
        <v>5.292409E-2</v>
      </c>
      <c r="D37" s="241">
        <f t="shared" si="2"/>
        <v>0</v>
      </c>
      <c r="G37" s="241">
        <f t="shared" si="3"/>
        <v>0</v>
      </c>
      <c r="J37" s="241">
        <f t="shared" si="4"/>
        <v>0</v>
      </c>
      <c r="M37" s="241">
        <f t="shared" si="5"/>
        <v>0</v>
      </c>
      <c r="P37" s="241">
        <f t="shared" si="6"/>
        <v>0</v>
      </c>
      <c r="S37" s="241">
        <f t="shared" si="7"/>
        <v>0</v>
      </c>
      <c r="V37" s="241">
        <f t="shared" si="8"/>
        <v>0</v>
      </c>
      <c r="Y37" s="241">
        <f t="shared" si="9"/>
        <v>0</v>
      </c>
      <c r="AB37" s="241">
        <f t="shared" si="10"/>
        <v>0</v>
      </c>
      <c r="AE37" s="241">
        <v>0</v>
      </c>
      <c r="AH37" s="241">
        <v>0</v>
      </c>
      <c r="AI37" s="256">
        <f>38525000</f>
        <v>38525000</v>
      </c>
      <c r="AJ37" s="257">
        <v>5.4699999999999999E-2</v>
      </c>
      <c r="AK37" s="241">
        <f t="shared" si="11"/>
        <v>5853.6597222222226</v>
      </c>
      <c r="AL37" s="256">
        <f>75000000</f>
        <v>75000000</v>
      </c>
      <c r="AM37" s="257">
        <v>5.6000000000000001E-2</v>
      </c>
      <c r="AN37" s="241">
        <f t="shared" si="12"/>
        <v>11666.666666666666</v>
      </c>
      <c r="AO37" s="256">
        <f t="shared" si="1"/>
        <v>40000000</v>
      </c>
      <c r="AP37" s="257">
        <v>5.6000000000000001E-2</v>
      </c>
      <c r="AQ37" s="241">
        <f t="shared" si="13"/>
        <v>6222.2222222222226</v>
      </c>
      <c r="AR37" s="256">
        <f t="shared" si="55"/>
        <v>125000000</v>
      </c>
      <c r="AS37" s="257">
        <v>5.5E-2</v>
      </c>
      <c r="AT37" s="241">
        <f t="shared" si="14"/>
        <v>19097.222222222223</v>
      </c>
      <c r="AW37" s="241">
        <f t="shared" si="15"/>
        <v>0</v>
      </c>
      <c r="AZ37" s="241">
        <f t="shared" si="16"/>
        <v>0</v>
      </c>
      <c r="BC37" s="241">
        <f t="shared" si="17"/>
        <v>0</v>
      </c>
      <c r="BF37" s="241">
        <f t="shared" si="18"/>
        <v>0</v>
      </c>
      <c r="BI37" s="241">
        <f t="shared" si="19"/>
        <v>0</v>
      </c>
      <c r="BL37" s="241">
        <f t="shared" si="20"/>
        <v>0</v>
      </c>
      <c r="BO37" s="241">
        <f t="shared" si="21"/>
        <v>0</v>
      </c>
      <c r="BR37" s="241">
        <f t="shared" si="22"/>
        <v>0</v>
      </c>
      <c r="BU37" s="241">
        <f t="shared" si="23"/>
        <v>0</v>
      </c>
      <c r="BX37" s="241">
        <f t="shared" si="24"/>
        <v>0</v>
      </c>
      <c r="CA37" s="241">
        <f t="shared" si="25"/>
        <v>0</v>
      </c>
      <c r="CD37" s="241">
        <f t="shared" si="26"/>
        <v>0</v>
      </c>
      <c r="CG37" s="241">
        <f t="shared" si="27"/>
        <v>0</v>
      </c>
      <c r="CJ37" s="241">
        <f t="shared" si="28"/>
        <v>0</v>
      </c>
      <c r="CM37" s="241">
        <f t="shared" si="29"/>
        <v>0</v>
      </c>
      <c r="CP37" s="241">
        <f t="shared" si="30"/>
        <v>0</v>
      </c>
      <c r="CS37" s="241">
        <f t="shared" si="31"/>
        <v>0</v>
      </c>
      <c r="CV37" s="241">
        <f t="shared" si="32"/>
        <v>0</v>
      </c>
      <c r="CY37" s="241">
        <f t="shared" si="33"/>
        <v>0</v>
      </c>
      <c r="DB37" s="241">
        <f t="shared" si="34"/>
        <v>0</v>
      </c>
      <c r="DE37" s="241">
        <f t="shared" si="35"/>
        <v>0</v>
      </c>
      <c r="DH37" s="241">
        <f t="shared" si="36"/>
        <v>0</v>
      </c>
      <c r="DK37" s="241">
        <f t="shared" si="37"/>
        <v>0</v>
      </c>
      <c r="DN37" s="241">
        <f t="shared" si="38"/>
        <v>0</v>
      </c>
      <c r="DQ37" s="241">
        <f t="shared" si="39"/>
        <v>0</v>
      </c>
      <c r="DT37" s="241">
        <f t="shared" si="40"/>
        <v>0</v>
      </c>
      <c r="DW37" s="241">
        <f t="shared" si="41"/>
        <v>0</v>
      </c>
      <c r="DZ37" s="241"/>
      <c r="EA37" s="241"/>
      <c r="EB37" s="261">
        <f t="shared" si="42"/>
        <v>278525000</v>
      </c>
      <c r="EC37" s="261">
        <f t="shared" si="43"/>
        <v>0</v>
      </c>
      <c r="ED37" s="241">
        <f t="shared" si="44"/>
        <v>42839.770833333336</v>
      </c>
      <c r="EE37" s="242">
        <f t="shared" si="45"/>
        <v>5.5371393950273767E-2</v>
      </c>
      <c r="EG37" s="261">
        <f t="shared" si="46"/>
        <v>0</v>
      </c>
      <c r="EH37" s="241">
        <f t="shared" si="47"/>
        <v>0</v>
      </c>
      <c r="EI37" s="242">
        <f t="shared" si="48"/>
        <v>0</v>
      </c>
      <c r="EJ37" s="242"/>
      <c r="EK37" s="261">
        <f t="shared" si="49"/>
        <v>278525000</v>
      </c>
      <c r="EL37" s="261">
        <f t="shared" si="50"/>
        <v>0</v>
      </c>
      <c r="EM37" s="261">
        <f t="shared" si="51"/>
        <v>42839.770833333328</v>
      </c>
      <c r="EN37" s="242">
        <f t="shared" si="52"/>
        <v>5.537139395027376E-2</v>
      </c>
      <c r="EP37" s="241"/>
    </row>
    <row r="38" spans="1:146" x14ac:dyDescent="0.25">
      <c r="A38" s="255">
        <f t="shared" si="53"/>
        <v>45532</v>
      </c>
      <c r="B38" s="241">
        <v>0</v>
      </c>
      <c r="C38" s="242">
        <v>5.280924E-2</v>
      </c>
      <c r="D38" s="241">
        <f t="shared" si="2"/>
        <v>0</v>
      </c>
      <c r="G38" s="241">
        <f t="shared" si="3"/>
        <v>0</v>
      </c>
      <c r="J38" s="241">
        <f t="shared" si="4"/>
        <v>0</v>
      </c>
      <c r="M38" s="241">
        <f t="shared" si="5"/>
        <v>0</v>
      </c>
      <c r="P38" s="241">
        <f t="shared" si="6"/>
        <v>0</v>
      </c>
      <c r="S38" s="241">
        <f t="shared" si="7"/>
        <v>0</v>
      </c>
      <c r="V38" s="241">
        <f t="shared" si="8"/>
        <v>0</v>
      </c>
      <c r="Y38" s="241">
        <f t="shared" si="9"/>
        <v>0</v>
      </c>
      <c r="AB38" s="241">
        <f t="shared" si="10"/>
        <v>0</v>
      </c>
      <c r="AE38" s="241">
        <v>0</v>
      </c>
      <c r="AH38" s="241">
        <v>0</v>
      </c>
      <c r="AI38" s="256">
        <f>121075000</f>
        <v>121075000</v>
      </c>
      <c r="AJ38" s="257">
        <v>5.4699999999999999E-2</v>
      </c>
      <c r="AK38" s="241">
        <f t="shared" si="11"/>
        <v>18396.673611111109</v>
      </c>
      <c r="AL38" s="256"/>
      <c r="AM38" s="257"/>
      <c r="AN38" s="241">
        <f t="shared" si="12"/>
        <v>0</v>
      </c>
      <c r="AO38" s="256">
        <f t="shared" si="1"/>
        <v>40000000</v>
      </c>
      <c r="AP38" s="257">
        <v>5.6000000000000001E-2</v>
      </c>
      <c r="AQ38" s="241">
        <f t="shared" si="13"/>
        <v>6222.2222222222226</v>
      </c>
      <c r="AR38" s="256">
        <f t="shared" si="55"/>
        <v>125000000</v>
      </c>
      <c r="AS38" s="257">
        <v>5.5E-2</v>
      </c>
      <c r="AT38" s="241">
        <f t="shared" si="14"/>
        <v>19097.222222222223</v>
      </c>
      <c r="AW38" s="241">
        <f t="shared" si="15"/>
        <v>0</v>
      </c>
      <c r="AZ38" s="241">
        <f t="shared" si="16"/>
        <v>0</v>
      </c>
      <c r="BC38" s="241">
        <f t="shared" si="17"/>
        <v>0</v>
      </c>
      <c r="BF38" s="241">
        <f t="shared" si="18"/>
        <v>0</v>
      </c>
      <c r="BI38" s="241">
        <f t="shared" si="19"/>
        <v>0</v>
      </c>
      <c r="BL38" s="241">
        <f t="shared" si="20"/>
        <v>0</v>
      </c>
      <c r="BO38" s="241">
        <f t="shared" si="21"/>
        <v>0</v>
      </c>
      <c r="BR38" s="241">
        <f t="shared" si="22"/>
        <v>0</v>
      </c>
      <c r="BU38" s="241">
        <f t="shared" si="23"/>
        <v>0</v>
      </c>
      <c r="BX38" s="241">
        <f t="shared" si="24"/>
        <v>0</v>
      </c>
      <c r="CA38" s="241">
        <f t="shared" si="25"/>
        <v>0</v>
      </c>
      <c r="CD38" s="241">
        <f t="shared" si="26"/>
        <v>0</v>
      </c>
      <c r="CG38" s="241">
        <f t="shared" si="27"/>
        <v>0</v>
      </c>
      <c r="CJ38" s="241">
        <f t="shared" si="28"/>
        <v>0</v>
      </c>
      <c r="CM38" s="241">
        <f t="shared" si="29"/>
        <v>0</v>
      </c>
      <c r="CP38" s="241">
        <f t="shared" si="30"/>
        <v>0</v>
      </c>
      <c r="CS38" s="241">
        <f t="shared" si="31"/>
        <v>0</v>
      </c>
      <c r="CV38" s="241">
        <f t="shared" si="32"/>
        <v>0</v>
      </c>
      <c r="CY38" s="241">
        <f t="shared" si="33"/>
        <v>0</v>
      </c>
      <c r="DB38" s="241">
        <f t="shared" si="34"/>
        <v>0</v>
      </c>
      <c r="DE38" s="241">
        <f t="shared" si="35"/>
        <v>0</v>
      </c>
      <c r="DH38" s="241">
        <f t="shared" si="36"/>
        <v>0</v>
      </c>
      <c r="DK38" s="241">
        <f t="shared" si="37"/>
        <v>0</v>
      </c>
      <c r="DN38" s="241">
        <f t="shared" si="38"/>
        <v>0</v>
      </c>
      <c r="DQ38" s="241">
        <f t="shared" si="39"/>
        <v>0</v>
      </c>
      <c r="DT38" s="241">
        <f t="shared" si="40"/>
        <v>0</v>
      </c>
      <c r="DW38" s="241">
        <f t="shared" si="41"/>
        <v>0</v>
      </c>
      <c r="DZ38" s="241"/>
      <c r="EA38" s="241"/>
      <c r="EB38" s="261">
        <f t="shared" si="42"/>
        <v>286075000</v>
      </c>
      <c r="EC38" s="261">
        <f t="shared" si="43"/>
        <v>0</v>
      </c>
      <c r="ED38" s="241">
        <f t="shared" si="44"/>
        <v>43716.118055555555</v>
      </c>
      <c r="EE38" s="242">
        <f t="shared" si="45"/>
        <v>5.5012855020536572E-2</v>
      </c>
      <c r="EG38" s="261">
        <f t="shared" si="46"/>
        <v>0</v>
      </c>
      <c r="EH38" s="241">
        <f t="shared" si="47"/>
        <v>0</v>
      </c>
      <c r="EI38" s="242">
        <f t="shared" si="48"/>
        <v>0</v>
      </c>
      <c r="EJ38" s="242"/>
      <c r="EK38" s="261">
        <f t="shared" si="49"/>
        <v>286075000</v>
      </c>
      <c r="EL38" s="261">
        <f t="shared" si="50"/>
        <v>0</v>
      </c>
      <c r="EM38" s="261">
        <f t="shared" si="51"/>
        <v>43716.118055555555</v>
      </c>
      <c r="EN38" s="242">
        <f t="shared" si="52"/>
        <v>5.5012855020536572E-2</v>
      </c>
      <c r="EP38" s="241"/>
    </row>
    <row r="39" spans="1:146" x14ac:dyDescent="0.25">
      <c r="A39" s="255">
        <f t="shared" si="53"/>
        <v>45533</v>
      </c>
      <c r="B39" s="241">
        <v>0</v>
      </c>
      <c r="C39" s="242">
        <v>5.3669309999999998E-2</v>
      </c>
      <c r="D39" s="241">
        <f t="shared" si="2"/>
        <v>0</v>
      </c>
      <c r="G39" s="241">
        <f t="shared" si="3"/>
        <v>0</v>
      </c>
      <c r="J39" s="241">
        <f t="shared" si="4"/>
        <v>0</v>
      </c>
      <c r="M39" s="241">
        <f t="shared" si="5"/>
        <v>0</v>
      </c>
      <c r="P39" s="241">
        <f t="shared" si="6"/>
        <v>0</v>
      </c>
      <c r="S39" s="241">
        <f t="shared" si="7"/>
        <v>0</v>
      </c>
      <c r="V39" s="241">
        <f t="shared" si="8"/>
        <v>0</v>
      </c>
      <c r="Y39" s="241">
        <f t="shared" si="9"/>
        <v>0</v>
      </c>
      <c r="AB39" s="241">
        <f t="shared" si="10"/>
        <v>0</v>
      </c>
      <c r="AE39" s="241">
        <v>0</v>
      </c>
      <c r="AH39" s="241">
        <v>0</v>
      </c>
      <c r="AI39" s="256">
        <f>76050000</f>
        <v>76050000</v>
      </c>
      <c r="AJ39" s="257">
        <v>5.4699999999999999E-2</v>
      </c>
      <c r="AK39" s="241">
        <f t="shared" si="11"/>
        <v>11555.375</v>
      </c>
      <c r="AL39" s="256"/>
      <c r="AM39" s="257"/>
      <c r="AN39" s="241">
        <f t="shared" si="12"/>
        <v>0</v>
      </c>
      <c r="AO39" s="256">
        <f>40000000</f>
        <v>40000000</v>
      </c>
      <c r="AP39" s="257">
        <v>5.6000000000000001E-2</v>
      </c>
      <c r="AQ39" s="241">
        <f t="shared" si="13"/>
        <v>6222.2222222222226</v>
      </c>
      <c r="AR39" s="256">
        <f t="shared" si="55"/>
        <v>125000000</v>
      </c>
      <c r="AS39" s="257">
        <v>5.5E-2</v>
      </c>
      <c r="AT39" s="241">
        <f t="shared" si="14"/>
        <v>19097.222222222223</v>
      </c>
      <c r="AU39" s="241">
        <f>50000000</f>
        <v>50000000</v>
      </c>
      <c r="AV39" s="242">
        <v>5.45E-2</v>
      </c>
      <c r="AW39" s="241">
        <f t="shared" si="15"/>
        <v>7569.4444444444443</v>
      </c>
      <c r="AZ39" s="241">
        <f t="shared" si="16"/>
        <v>0</v>
      </c>
      <c r="BC39" s="241">
        <f t="shared" si="17"/>
        <v>0</v>
      </c>
      <c r="BF39" s="241">
        <f t="shared" si="18"/>
        <v>0</v>
      </c>
      <c r="BI39" s="241">
        <f t="shared" si="19"/>
        <v>0</v>
      </c>
      <c r="BL39" s="241">
        <f t="shared" si="20"/>
        <v>0</v>
      </c>
      <c r="BO39" s="241">
        <f t="shared" si="21"/>
        <v>0</v>
      </c>
      <c r="BR39" s="241">
        <f t="shared" si="22"/>
        <v>0</v>
      </c>
      <c r="BU39" s="241">
        <f t="shared" si="23"/>
        <v>0</v>
      </c>
      <c r="BX39" s="241">
        <f t="shared" si="24"/>
        <v>0</v>
      </c>
      <c r="CA39" s="241">
        <f t="shared" si="25"/>
        <v>0</v>
      </c>
      <c r="CD39" s="241">
        <f t="shared" si="26"/>
        <v>0</v>
      </c>
      <c r="CG39" s="241">
        <f t="shared" si="27"/>
        <v>0</v>
      </c>
      <c r="CJ39" s="241">
        <f t="shared" si="28"/>
        <v>0</v>
      </c>
      <c r="CM39" s="241">
        <f t="shared" si="29"/>
        <v>0</v>
      </c>
      <c r="CP39" s="241">
        <f t="shared" si="30"/>
        <v>0</v>
      </c>
      <c r="CS39" s="241">
        <f t="shared" si="31"/>
        <v>0</v>
      </c>
      <c r="CV39" s="241">
        <f t="shared" si="32"/>
        <v>0</v>
      </c>
      <c r="CY39" s="241">
        <f t="shared" si="33"/>
        <v>0</v>
      </c>
      <c r="DB39" s="241">
        <f t="shared" si="34"/>
        <v>0</v>
      </c>
      <c r="DE39" s="241">
        <f t="shared" si="35"/>
        <v>0</v>
      </c>
      <c r="DH39" s="241">
        <f t="shared" si="36"/>
        <v>0</v>
      </c>
      <c r="DK39" s="241">
        <f t="shared" si="37"/>
        <v>0</v>
      </c>
      <c r="DN39" s="241">
        <f t="shared" si="38"/>
        <v>0</v>
      </c>
      <c r="DQ39" s="241">
        <f t="shared" si="39"/>
        <v>0</v>
      </c>
      <c r="DT39" s="241">
        <f t="shared" si="40"/>
        <v>0</v>
      </c>
      <c r="DW39" s="241">
        <f t="shared" si="41"/>
        <v>0</v>
      </c>
      <c r="DZ39" s="241"/>
      <c r="EA39" s="241"/>
      <c r="EB39" s="261">
        <f t="shared" si="42"/>
        <v>291050000</v>
      </c>
      <c r="EC39" s="261">
        <f t="shared" si="43"/>
        <v>0</v>
      </c>
      <c r="ED39" s="241">
        <f t="shared" si="44"/>
        <v>44444.263888888891</v>
      </c>
      <c r="EE39" s="242">
        <f t="shared" si="45"/>
        <v>5.4973148943480502E-2</v>
      </c>
      <c r="EG39" s="261">
        <f t="shared" si="46"/>
        <v>0</v>
      </c>
      <c r="EH39" s="241">
        <f t="shared" si="47"/>
        <v>0</v>
      </c>
      <c r="EI39" s="242">
        <f t="shared" si="48"/>
        <v>0</v>
      </c>
      <c r="EJ39" s="242"/>
      <c r="EK39" s="261">
        <f t="shared" si="49"/>
        <v>291050000</v>
      </c>
      <c r="EL39" s="261">
        <f t="shared" si="50"/>
        <v>0</v>
      </c>
      <c r="EM39" s="261">
        <f t="shared" si="51"/>
        <v>44444.263888888891</v>
      </c>
      <c r="EN39" s="242">
        <f t="shared" si="52"/>
        <v>5.4973148943480502E-2</v>
      </c>
      <c r="EP39" s="241"/>
    </row>
    <row r="40" spans="1:146" x14ac:dyDescent="0.25">
      <c r="A40" s="255">
        <f t="shared" si="53"/>
        <v>45534</v>
      </c>
      <c r="B40" s="241">
        <v>47200000</v>
      </c>
      <c r="C40" s="242">
        <v>5.2600000000000001E-2</v>
      </c>
      <c r="D40" s="241">
        <f t="shared" si="2"/>
        <v>6896.4444444444443</v>
      </c>
      <c r="G40" s="241">
        <f t="shared" si="3"/>
        <v>0</v>
      </c>
      <c r="J40" s="241">
        <f t="shared" si="4"/>
        <v>0</v>
      </c>
      <c r="M40" s="241">
        <f t="shared" si="5"/>
        <v>0</v>
      </c>
      <c r="P40" s="241">
        <f t="shared" si="6"/>
        <v>0</v>
      </c>
      <c r="S40" s="241">
        <f t="shared" si="7"/>
        <v>0</v>
      </c>
      <c r="V40" s="241">
        <f t="shared" si="8"/>
        <v>0</v>
      </c>
      <c r="Y40" s="241">
        <f t="shared" si="9"/>
        <v>0</v>
      </c>
      <c r="AB40" s="241">
        <f t="shared" si="10"/>
        <v>0</v>
      </c>
      <c r="AE40" s="241">
        <v>0</v>
      </c>
      <c r="AH40" s="241">
        <v>0</v>
      </c>
      <c r="AI40" s="256">
        <f>54725000</f>
        <v>54725000</v>
      </c>
      <c r="AJ40" s="257">
        <v>5.4699999999999999E-2</v>
      </c>
      <c r="AK40" s="241">
        <f t="shared" si="11"/>
        <v>8315.1597222222226</v>
      </c>
      <c r="AL40" s="256"/>
      <c r="AM40" s="257"/>
      <c r="AN40" s="241">
        <f t="shared" si="12"/>
        <v>0</v>
      </c>
      <c r="AO40" s="256">
        <f>40000000</f>
        <v>40000000</v>
      </c>
      <c r="AP40" s="257">
        <v>5.6000000000000001E-2</v>
      </c>
      <c r="AQ40" s="241">
        <f t="shared" si="13"/>
        <v>6222.2222222222226</v>
      </c>
      <c r="AR40" s="256">
        <f t="shared" si="55"/>
        <v>125000000</v>
      </c>
      <c r="AS40" s="257">
        <v>5.5E-2</v>
      </c>
      <c r="AT40" s="241">
        <f t="shared" si="14"/>
        <v>19097.222222222223</v>
      </c>
      <c r="AU40" s="241">
        <f>50000000</f>
        <v>50000000</v>
      </c>
      <c r="AV40" s="242">
        <v>5.45E-2</v>
      </c>
      <c r="AW40" s="241">
        <f t="shared" si="15"/>
        <v>7569.4444444444443</v>
      </c>
      <c r="AZ40" s="241">
        <f t="shared" si="16"/>
        <v>0</v>
      </c>
      <c r="BC40" s="241">
        <f t="shared" si="17"/>
        <v>0</v>
      </c>
      <c r="BF40" s="241">
        <f t="shared" si="18"/>
        <v>0</v>
      </c>
      <c r="BI40" s="241">
        <f t="shared" si="19"/>
        <v>0</v>
      </c>
      <c r="BL40" s="241">
        <f t="shared" si="20"/>
        <v>0</v>
      </c>
      <c r="BO40" s="241">
        <f t="shared" si="21"/>
        <v>0</v>
      </c>
      <c r="BR40" s="241">
        <f t="shared" si="22"/>
        <v>0</v>
      </c>
      <c r="BU40" s="241">
        <f t="shared" si="23"/>
        <v>0</v>
      </c>
      <c r="BX40" s="241">
        <f t="shared" si="24"/>
        <v>0</v>
      </c>
      <c r="CA40" s="241">
        <f t="shared" si="25"/>
        <v>0</v>
      </c>
      <c r="CD40" s="241">
        <f t="shared" si="26"/>
        <v>0</v>
      </c>
      <c r="CG40" s="241">
        <f t="shared" si="27"/>
        <v>0</v>
      </c>
      <c r="CJ40" s="241">
        <f t="shared" si="28"/>
        <v>0</v>
      </c>
      <c r="CM40" s="241">
        <f t="shared" si="29"/>
        <v>0</v>
      </c>
      <c r="CP40" s="241">
        <f t="shared" si="30"/>
        <v>0</v>
      </c>
      <c r="CS40" s="241">
        <f t="shared" si="31"/>
        <v>0</v>
      </c>
      <c r="CV40" s="241">
        <f t="shared" si="32"/>
        <v>0</v>
      </c>
      <c r="CY40" s="241">
        <f t="shared" si="33"/>
        <v>0</v>
      </c>
      <c r="DB40" s="241">
        <f t="shared" si="34"/>
        <v>0</v>
      </c>
      <c r="DE40" s="241">
        <f t="shared" si="35"/>
        <v>0</v>
      </c>
      <c r="DH40" s="241">
        <f t="shared" si="36"/>
        <v>0</v>
      </c>
      <c r="DK40" s="241">
        <f t="shared" si="37"/>
        <v>0</v>
      </c>
      <c r="DN40" s="241">
        <f t="shared" si="38"/>
        <v>0</v>
      </c>
      <c r="DQ40" s="241">
        <f t="shared" si="39"/>
        <v>0</v>
      </c>
      <c r="DT40" s="241">
        <f t="shared" si="40"/>
        <v>0</v>
      </c>
      <c r="DW40" s="241">
        <f t="shared" si="41"/>
        <v>0</v>
      </c>
      <c r="DZ40" s="241"/>
      <c r="EA40" s="241"/>
      <c r="EB40" s="261">
        <f t="shared" si="42"/>
        <v>316925000</v>
      </c>
      <c r="EC40" s="261">
        <f t="shared" si="43"/>
        <v>47200000</v>
      </c>
      <c r="ED40" s="241">
        <f t="shared" si="44"/>
        <v>48100.493055555555</v>
      </c>
      <c r="EE40" s="242">
        <f t="shared" si="45"/>
        <v>5.4638092608661357E-2</v>
      </c>
      <c r="EG40" s="261">
        <f t="shared" si="46"/>
        <v>0</v>
      </c>
      <c r="EH40" s="241">
        <f t="shared" si="47"/>
        <v>0</v>
      </c>
      <c r="EI40" s="242">
        <f t="shared" si="48"/>
        <v>0</v>
      </c>
      <c r="EJ40" s="242"/>
      <c r="EK40" s="261">
        <f t="shared" si="49"/>
        <v>269725000</v>
      </c>
      <c r="EL40" s="261">
        <f t="shared" si="50"/>
        <v>0</v>
      </c>
      <c r="EM40" s="261">
        <f t="shared" si="51"/>
        <v>41204.048611111109</v>
      </c>
      <c r="EN40" s="242">
        <f t="shared" si="52"/>
        <v>5.4994744647325976E-2</v>
      </c>
      <c r="EP40" s="241"/>
    </row>
    <row r="41" spans="1:146" x14ac:dyDescent="0.25">
      <c r="A41" s="255">
        <f t="shared" si="53"/>
        <v>45535</v>
      </c>
      <c r="B41" s="241">
        <v>47200000</v>
      </c>
      <c r="C41" s="242">
        <v>5.2600000000000001E-2</v>
      </c>
      <c r="D41" s="241">
        <f t="shared" si="2"/>
        <v>6896.4444444444443</v>
      </c>
      <c r="G41" s="241">
        <f t="shared" si="3"/>
        <v>0</v>
      </c>
      <c r="J41" s="241">
        <f t="shared" si="4"/>
        <v>0</v>
      </c>
      <c r="M41" s="241">
        <f t="shared" si="5"/>
        <v>0</v>
      </c>
      <c r="P41" s="241">
        <f t="shared" si="6"/>
        <v>0</v>
      </c>
      <c r="S41" s="241">
        <f t="shared" si="7"/>
        <v>0</v>
      </c>
      <c r="V41" s="241">
        <f t="shared" si="8"/>
        <v>0</v>
      </c>
      <c r="Y41" s="241">
        <f t="shared" si="9"/>
        <v>0</v>
      </c>
      <c r="AB41" s="241">
        <f t="shared" si="10"/>
        <v>0</v>
      </c>
      <c r="AE41" s="241">
        <v>0</v>
      </c>
      <c r="AH41" s="241">
        <v>0</v>
      </c>
      <c r="AI41" s="256">
        <f>54725000</f>
        <v>54725000</v>
      </c>
      <c r="AJ41" s="257">
        <v>5.4699999999999999E-2</v>
      </c>
      <c r="AK41" s="241">
        <f t="shared" si="11"/>
        <v>8315.1597222222226</v>
      </c>
      <c r="AL41" s="256"/>
      <c r="AM41" s="257"/>
      <c r="AN41" s="241">
        <f t="shared" si="12"/>
        <v>0</v>
      </c>
      <c r="AO41" s="256">
        <f>40000000</f>
        <v>40000000</v>
      </c>
      <c r="AP41" s="257">
        <v>5.6000000000000001E-2</v>
      </c>
      <c r="AQ41" s="241">
        <f t="shared" si="13"/>
        <v>6222.2222222222226</v>
      </c>
      <c r="AR41" s="256">
        <f t="shared" si="55"/>
        <v>125000000</v>
      </c>
      <c r="AS41" s="257">
        <v>5.5E-2</v>
      </c>
      <c r="AT41" s="241">
        <f t="shared" si="14"/>
        <v>19097.222222222223</v>
      </c>
      <c r="AU41" s="241">
        <f>50000000</f>
        <v>50000000</v>
      </c>
      <c r="AV41" s="242">
        <v>5.45E-2</v>
      </c>
      <c r="AW41" s="241">
        <f t="shared" si="15"/>
        <v>7569.4444444444443</v>
      </c>
      <c r="AZ41" s="241">
        <f t="shared" si="16"/>
        <v>0</v>
      </c>
      <c r="BC41" s="241">
        <f t="shared" si="17"/>
        <v>0</v>
      </c>
      <c r="BF41" s="241">
        <f t="shared" si="18"/>
        <v>0</v>
      </c>
      <c r="BI41" s="241">
        <f t="shared" si="19"/>
        <v>0</v>
      </c>
      <c r="BL41" s="241">
        <f t="shared" si="20"/>
        <v>0</v>
      </c>
      <c r="BO41" s="241">
        <f t="shared" si="21"/>
        <v>0</v>
      </c>
      <c r="BR41" s="241">
        <f t="shared" si="22"/>
        <v>0</v>
      </c>
      <c r="BU41" s="241">
        <f t="shared" si="23"/>
        <v>0</v>
      </c>
      <c r="BX41" s="241">
        <f t="shared" si="24"/>
        <v>0</v>
      </c>
      <c r="CA41" s="241">
        <f t="shared" si="25"/>
        <v>0</v>
      </c>
      <c r="CD41" s="241">
        <f t="shared" si="26"/>
        <v>0</v>
      </c>
      <c r="CG41" s="241">
        <f t="shared" si="27"/>
        <v>0</v>
      </c>
      <c r="CJ41" s="241">
        <f t="shared" si="28"/>
        <v>0</v>
      </c>
      <c r="CM41" s="241">
        <f t="shared" si="29"/>
        <v>0</v>
      </c>
      <c r="CP41" s="241">
        <f t="shared" si="30"/>
        <v>0</v>
      </c>
      <c r="CS41" s="241">
        <f t="shared" si="31"/>
        <v>0</v>
      </c>
      <c r="CV41" s="241">
        <f t="shared" si="32"/>
        <v>0</v>
      </c>
      <c r="CY41" s="241">
        <f t="shared" si="33"/>
        <v>0</v>
      </c>
      <c r="DB41" s="241">
        <f t="shared" si="34"/>
        <v>0</v>
      </c>
      <c r="DE41" s="241">
        <f t="shared" si="35"/>
        <v>0</v>
      </c>
      <c r="DH41" s="241">
        <f t="shared" si="36"/>
        <v>0</v>
      </c>
      <c r="DK41" s="241">
        <f t="shared" si="37"/>
        <v>0</v>
      </c>
      <c r="DN41" s="241">
        <f t="shared" si="38"/>
        <v>0</v>
      </c>
      <c r="DQ41" s="241">
        <f t="shared" si="39"/>
        <v>0</v>
      </c>
      <c r="DT41" s="241">
        <f t="shared" si="40"/>
        <v>0</v>
      </c>
      <c r="DW41" s="241">
        <f t="shared" si="41"/>
        <v>0</v>
      </c>
      <c r="DZ41" s="241"/>
      <c r="EA41" s="241"/>
      <c r="EB41" s="261">
        <f t="shared" si="42"/>
        <v>316925000</v>
      </c>
      <c r="EC41" s="261">
        <f t="shared" si="43"/>
        <v>47200000</v>
      </c>
      <c r="ED41" s="241">
        <f t="shared" si="44"/>
        <v>48100.493055555555</v>
      </c>
      <c r="EE41" s="242">
        <f t="shared" si="45"/>
        <v>5.4638092608661357E-2</v>
      </c>
      <c r="EG41" s="261">
        <f t="shared" si="46"/>
        <v>0</v>
      </c>
      <c r="EH41" s="241">
        <f t="shared" si="47"/>
        <v>0</v>
      </c>
      <c r="EI41" s="242">
        <f t="shared" si="48"/>
        <v>0</v>
      </c>
      <c r="EJ41" s="242"/>
      <c r="EK41" s="261">
        <f t="shared" si="49"/>
        <v>269725000</v>
      </c>
      <c r="EL41" s="261">
        <f t="shared" si="50"/>
        <v>0</v>
      </c>
      <c r="EM41" s="261">
        <f t="shared" si="51"/>
        <v>41204.048611111109</v>
      </c>
      <c r="EN41" s="242">
        <f t="shared" si="52"/>
        <v>5.4994744647325976E-2</v>
      </c>
      <c r="EP41" s="241"/>
    </row>
    <row r="42" spans="1:146" x14ac:dyDescent="0.25">
      <c r="A42" s="276" t="s">
        <v>35</v>
      </c>
      <c r="D42" s="258">
        <f>SUM(D11:D41)</f>
        <v>38991.005833333329</v>
      </c>
      <c r="G42" s="258">
        <f>SUM(G11:G41)</f>
        <v>0</v>
      </c>
      <c r="J42" s="258">
        <f>SUM(J11:J41)</f>
        <v>0</v>
      </c>
      <c r="M42" s="258">
        <f>SUM(M11:M41)</f>
        <v>0</v>
      </c>
      <c r="P42" s="258">
        <f>SUM(P11:P41)</f>
        <v>0</v>
      </c>
      <c r="S42" s="258">
        <f>SUM(S11:S41)</f>
        <v>0</v>
      </c>
      <c r="V42" s="258">
        <f>SUM(V11:V41)</f>
        <v>0</v>
      </c>
      <c r="Y42" s="258">
        <f>SUM(Y11:Y41)</f>
        <v>0</v>
      </c>
      <c r="AB42" s="258">
        <f>SUM(AB11:AB41)</f>
        <v>0</v>
      </c>
      <c r="AE42" s="258">
        <f>SUM(AE11:AE41)</f>
        <v>0</v>
      </c>
      <c r="AH42" s="258">
        <f>SUM(AH11:AH41)</f>
        <v>0</v>
      </c>
      <c r="AK42" s="258">
        <f>SUM(AK11:AK41)</f>
        <v>237597.22916666669</v>
      </c>
      <c r="AN42" s="258">
        <f>SUM(AN11:AN41)</f>
        <v>1004951.111111111</v>
      </c>
      <c r="AQ42" s="258">
        <f>SUM(AQ11:AQ41)</f>
        <v>192888.88888888882</v>
      </c>
      <c r="AT42" s="258">
        <f>SUM(AT11:AT41)</f>
        <v>114583.33333333333</v>
      </c>
      <c r="AW42" s="258">
        <f>SUM(AW11:AW41)</f>
        <v>22708.333333333332</v>
      </c>
      <c r="AZ42" s="258">
        <f>SUM(AZ11:AZ41)</f>
        <v>0</v>
      </c>
      <c r="BC42" s="258">
        <f>SUM(BC11:BC41)</f>
        <v>0</v>
      </c>
      <c r="BF42" s="258">
        <f>SUM(BF11:BF41)</f>
        <v>0</v>
      </c>
      <c r="BI42" s="258">
        <f>SUM(BI11:BI41)</f>
        <v>0</v>
      </c>
      <c r="BL42" s="258">
        <f>SUM(BL11:BL41)</f>
        <v>0</v>
      </c>
      <c r="BO42" s="258">
        <f>SUM(BO11:BO41)</f>
        <v>0</v>
      </c>
      <c r="BR42" s="258">
        <f>SUM(BR11:BR41)</f>
        <v>0</v>
      </c>
      <c r="BU42" s="258">
        <f>SUM(BU11:BU41)</f>
        <v>0</v>
      </c>
      <c r="BX42" s="258">
        <f>SUM(BX11:BX41)</f>
        <v>0</v>
      </c>
      <c r="CA42" s="258">
        <f>SUM(CA11:CA41)</f>
        <v>0</v>
      </c>
      <c r="CD42" s="258">
        <f>SUM(CD11:CD41)</f>
        <v>0</v>
      </c>
      <c r="CG42" s="258">
        <f>SUM(CG11:CG41)</f>
        <v>0</v>
      </c>
      <c r="CJ42" s="258">
        <f>SUM(CJ11:CJ41)</f>
        <v>0</v>
      </c>
      <c r="CM42" s="258">
        <f>SUM(CM11:CM41)</f>
        <v>0</v>
      </c>
      <c r="CP42" s="258">
        <f>SUM(CP11:CP41)</f>
        <v>0</v>
      </c>
      <c r="CS42" s="258">
        <f>SUM(CS11:CS41)</f>
        <v>0</v>
      </c>
      <c r="CV42" s="258">
        <f>SUM(CV11:CV41)</f>
        <v>0</v>
      </c>
      <c r="CY42" s="258">
        <f>SUM(CY11:CY41)</f>
        <v>0</v>
      </c>
      <c r="DB42" s="258">
        <f>SUM(DB11:DB41)</f>
        <v>0</v>
      </c>
      <c r="DE42" s="258">
        <f>SUM(DE11:DE41)</f>
        <v>0</v>
      </c>
      <c r="DH42" s="258">
        <f>SUM(DH11:DH41)</f>
        <v>0</v>
      </c>
      <c r="DK42" s="258">
        <f>SUM(DK11:DK41)</f>
        <v>0</v>
      </c>
      <c r="DN42" s="258">
        <f>SUM(DN11:DN41)</f>
        <v>0</v>
      </c>
      <c r="DQ42" s="258">
        <f>SUM(DQ11:DQ41)</f>
        <v>0</v>
      </c>
      <c r="DT42" s="258">
        <f>SUM(DT11:DT41)</f>
        <v>0</v>
      </c>
      <c r="DW42" s="258">
        <f>SUM(DW11:DW41)</f>
        <v>0</v>
      </c>
      <c r="DZ42" s="241"/>
      <c r="EA42" s="241"/>
      <c r="EB42" s="241"/>
      <c r="EC42" s="241"/>
      <c r="ED42" s="258">
        <f>SUM(ED11:ED41)</f>
        <v>1611719.9016666668</v>
      </c>
      <c r="EE42" s="242"/>
      <c r="EG42" s="241"/>
      <c r="EH42" s="258">
        <f>SUM(EH11:EH41)</f>
        <v>0</v>
      </c>
      <c r="EI42" s="242"/>
      <c r="EJ42" s="242"/>
      <c r="EK42" s="241"/>
      <c r="EL42" s="241"/>
      <c r="EM42" s="258">
        <f>SUM(EM11:EM41)</f>
        <v>1572728.8958333333</v>
      </c>
      <c r="EN42" s="242"/>
    </row>
    <row r="44" spans="1:146" x14ac:dyDescent="0.25">
      <c r="EM44" s="259"/>
    </row>
    <row r="45" spans="1:146" x14ac:dyDescent="0.25">
      <c r="EM45" s="241"/>
    </row>
    <row r="46" spans="1:146" x14ac:dyDescent="0.25">
      <c r="EM46" s="241"/>
    </row>
    <row r="48" spans="1:146" x14ac:dyDescent="0.25">
      <c r="EM48" s="241"/>
    </row>
  </sheetData>
  <pageMargins left="0.7" right="0.7" top="0.75" bottom="0.75" header="0.3" footer="0.3"/>
  <pageSetup scale="63" orientation="portrait" r:id="rId1"/>
  <headerFooter>
    <oddFooter>&amp;CSchedule RL-1</oddFooter>
  </headerFooter>
  <colBreaks count="4" manualBreakCount="4">
    <brk id="7" max="1048575" man="1"/>
    <brk id="43" max="1048575" man="1"/>
    <brk id="52" max="41" man="1"/>
    <brk id="130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/>
  <dimension ref="A1:EQ47"/>
  <sheetViews>
    <sheetView zoomScaleNormal="100" workbookViewId="0">
      <selection activeCell="B1" sqref="B1"/>
    </sheetView>
  </sheetViews>
  <sheetFormatPr defaultRowHeight="15" x14ac:dyDescent="0.25"/>
  <cols>
    <col min="1" max="1" width="14.5703125" style="175" bestFit="1" customWidth="1"/>
    <col min="2" max="2" width="18" style="241" bestFit="1" customWidth="1"/>
    <col min="3" max="3" width="15.42578125" style="242" bestFit="1" customWidth="1"/>
    <col min="4" max="4" width="15.42578125" style="175" bestFit="1" customWidth="1"/>
    <col min="5" max="5" width="15.5703125" style="241" bestFit="1" customWidth="1"/>
    <col min="6" max="6" width="12.28515625" style="242" bestFit="1" customWidth="1"/>
    <col min="7" max="7" width="18.42578125" style="175" bestFit="1" customWidth="1"/>
    <col min="8" max="8" width="15.42578125" style="241" hidden="1" customWidth="1"/>
    <col min="9" max="9" width="10.28515625" style="242" hidden="1" customWidth="1"/>
    <col min="10" max="10" width="13.42578125" style="175" hidden="1" customWidth="1"/>
    <col min="11" max="11" width="14.42578125" style="241" hidden="1" customWidth="1"/>
    <col min="12" max="12" width="10.28515625" style="242" hidden="1" customWidth="1"/>
    <col min="13" max="13" width="11.7109375" style="175" hidden="1" customWidth="1"/>
    <col min="14" max="14" width="14.42578125" style="241" hidden="1" customWidth="1"/>
    <col min="15" max="15" width="10.28515625" style="242" hidden="1" customWidth="1"/>
    <col min="16" max="16" width="11.7109375" style="175" hidden="1" customWidth="1"/>
    <col min="17" max="17" width="15.42578125" style="241" hidden="1" customWidth="1"/>
    <col min="18" max="18" width="10.28515625" style="242" hidden="1" customWidth="1"/>
    <col min="19" max="19" width="11.7109375" style="175" hidden="1" customWidth="1"/>
    <col min="20" max="20" width="15.42578125" style="241" hidden="1" customWidth="1"/>
    <col min="21" max="21" width="10.28515625" style="242" hidden="1" customWidth="1"/>
    <col min="22" max="22" width="11.7109375" style="175" hidden="1" customWidth="1"/>
    <col min="23" max="23" width="15.42578125" style="241" hidden="1" customWidth="1"/>
    <col min="24" max="24" width="10.28515625" style="242" hidden="1" customWidth="1"/>
    <col min="25" max="25" width="11.7109375" style="175" hidden="1" customWidth="1"/>
    <col min="26" max="26" width="15.42578125" style="241" hidden="1" customWidth="1"/>
    <col min="27" max="27" width="10.28515625" style="242" hidden="1" customWidth="1"/>
    <col min="28" max="28" width="11.7109375" style="175" hidden="1" customWidth="1"/>
    <col min="29" max="29" width="15.42578125" style="241" hidden="1" customWidth="1"/>
    <col min="30" max="30" width="10.28515625" style="242" hidden="1" customWidth="1"/>
    <col min="31" max="31" width="11.7109375" style="175" hidden="1" customWidth="1"/>
    <col min="32" max="32" width="14.42578125" style="241" hidden="1" customWidth="1"/>
    <col min="33" max="33" width="10.28515625" style="242" hidden="1" customWidth="1"/>
    <col min="34" max="34" width="10.7109375" style="175" hidden="1" customWidth="1"/>
    <col min="35" max="35" width="14.42578125" style="241" customWidth="1"/>
    <col min="36" max="36" width="14.5703125" style="242" customWidth="1"/>
    <col min="37" max="37" width="14.28515625" style="175" customWidth="1"/>
    <col min="38" max="38" width="14.42578125" style="241" customWidth="1"/>
    <col min="39" max="39" width="12.85546875" style="242" customWidth="1"/>
    <col min="40" max="40" width="14.140625" style="175" bestFit="1" customWidth="1"/>
    <col min="41" max="41" width="15.42578125" style="241" bestFit="1" customWidth="1"/>
    <col min="42" max="42" width="12.28515625" style="242" bestFit="1" customWidth="1"/>
    <col min="43" max="43" width="14.140625" style="175" bestFit="1" customWidth="1"/>
    <col min="44" max="44" width="15.42578125" style="241" bestFit="1" customWidth="1"/>
    <col min="45" max="45" width="12.7109375" style="242" customWidth="1"/>
    <col min="46" max="46" width="14.140625" style="175" bestFit="1" customWidth="1"/>
    <col min="47" max="47" width="14.42578125" style="241" customWidth="1"/>
    <col min="48" max="48" width="10.28515625" style="242" customWidth="1"/>
    <col min="49" max="49" width="10.7109375" style="175" customWidth="1"/>
    <col min="50" max="50" width="14.42578125" style="241" customWidth="1"/>
    <col min="51" max="51" width="10.28515625" style="242" customWidth="1"/>
    <col min="52" max="52" width="10.7109375" style="175" customWidth="1"/>
    <col min="53" max="53" width="14.42578125" style="241" customWidth="1"/>
    <col min="54" max="54" width="10.28515625" style="242" customWidth="1"/>
    <col min="55" max="55" width="10.7109375" style="175" customWidth="1"/>
    <col min="56" max="56" width="14.42578125" style="241" customWidth="1"/>
    <col min="57" max="57" width="10.28515625" style="242" customWidth="1"/>
    <col min="58" max="58" width="10.7109375" style="175" customWidth="1"/>
    <col min="59" max="59" width="14.42578125" style="241" customWidth="1"/>
    <col min="60" max="60" width="10.28515625" style="242" customWidth="1"/>
    <col min="61" max="61" width="10.7109375" style="175" customWidth="1"/>
    <col min="62" max="62" width="14.42578125" style="241" customWidth="1"/>
    <col min="63" max="63" width="10.28515625" style="242" customWidth="1"/>
    <col min="64" max="64" width="10.7109375" style="175" customWidth="1"/>
    <col min="65" max="65" width="14.42578125" style="241" hidden="1" customWidth="1"/>
    <col min="66" max="66" width="10.28515625" style="242" hidden="1" customWidth="1"/>
    <col min="67" max="67" width="10.7109375" style="175" hidden="1" customWidth="1"/>
    <col min="68" max="68" width="14.42578125" style="241" hidden="1" customWidth="1"/>
    <col min="69" max="69" width="10.28515625" style="242" hidden="1" customWidth="1"/>
    <col min="70" max="70" width="10.7109375" style="175" hidden="1" customWidth="1"/>
    <col min="71" max="71" width="14.42578125" style="241" hidden="1" customWidth="1"/>
    <col min="72" max="72" width="10.28515625" style="242" hidden="1" customWidth="1"/>
    <col min="73" max="73" width="10.7109375" style="175" hidden="1" customWidth="1"/>
    <col min="74" max="74" width="14.42578125" style="241" hidden="1" customWidth="1"/>
    <col min="75" max="75" width="10.28515625" style="242" hidden="1" customWidth="1"/>
    <col min="76" max="76" width="10.7109375" style="175" hidden="1" customWidth="1"/>
    <col min="77" max="77" width="14.42578125" style="241" hidden="1" customWidth="1"/>
    <col min="78" max="78" width="10.28515625" style="242" hidden="1" customWidth="1"/>
    <col min="79" max="79" width="10.7109375" style="175" hidden="1" customWidth="1"/>
    <col min="80" max="80" width="14.42578125" style="241" hidden="1" customWidth="1"/>
    <col min="81" max="81" width="10.28515625" style="242" hidden="1" customWidth="1"/>
    <col min="82" max="82" width="10.7109375" style="175" hidden="1" customWidth="1"/>
    <col min="83" max="83" width="14.42578125" style="241" hidden="1" customWidth="1"/>
    <col min="84" max="84" width="10.28515625" style="242" hidden="1" customWidth="1"/>
    <col min="85" max="85" width="10.7109375" style="175" hidden="1" customWidth="1"/>
    <col min="86" max="86" width="14.42578125" style="241" hidden="1" customWidth="1"/>
    <col min="87" max="87" width="10.28515625" style="242" hidden="1" customWidth="1"/>
    <col min="88" max="88" width="10.7109375" style="175" hidden="1" customWidth="1"/>
    <col min="89" max="89" width="14.42578125" style="241" hidden="1" customWidth="1"/>
    <col min="90" max="90" width="10.28515625" style="242" hidden="1" customWidth="1"/>
    <col min="91" max="91" width="10.7109375" style="175" hidden="1" customWidth="1"/>
    <col min="92" max="92" width="14.42578125" style="241" hidden="1" customWidth="1"/>
    <col min="93" max="93" width="10.28515625" style="242" hidden="1" customWidth="1"/>
    <col min="94" max="94" width="10.7109375" style="175" hidden="1" customWidth="1"/>
    <col min="95" max="95" width="14.42578125" style="241" hidden="1" customWidth="1"/>
    <col min="96" max="96" width="10.28515625" style="242" hidden="1" customWidth="1"/>
    <col min="97" max="97" width="10.7109375" style="175" hidden="1" customWidth="1"/>
    <col min="98" max="98" width="14.42578125" style="241" hidden="1" customWidth="1"/>
    <col min="99" max="99" width="10.28515625" style="242" hidden="1" customWidth="1"/>
    <col min="100" max="100" width="10.7109375" style="175" hidden="1" customWidth="1"/>
    <col min="101" max="101" width="14.42578125" style="241" hidden="1" customWidth="1"/>
    <col min="102" max="102" width="10.28515625" style="242" hidden="1" customWidth="1"/>
    <col min="103" max="103" width="10.7109375" style="175" hidden="1" customWidth="1"/>
    <col min="104" max="104" width="14.42578125" style="241" hidden="1" customWidth="1"/>
    <col min="105" max="105" width="10.28515625" style="242" hidden="1" customWidth="1"/>
    <col min="106" max="106" width="10.7109375" style="175" hidden="1" customWidth="1"/>
    <col min="107" max="107" width="14.42578125" style="241" hidden="1" customWidth="1"/>
    <col min="108" max="108" width="10.28515625" style="242" hidden="1" customWidth="1"/>
    <col min="109" max="109" width="10.7109375" style="175" hidden="1" customWidth="1"/>
    <col min="110" max="110" width="14.42578125" style="241" hidden="1" customWidth="1"/>
    <col min="111" max="111" width="10.28515625" style="242" hidden="1" customWidth="1"/>
    <col min="112" max="112" width="10.7109375" style="175" hidden="1" customWidth="1"/>
    <col min="113" max="113" width="14.42578125" style="241" hidden="1" customWidth="1"/>
    <col min="114" max="114" width="10.28515625" style="242" hidden="1" customWidth="1"/>
    <col min="115" max="115" width="10.7109375" style="175" hidden="1" customWidth="1"/>
    <col min="116" max="116" width="14.42578125" style="241" hidden="1" customWidth="1"/>
    <col min="117" max="117" width="10.28515625" style="242" hidden="1" customWidth="1"/>
    <col min="118" max="118" width="10.7109375" style="175" hidden="1" customWidth="1"/>
    <col min="119" max="119" width="14.42578125" style="241" hidden="1" customWidth="1"/>
    <col min="120" max="120" width="10.28515625" style="242" hidden="1" customWidth="1"/>
    <col min="121" max="121" width="10.7109375" style="175" hidden="1" customWidth="1"/>
    <col min="122" max="122" width="14.42578125" style="241" hidden="1" customWidth="1"/>
    <col min="123" max="123" width="10.28515625" style="242" hidden="1" customWidth="1"/>
    <col min="124" max="124" width="10.7109375" style="175" hidden="1" customWidth="1"/>
    <col min="125" max="125" width="14.42578125" style="241" hidden="1" customWidth="1"/>
    <col min="126" max="126" width="10.28515625" style="242" hidden="1" customWidth="1"/>
    <col min="127" max="127" width="10.7109375" style="175" hidden="1" customWidth="1"/>
    <col min="128" max="128" width="14.42578125" style="241" hidden="1" customWidth="1"/>
    <col min="129" max="129" width="10.28515625" style="242" hidden="1" customWidth="1"/>
    <col min="130" max="130" width="10.7109375" style="175" hidden="1" customWidth="1"/>
    <col min="131" max="131" width="2.7109375" style="175" customWidth="1"/>
    <col min="132" max="132" width="19.42578125" style="175" customWidth="1"/>
    <col min="133" max="133" width="0.28515625" style="175" customWidth="1"/>
    <col min="134" max="134" width="16.85546875" style="175" customWidth="1"/>
    <col min="135" max="135" width="21" style="175" customWidth="1"/>
    <col min="136" max="136" width="2.7109375" style="175" customWidth="1"/>
    <col min="137" max="137" width="15.42578125" style="175" hidden="1" customWidth="1"/>
    <col min="138" max="138" width="14.42578125" style="175" hidden="1" customWidth="1"/>
    <col min="139" max="139" width="12.42578125" style="175" hidden="1" customWidth="1"/>
    <col min="140" max="140" width="2.7109375" style="175" hidden="1" customWidth="1"/>
    <col min="141" max="141" width="18.5703125" style="175" customWidth="1"/>
    <col min="142" max="142" width="15.42578125" style="175" hidden="1" customWidth="1"/>
    <col min="143" max="143" width="16.140625" style="175" customWidth="1"/>
    <col min="144" max="144" width="19.28515625" style="175" customWidth="1"/>
    <col min="145" max="145" width="42.85546875" style="175" bestFit="1" customWidth="1"/>
    <col min="146" max="146" width="19.42578125" style="175" bestFit="1" customWidth="1"/>
    <col min="147" max="147" width="23.140625" style="175" bestFit="1" customWidth="1"/>
    <col min="148" max="16384" width="9.140625" style="175"/>
  </cols>
  <sheetData>
    <row r="1" spans="1:147" s="202" customFormat="1" x14ac:dyDescent="0.25">
      <c r="A1" s="260" t="s">
        <v>0</v>
      </c>
      <c r="B1" s="261"/>
      <c r="C1" s="262"/>
      <c r="E1" s="261"/>
      <c r="F1" s="262"/>
      <c r="H1" s="261"/>
      <c r="I1" s="262"/>
      <c r="K1" s="261"/>
      <c r="L1" s="262"/>
      <c r="N1" s="261"/>
      <c r="O1" s="262"/>
      <c r="Q1" s="261"/>
      <c r="R1" s="262"/>
      <c r="T1" s="261"/>
      <c r="U1" s="262"/>
      <c r="W1" s="261"/>
      <c r="X1" s="262"/>
      <c r="Z1" s="261"/>
      <c r="AA1" s="262"/>
      <c r="AC1" s="261"/>
      <c r="AD1" s="262"/>
      <c r="AF1" s="261"/>
      <c r="AG1" s="262"/>
      <c r="AI1" s="261"/>
      <c r="AJ1" s="262"/>
      <c r="AL1" s="261"/>
      <c r="AM1" s="262"/>
      <c r="AO1" s="261"/>
      <c r="AP1" s="262"/>
      <c r="AR1" s="261"/>
      <c r="AS1" s="262"/>
      <c r="AU1" s="261"/>
      <c r="AV1" s="262"/>
      <c r="AX1" s="261"/>
      <c r="AY1" s="262"/>
      <c r="BA1" s="261"/>
      <c r="BB1" s="262"/>
      <c r="BD1" s="261"/>
      <c r="BE1" s="262"/>
      <c r="BG1" s="261"/>
      <c r="BH1" s="262"/>
      <c r="BJ1" s="261"/>
      <c r="BK1" s="262"/>
      <c r="BM1" s="261"/>
      <c r="BN1" s="262"/>
      <c r="BP1" s="261"/>
      <c r="BQ1" s="262"/>
      <c r="BS1" s="261"/>
      <c r="BT1" s="262"/>
      <c r="BV1" s="261"/>
      <c r="BW1" s="262"/>
      <c r="BY1" s="261"/>
      <c r="BZ1" s="262"/>
      <c r="CB1" s="261"/>
      <c r="CC1" s="262"/>
      <c r="CE1" s="261"/>
      <c r="CF1" s="262"/>
      <c r="CH1" s="261"/>
      <c r="CI1" s="262"/>
      <c r="CK1" s="261"/>
      <c r="CL1" s="262"/>
      <c r="CN1" s="261"/>
      <c r="CO1" s="262"/>
      <c r="CQ1" s="261"/>
      <c r="CR1" s="262"/>
      <c r="CT1" s="261"/>
      <c r="CU1" s="262"/>
      <c r="CW1" s="261"/>
      <c r="CX1" s="262"/>
      <c r="CZ1" s="261"/>
      <c r="DA1" s="262"/>
      <c r="DC1" s="261"/>
      <c r="DD1" s="262"/>
      <c r="DF1" s="261"/>
      <c r="DG1" s="262"/>
      <c r="DI1" s="261"/>
      <c r="DJ1" s="262"/>
      <c r="DL1" s="261"/>
      <c r="DM1" s="262"/>
      <c r="DO1" s="261"/>
      <c r="DP1" s="262"/>
      <c r="DR1" s="261"/>
      <c r="DS1" s="262"/>
      <c r="DU1" s="261"/>
      <c r="DV1" s="262"/>
      <c r="DX1" s="261"/>
      <c r="DY1" s="262"/>
      <c r="DZ1" s="263"/>
      <c r="ED1" s="191"/>
      <c r="EE1" s="264" t="s">
        <v>37</v>
      </c>
      <c r="EI1" s="191" t="s">
        <v>38</v>
      </c>
      <c r="EM1" s="191"/>
      <c r="EN1" s="191" t="s">
        <v>39</v>
      </c>
      <c r="EO1" s="260" t="s">
        <v>40</v>
      </c>
      <c r="EP1" s="260" t="s">
        <v>41</v>
      </c>
      <c r="EQ1" s="260" t="s">
        <v>42</v>
      </c>
    </row>
    <row r="2" spans="1:147" s="202" customFormat="1" ht="15.75" thickBot="1" x14ac:dyDescent="0.3">
      <c r="A2" s="260" t="s">
        <v>43</v>
      </c>
      <c r="B2" s="261"/>
      <c r="C2" s="262"/>
      <c r="E2" s="263"/>
      <c r="F2" s="262"/>
      <c r="G2" s="191"/>
      <c r="H2" s="261"/>
      <c r="I2" s="262"/>
      <c r="K2" s="261"/>
      <c r="L2" s="262"/>
      <c r="N2" s="261"/>
      <c r="O2" s="262"/>
      <c r="Q2" s="261"/>
      <c r="R2" s="262"/>
      <c r="T2" s="261"/>
      <c r="U2" s="262"/>
      <c r="W2" s="261"/>
      <c r="X2" s="262"/>
      <c r="Z2" s="261"/>
      <c r="AA2" s="262"/>
      <c r="AC2" s="261"/>
      <c r="AD2" s="262"/>
      <c r="AF2" s="261"/>
      <c r="AG2" s="262"/>
      <c r="AI2" s="261"/>
      <c r="AJ2" s="262"/>
      <c r="AL2" s="261"/>
      <c r="AM2" s="262"/>
      <c r="AO2" s="261"/>
      <c r="AP2" s="262"/>
      <c r="AR2" s="261"/>
      <c r="AS2" s="262"/>
      <c r="AU2" s="261"/>
      <c r="AV2" s="262"/>
      <c r="AX2" s="261"/>
      <c r="AY2" s="262"/>
      <c r="BA2" s="261"/>
      <c r="BB2" s="262"/>
      <c r="BD2" s="261"/>
      <c r="BE2" s="262"/>
      <c r="BG2" s="261"/>
      <c r="BH2" s="262"/>
      <c r="BJ2" s="261"/>
      <c r="BK2" s="262"/>
      <c r="BM2" s="261"/>
      <c r="BN2" s="262"/>
      <c r="BP2" s="261"/>
      <c r="BQ2" s="262"/>
      <c r="BS2" s="261"/>
      <c r="BT2" s="262"/>
      <c r="BV2" s="261"/>
      <c r="BW2" s="262"/>
      <c r="BY2" s="261"/>
      <c r="BZ2" s="262"/>
      <c r="CB2" s="261"/>
      <c r="CC2" s="262"/>
      <c r="CE2" s="261"/>
      <c r="CF2" s="262"/>
      <c r="CH2" s="261"/>
      <c r="CI2" s="262"/>
      <c r="CK2" s="261"/>
      <c r="CL2" s="262"/>
      <c r="CN2" s="261"/>
      <c r="CO2" s="262"/>
      <c r="CQ2" s="261"/>
      <c r="CR2" s="262"/>
      <c r="CT2" s="261"/>
      <c r="CU2" s="262"/>
      <c r="CW2" s="261"/>
      <c r="CX2" s="262"/>
      <c r="CZ2" s="261"/>
      <c r="DA2" s="262"/>
      <c r="DC2" s="261"/>
      <c r="DD2" s="262"/>
      <c r="DF2" s="261"/>
      <c r="DG2" s="262"/>
      <c r="DI2" s="261"/>
      <c r="DJ2" s="262"/>
      <c r="DL2" s="261"/>
      <c r="DM2" s="262"/>
      <c r="DO2" s="261"/>
      <c r="DP2" s="262"/>
      <c r="DR2" s="261"/>
      <c r="DS2" s="262"/>
      <c r="DU2" s="261"/>
      <c r="DV2" s="262"/>
      <c r="DX2" s="261"/>
      <c r="DY2" s="262"/>
      <c r="EB2" s="175" t="s">
        <v>44</v>
      </c>
      <c r="EC2" s="175"/>
      <c r="ED2" s="241"/>
      <c r="EE2" s="241">
        <f>EB40</f>
        <v>583375000</v>
      </c>
      <c r="EI2" s="241">
        <f>EG40</f>
        <v>0</v>
      </c>
      <c r="EM2" s="241"/>
      <c r="EN2" s="241">
        <f>EK40</f>
        <v>575950000</v>
      </c>
      <c r="EO2" s="265">
        <v>-327877.78000000003</v>
      </c>
      <c r="EP2" s="261">
        <f>EN2+EO2</f>
        <v>575622122.22000003</v>
      </c>
      <c r="EQ2" s="261">
        <f>EE2+EO2</f>
        <v>583047122.22000003</v>
      </c>
    </row>
    <row r="3" spans="1:147" ht="15.75" thickTop="1" x14ac:dyDescent="0.25">
      <c r="A3" s="266" t="s">
        <v>256</v>
      </c>
      <c r="E3" s="267" t="s">
        <v>45</v>
      </c>
      <c r="F3" s="243"/>
      <c r="G3" s="244"/>
      <c r="EB3" s="175" t="s">
        <v>46</v>
      </c>
      <c r="ED3" s="241"/>
      <c r="EE3" s="241">
        <f>AVERAGE(EB11:EB40)</f>
        <v>339295000</v>
      </c>
      <c r="EI3" s="241">
        <f>AVERAGE(EG11:EG40)</f>
        <v>0</v>
      </c>
      <c r="EM3" s="241"/>
      <c r="EN3" s="241">
        <f>AVERAGE(EK11:EK40)</f>
        <v>304420833.33333331</v>
      </c>
    </row>
    <row r="4" spans="1:147" x14ac:dyDescent="0.25">
      <c r="E4" s="245" t="s">
        <v>44</v>
      </c>
      <c r="F4" s="241"/>
      <c r="G4" s="246">
        <f>EQ2</f>
        <v>583047122.22000003</v>
      </c>
      <c r="AI4" s="260" t="s">
        <v>47</v>
      </c>
      <c r="EB4" s="175" t="s">
        <v>48</v>
      </c>
      <c r="ED4" s="242"/>
      <c r="EE4" s="242">
        <f>IF(EE3=0,0,360*(AVERAGE(ED11:ED40)/EE3))</f>
        <v>5.3053487041266938E-2</v>
      </c>
      <c r="EI4" s="242">
        <f>IF(EI3=0,0,360*(AVERAGE(EH11:EH40)/EI3))</f>
        <v>0</v>
      </c>
      <c r="EM4" s="242"/>
      <c r="EN4" s="242">
        <f>IF(EN3=0,0,360*(AVERAGE(EM11:EM40)/EN3))</f>
        <v>5.3308665088077099E-2</v>
      </c>
      <c r="EO4" s="202" t="s">
        <v>241</v>
      </c>
      <c r="EQ4" s="191" t="s">
        <v>47</v>
      </c>
    </row>
    <row r="5" spans="1:147" x14ac:dyDescent="0.25">
      <c r="E5" s="245" t="s">
        <v>46</v>
      </c>
      <c r="F5" s="241"/>
      <c r="G5" s="246">
        <f>EE3</f>
        <v>339295000</v>
      </c>
      <c r="AI5" s="268" t="s">
        <v>39</v>
      </c>
      <c r="EB5" s="175" t="s">
        <v>49</v>
      </c>
      <c r="ED5" s="241"/>
      <c r="EE5" s="241">
        <f>MAX(EB11:EB40)</f>
        <v>583375000</v>
      </c>
      <c r="EI5" s="241">
        <f>MAX(EG11:EG40)</f>
        <v>0</v>
      </c>
      <c r="EM5" s="241"/>
      <c r="EN5" s="241">
        <f>MAX(EK11:EK40)</f>
        <v>575950000</v>
      </c>
      <c r="EO5" s="175" t="s">
        <v>242</v>
      </c>
    </row>
    <row r="6" spans="1:147" x14ac:dyDescent="0.25">
      <c r="E6" s="245" t="s">
        <v>48</v>
      </c>
      <c r="F6" s="241"/>
      <c r="G6" s="247">
        <f>EE4</f>
        <v>5.3053487041266938E-2</v>
      </c>
    </row>
    <row r="7" spans="1:147" ht="15.75" thickBot="1" x14ac:dyDescent="0.3">
      <c r="E7" s="248" t="s">
        <v>49</v>
      </c>
      <c r="F7" s="249"/>
      <c r="G7" s="250">
        <f>EE5</f>
        <v>583375000</v>
      </c>
      <c r="AI7" s="268" t="s">
        <v>39</v>
      </c>
      <c r="EB7" s="269" t="s">
        <v>50</v>
      </c>
      <c r="EC7" s="269"/>
      <c r="ED7" s="251"/>
      <c r="EE7" s="251"/>
      <c r="EG7" s="269" t="s">
        <v>51</v>
      </c>
      <c r="EH7" s="251"/>
      <c r="EI7" s="251"/>
      <c r="EJ7" s="174"/>
      <c r="EK7" s="269" t="s">
        <v>52</v>
      </c>
      <c r="EL7" s="269"/>
      <c r="EM7" s="251"/>
      <c r="EN7" s="251"/>
    </row>
    <row r="8" spans="1:147" ht="15.75" thickTop="1" x14ac:dyDescent="0.25">
      <c r="AI8" s="263" t="s">
        <v>53</v>
      </c>
      <c r="AL8" s="263" t="s">
        <v>53</v>
      </c>
      <c r="AO8" s="263" t="s">
        <v>53</v>
      </c>
      <c r="AR8" s="263" t="s">
        <v>53</v>
      </c>
      <c r="AU8" s="263" t="s">
        <v>53</v>
      </c>
      <c r="AX8" s="263" t="s">
        <v>53</v>
      </c>
      <c r="BA8" s="263" t="s">
        <v>53</v>
      </c>
      <c r="BD8" s="263" t="s">
        <v>53</v>
      </c>
      <c r="BG8" s="263" t="s">
        <v>53</v>
      </c>
      <c r="BJ8" s="263" t="s">
        <v>53</v>
      </c>
      <c r="BM8" s="263" t="s">
        <v>53</v>
      </c>
      <c r="BP8" s="263" t="s">
        <v>53</v>
      </c>
      <c r="BS8" s="263" t="s">
        <v>53</v>
      </c>
      <c r="BV8" s="263" t="s">
        <v>53</v>
      </c>
      <c r="BY8" s="263" t="s">
        <v>53</v>
      </c>
      <c r="CB8" s="263" t="s">
        <v>53</v>
      </c>
      <c r="CE8" s="263" t="s">
        <v>53</v>
      </c>
      <c r="CH8" s="263" t="s">
        <v>53</v>
      </c>
      <c r="CK8" s="263" t="s">
        <v>53</v>
      </c>
      <c r="CN8" s="263" t="s">
        <v>53</v>
      </c>
      <c r="CQ8" s="263" t="s">
        <v>53</v>
      </c>
      <c r="CT8" s="263" t="s">
        <v>53</v>
      </c>
      <c r="CW8" s="263" t="s">
        <v>53</v>
      </c>
      <c r="CZ8" s="263" t="s">
        <v>53</v>
      </c>
      <c r="DC8" s="263" t="s">
        <v>53</v>
      </c>
      <c r="DF8" s="263" t="s">
        <v>53</v>
      </c>
      <c r="DI8" s="263" t="s">
        <v>53</v>
      </c>
      <c r="DL8" s="263" t="s">
        <v>53</v>
      </c>
      <c r="DO8" s="263" t="s">
        <v>53</v>
      </c>
      <c r="DR8" s="263" t="s">
        <v>53</v>
      </c>
      <c r="EB8" s="252"/>
      <c r="EC8" s="252"/>
      <c r="ED8" s="252"/>
      <c r="EE8" s="252" t="s">
        <v>54</v>
      </c>
      <c r="EG8" s="252"/>
      <c r="EH8" s="270" t="s">
        <v>38</v>
      </c>
      <c r="EI8" s="252" t="s">
        <v>54</v>
      </c>
      <c r="EJ8" s="252"/>
      <c r="EK8" s="191" t="s">
        <v>55</v>
      </c>
      <c r="EL8" s="191" t="s">
        <v>56</v>
      </c>
      <c r="EM8" s="270" t="s">
        <v>57</v>
      </c>
      <c r="EN8" s="252" t="s">
        <v>54</v>
      </c>
    </row>
    <row r="9" spans="1:147" x14ac:dyDescent="0.25">
      <c r="B9" s="253" t="s">
        <v>58</v>
      </c>
      <c r="C9" s="254"/>
      <c r="D9" s="251"/>
      <c r="E9" s="253" t="s">
        <v>59</v>
      </c>
      <c r="F9" s="254"/>
      <c r="G9" s="251"/>
      <c r="H9" s="253" t="s">
        <v>60</v>
      </c>
      <c r="I9" s="254"/>
      <c r="J9" s="251"/>
      <c r="K9" s="253" t="s">
        <v>61</v>
      </c>
      <c r="L9" s="254"/>
      <c r="M9" s="251"/>
      <c r="N9" s="253" t="s">
        <v>62</v>
      </c>
      <c r="O9" s="254"/>
      <c r="P9" s="251"/>
      <c r="Q9" s="253" t="s">
        <v>63</v>
      </c>
      <c r="R9" s="254"/>
      <c r="S9" s="251"/>
      <c r="T9" s="253" t="s">
        <v>64</v>
      </c>
      <c r="U9" s="254"/>
      <c r="V9" s="251"/>
      <c r="W9" s="253" t="s">
        <v>65</v>
      </c>
      <c r="X9" s="254"/>
      <c r="Y9" s="251"/>
      <c r="Z9" s="253" t="s">
        <v>66</v>
      </c>
      <c r="AA9" s="254"/>
      <c r="AB9" s="251"/>
      <c r="AC9" s="271" t="s">
        <v>67</v>
      </c>
      <c r="AD9" s="254"/>
      <c r="AE9" s="251"/>
      <c r="AF9" s="271" t="s">
        <v>68</v>
      </c>
      <c r="AG9" s="254"/>
      <c r="AH9" s="251"/>
      <c r="AI9" s="253" t="s">
        <v>69</v>
      </c>
      <c r="AJ9" s="254"/>
      <c r="AK9" s="251"/>
      <c r="AL9" s="253" t="s">
        <v>70</v>
      </c>
      <c r="AM9" s="254"/>
      <c r="AN9" s="251"/>
      <c r="AO9" s="253" t="s">
        <v>71</v>
      </c>
      <c r="AP9" s="254"/>
      <c r="AQ9" s="251"/>
      <c r="AR9" s="253" t="s">
        <v>72</v>
      </c>
      <c r="AS9" s="254"/>
      <c r="AT9" s="251"/>
      <c r="AU9" s="253" t="s">
        <v>73</v>
      </c>
      <c r="AV9" s="254"/>
      <c r="AW9" s="251"/>
      <c r="AX9" s="253" t="s">
        <v>74</v>
      </c>
      <c r="AY9" s="254"/>
      <c r="AZ9" s="251"/>
      <c r="BA9" s="253" t="s">
        <v>75</v>
      </c>
      <c r="BB9" s="254"/>
      <c r="BC9" s="251"/>
      <c r="BD9" s="253" t="s">
        <v>76</v>
      </c>
      <c r="BE9" s="254"/>
      <c r="BF9" s="251"/>
      <c r="BG9" s="253" t="s">
        <v>77</v>
      </c>
      <c r="BH9" s="254"/>
      <c r="BI9" s="251"/>
      <c r="BJ9" s="253" t="s">
        <v>78</v>
      </c>
      <c r="BK9" s="254"/>
      <c r="BL9" s="251"/>
      <c r="BM9" s="253" t="s">
        <v>79</v>
      </c>
      <c r="BN9" s="254"/>
      <c r="BO9" s="251"/>
      <c r="BP9" s="253" t="s">
        <v>80</v>
      </c>
      <c r="BQ9" s="254"/>
      <c r="BR9" s="251"/>
      <c r="BS9" s="253" t="s">
        <v>81</v>
      </c>
      <c r="BT9" s="254"/>
      <c r="BU9" s="251"/>
      <c r="BV9" s="253" t="s">
        <v>82</v>
      </c>
      <c r="BW9" s="254"/>
      <c r="BX9" s="251"/>
      <c r="BY9" s="253" t="s">
        <v>83</v>
      </c>
      <c r="BZ9" s="254"/>
      <c r="CA9" s="251"/>
      <c r="CB9" s="253" t="s">
        <v>84</v>
      </c>
      <c r="CC9" s="254"/>
      <c r="CD9" s="251"/>
      <c r="CE9" s="253" t="s">
        <v>85</v>
      </c>
      <c r="CF9" s="254"/>
      <c r="CG9" s="251"/>
      <c r="CH9" s="253" t="s">
        <v>86</v>
      </c>
      <c r="CI9" s="254"/>
      <c r="CJ9" s="251"/>
      <c r="CK9" s="253" t="s">
        <v>87</v>
      </c>
      <c r="CL9" s="254"/>
      <c r="CM9" s="251"/>
      <c r="CN9" s="253" t="s">
        <v>88</v>
      </c>
      <c r="CO9" s="254"/>
      <c r="CP9" s="251"/>
      <c r="CQ9" s="253" t="s">
        <v>89</v>
      </c>
      <c r="CR9" s="254"/>
      <c r="CS9" s="251"/>
      <c r="CT9" s="253" t="s">
        <v>90</v>
      </c>
      <c r="CU9" s="254"/>
      <c r="CV9" s="251"/>
      <c r="CW9" s="253" t="s">
        <v>91</v>
      </c>
      <c r="CX9" s="254"/>
      <c r="CY9" s="251"/>
      <c r="CZ9" s="253" t="s">
        <v>92</v>
      </c>
      <c r="DA9" s="254"/>
      <c r="DB9" s="251"/>
      <c r="DC9" s="253" t="s">
        <v>93</v>
      </c>
      <c r="DD9" s="254"/>
      <c r="DE9" s="251"/>
      <c r="DF9" s="253" t="s">
        <v>94</v>
      </c>
      <c r="DG9" s="254"/>
      <c r="DH9" s="251"/>
      <c r="DI9" s="253" t="s">
        <v>95</v>
      </c>
      <c r="DJ9" s="254"/>
      <c r="DK9" s="251"/>
      <c r="DL9" s="253" t="s">
        <v>96</v>
      </c>
      <c r="DM9" s="254"/>
      <c r="DN9" s="251"/>
      <c r="DO9" s="253" t="s">
        <v>97</v>
      </c>
      <c r="DP9" s="254"/>
      <c r="DQ9" s="251"/>
      <c r="DR9" s="253" t="s">
        <v>98</v>
      </c>
      <c r="DS9" s="254"/>
      <c r="DT9" s="251"/>
      <c r="DU9" s="253" t="s">
        <v>99</v>
      </c>
      <c r="DV9" s="254"/>
      <c r="DW9" s="251"/>
      <c r="DX9" s="272" t="s">
        <v>100</v>
      </c>
      <c r="DY9" s="254"/>
      <c r="DZ9" s="251"/>
      <c r="EA9" s="174"/>
      <c r="EB9" s="191" t="s">
        <v>101</v>
      </c>
      <c r="EC9" s="191" t="s">
        <v>102</v>
      </c>
      <c r="ED9" s="252" t="s">
        <v>103</v>
      </c>
      <c r="EE9" s="252" t="s">
        <v>104</v>
      </c>
      <c r="EG9" s="270" t="s">
        <v>105</v>
      </c>
      <c r="EH9" s="252" t="s">
        <v>103</v>
      </c>
      <c r="EI9" s="252" t="s">
        <v>104</v>
      </c>
      <c r="EJ9" s="252"/>
      <c r="EK9" s="270" t="s">
        <v>57</v>
      </c>
      <c r="EL9" s="270" t="s">
        <v>57</v>
      </c>
      <c r="EM9" s="252" t="s">
        <v>103</v>
      </c>
      <c r="EN9" s="252" t="s">
        <v>104</v>
      </c>
    </row>
    <row r="10" spans="1:147" x14ac:dyDescent="0.25">
      <c r="A10" s="252" t="s">
        <v>106</v>
      </c>
      <c r="B10" s="273" t="s">
        <v>107</v>
      </c>
      <c r="C10" s="274" t="s">
        <v>108</v>
      </c>
      <c r="D10" s="275" t="s">
        <v>12</v>
      </c>
      <c r="E10" s="273" t="s">
        <v>107</v>
      </c>
      <c r="F10" s="274" t="s">
        <v>108</v>
      </c>
      <c r="G10" s="275" t="s">
        <v>12</v>
      </c>
      <c r="H10" s="273" t="s">
        <v>107</v>
      </c>
      <c r="I10" s="274" t="s">
        <v>108</v>
      </c>
      <c r="J10" s="275" t="s">
        <v>12</v>
      </c>
      <c r="K10" s="273" t="s">
        <v>107</v>
      </c>
      <c r="L10" s="274" t="s">
        <v>108</v>
      </c>
      <c r="M10" s="275" t="s">
        <v>12</v>
      </c>
      <c r="N10" s="273" t="s">
        <v>107</v>
      </c>
      <c r="O10" s="274" t="s">
        <v>108</v>
      </c>
      <c r="P10" s="275" t="s">
        <v>12</v>
      </c>
      <c r="Q10" s="273" t="s">
        <v>107</v>
      </c>
      <c r="R10" s="274" t="s">
        <v>108</v>
      </c>
      <c r="S10" s="275" t="s">
        <v>12</v>
      </c>
      <c r="T10" s="273" t="s">
        <v>107</v>
      </c>
      <c r="U10" s="274" t="s">
        <v>108</v>
      </c>
      <c r="V10" s="275" t="s">
        <v>12</v>
      </c>
      <c r="W10" s="273" t="s">
        <v>107</v>
      </c>
      <c r="X10" s="274" t="s">
        <v>108</v>
      </c>
      <c r="Y10" s="275" t="s">
        <v>12</v>
      </c>
      <c r="Z10" s="273" t="s">
        <v>107</v>
      </c>
      <c r="AA10" s="274" t="s">
        <v>108</v>
      </c>
      <c r="AB10" s="275" t="s">
        <v>12</v>
      </c>
      <c r="AC10" s="273" t="s">
        <v>107</v>
      </c>
      <c r="AD10" s="274" t="s">
        <v>108</v>
      </c>
      <c r="AE10" s="275" t="s">
        <v>12</v>
      </c>
      <c r="AF10" s="273" t="s">
        <v>107</v>
      </c>
      <c r="AG10" s="274" t="s">
        <v>108</v>
      </c>
      <c r="AH10" s="275" t="s">
        <v>12</v>
      </c>
      <c r="AI10" s="273" t="s">
        <v>107</v>
      </c>
      <c r="AJ10" s="274" t="s">
        <v>108</v>
      </c>
      <c r="AK10" s="275" t="s">
        <v>12</v>
      </c>
      <c r="AL10" s="273" t="s">
        <v>107</v>
      </c>
      <c r="AM10" s="274" t="s">
        <v>108</v>
      </c>
      <c r="AN10" s="275" t="s">
        <v>12</v>
      </c>
      <c r="AO10" s="273" t="s">
        <v>107</v>
      </c>
      <c r="AP10" s="274" t="s">
        <v>108</v>
      </c>
      <c r="AQ10" s="275" t="s">
        <v>12</v>
      </c>
      <c r="AR10" s="273" t="s">
        <v>107</v>
      </c>
      <c r="AS10" s="274" t="s">
        <v>108</v>
      </c>
      <c r="AT10" s="275" t="s">
        <v>12</v>
      </c>
      <c r="AU10" s="273" t="s">
        <v>107</v>
      </c>
      <c r="AV10" s="274" t="s">
        <v>108</v>
      </c>
      <c r="AW10" s="275" t="s">
        <v>12</v>
      </c>
      <c r="AX10" s="273" t="s">
        <v>107</v>
      </c>
      <c r="AY10" s="274" t="s">
        <v>108</v>
      </c>
      <c r="AZ10" s="275" t="s">
        <v>12</v>
      </c>
      <c r="BA10" s="273" t="s">
        <v>107</v>
      </c>
      <c r="BB10" s="274" t="s">
        <v>108</v>
      </c>
      <c r="BC10" s="275" t="s">
        <v>12</v>
      </c>
      <c r="BD10" s="273" t="s">
        <v>107</v>
      </c>
      <c r="BE10" s="274" t="s">
        <v>108</v>
      </c>
      <c r="BF10" s="275" t="s">
        <v>12</v>
      </c>
      <c r="BG10" s="273" t="s">
        <v>107</v>
      </c>
      <c r="BH10" s="274" t="s">
        <v>108</v>
      </c>
      <c r="BI10" s="275" t="s">
        <v>12</v>
      </c>
      <c r="BJ10" s="273" t="s">
        <v>107</v>
      </c>
      <c r="BK10" s="274" t="s">
        <v>108</v>
      </c>
      <c r="BL10" s="275" t="s">
        <v>12</v>
      </c>
      <c r="BM10" s="273" t="s">
        <v>107</v>
      </c>
      <c r="BN10" s="274" t="s">
        <v>108</v>
      </c>
      <c r="BO10" s="275" t="s">
        <v>12</v>
      </c>
      <c r="BP10" s="273" t="s">
        <v>107</v>
      </c>
      <c r="BQ10" s="274" t="s">
        <v>108</v>
      </c>
      <c r="BR10" s="275" t="s">
        <v>12</v>
      </c>
      <c r="BS10" s="273" t="s">
        <v>107</v>
      </c>
      <c r="BT10" s="274" t="s">
        <v>108</v>
      </c>
      <c r="BU10" s="275" t="s">
        <v>12</v>
      </c>
      <c r="BV10" s="273" t="s">
        <v>107</v>
      </c>
      <c r="BW10" s="274" t="s">
        <v>108</v>
      </c>
      <c r="BX10" s="275" t="s">
        <v>12</v>
      </c>
      <c r="BY10" s="273" t="s">
        <v>107</v>
      </c>
      <c r="BZ10" s="274" t="s">
        <v>108</v>
      </c>
      <c r="CA10" s="275" t="s">
        <v>12</v>
      </c>
      <c r="CB10" s="273" t="s">
        <v>107</v>
      </c>
      <c r="CC10" s="274" t="s">
        <v>108</v>
      </c>
      <c r="CD10" s="275" t="s">
        <v>12</v>
      </c>
      <c r="CE10" s="273" t="s">
        <v>107</v>
      </c>
      <c r="CF10" s="274" t="s">
        <v>108</v>
      </c>
      <c r="CG10" s="275" t="s">
        <v>12</v>
      </c>
      <c r="CH10" s="273" t="s">
        <v>107</v>
      </c>
      <c r="CI10" s="274" t="s">
        <v>108</v>
      </c>
      <c r="CJ10" s="275" t="s">
        <v>12</v>
      </c>
      <c r="CK10" s="273" t="s">
        <v>107</v>
      </c>
      <c r="CL10" s="274" t="s">
        <v>108</v>
      </c>
      <c r="CM10" s="275" t="s">
        <v>12</v>
      </c>
      <c r="CN10" s="273" t="s">
        <v>107</v>
      </c>
      <c r="CO10" s="274" t="s">
        <v>108</v>
      </c>
      <c r="CP10" s="275" t="s">
        <v>12</v>
      </c>
      <c r="CQ10" s="273" t="s">
        <v>107</v>
      </c>
      <c r="CR10" s="274" t="s">
        <v>108</v>
      </c>
      <c r="CS10" s="275" t="s">
        <v>12</v>
      </c>
      <c r="CT10" s="273" t="s">
        <v>107</v>
      </c>
      <c r="CU10" s="274" t="s">
        <v>108</v>
      </c>
      <c r="CV10" s="275" t="s">
        <v>12</v>
      </c>
      <c r="CW10" s="273" t="s">
        <v>107</v>
      </c>
      <c r="CX10" s="274" t="s">
        <v>108</v>
      </c>
      <c r="CY10" s="275" t="s">
        <v>12</v>
      </c>
      <c r="CZ10" s="273" t="s">
        <v>107</v>
      </c>
      <c r="DA10" s="274" t="s">
        <v>108</v>
      </c>
      <c r="DB10" s="275" t="s">
        <v>12</v>
      </c>
      <c r="DC10" s="273" t="s">
        <v>107</v>
      </c>
      <c r="DD10" s="274" t="s">
        <v>108</v>
      </c>
      <c r="DE10" s="275" t="s">
        <v>12</v>
      </c>
      <c r="DF10" s="273" t="s">
        <v>107</v>
      </c>
      <c r="DG10" s="274" t="s">
        <v>108</v>
      </c>
      <c r="DH10" s="275" t="s">
        <v>12</v>
      </c>
      <c r="DI10" s="273" t="s">
        <v>107</v>
      </c>
      <c r="DJ10" s="274" t="s">
        <v>108</v>
      </c>
      <c r="DK10" s="275" t="s">
        <v>12</v>
      </c>
      <c r="DL10" s="273" t="s">
        <v>107</v>
      </c>
      <c r="DM10" s="274" t="s">
        <v>108</v>
      </c>
      <c r="DN10" s="275" t="s">
        <v>12</v>
      </c>
      <c r="DO10" s="273" t="s">
        <v>107</v>
      </c>
      <c r="DP10" s="274" t="s">
        <v>108</v>
      </c>
      <c r="DQ10" s="275" t="s">
        <v>12</v>
      </c>
      <c r="DR10" s="273" t="s">
        <v>107</v>
      </c>
      <c r="DS10" s="274" t="s">
        <v>108</v>
      </c>
      <c r="DT10" s="275" t="s">
        <v>12</v>
      </c>
      <c r="DU10" s="273" t="s">
        <v>107</v>
      </c>
      <c r="DV10" s="274" t="s">
        <v>108</v>
      </c>
      <c r="DW10" s="275" t="s">
        <v>12</v>
      </c>
      <c r="DX10" s="273" t="s">
        <v>107</v>
      </c>
      <c r="DY10" s="274"/>
      <c r="DZ10" s="275"/>
      <c r="EA10" s="275"/>
      <c r="EB10" s="275" t="s">
        <v>109</v>
      </c>
      <c r="EC10" s="275" t="s">
        <v>109</v>
      </c>
      <c r="ED10" s="275" t="s">
        <v>12</v>
      </c>
      <c r="EE10" s="275" t="s">
        <v>108</v>
      </c>
      <c r="EG10" s="275" t="s">
        <v>109</v>
      </c>
      <c r="EH10" s="275" t="s">
        <v>12</v>
      </c>
      <c r="EI10" s="275" t="s">
        <v>108</v>
      </c>
      <c r="EJ10" s="275"/>
      <c r="EK10" s="275" t="s">
        <v>109</v>
      </c>
      <c r="EL10" s="275" t="s">
        <v>109</v>
      </c>
      <c r="EM10" s="275" t="s">
        <v>12</v>
      </c>
      <c r="EN10" s="275" t="s">
        <v>108</v>
      </c>
    </row>
    <row r="11" spans="1:147" x14ac:dyDescent="0.25">
      <c r="A11" s="255">
        <v>45536</v>
      </c>
      <c r="B11" s="241">
        <v>47200000</v>
      </c>
      <c r="C11" s="242">
        <v>5.2600000000000001E-2</v>
      </c>
      <c r="D11" s="241">
        <f t="shared" ref="D11:D40" si="0">(B11*C11)/360</f>
        <v>6896.4444444444443</v>
      </c>
      <c r="G11" s="241">
        <f t="shared" ref="G11:G40" si="1">(E11*F11)/360</f>
        <v>0</v>
      </c>
      <c r="J11" s="241">
        <f t="shared" ref="J11:J40" si="2">(H11*I11)/360</f>
        <v>0</v>
      </c>
      <c r="M11" s="241">
        <f t="shared" ref="M11:M40" si="3">(K11*L11)/360</f>
        <v>0</v>
      </c>
      <c r="P11" s="241">
        <f t="shared" ref="P11:P40" si="4">(N11*O11)/360</f>
        <v>0</v>
      </c>
      <c r="S11" s="241">
        <f t="shared" ref="S11:S40" si="5">(Q11*R11)/360</f>
        <v>0</v>
      </c>
      <c r="V11" s="241">
        <f t="shared" ref="V11:V40" si="6">(T11*U11)/360</f>
        <v>0</v>
      </c>
      <c r="Y11" s="241">
        <f t="shared" ref="Y11:Y40" si="7">(W11*X11)/360</f>
        <v>0</v>
      </c>
      <c r="AB11" s="241">
        <f t="shared" ref="AB11:AB40" si="8">(Z11*AA11)/360</f>
        <v>0</v>
      </c>
      <c r="AE11" s="241">
        <v>0</v>
      </c>
      <c r="AH11" s="241">
        <v>0</v>
      </c>
      <c r="AI11" s="256">
        <f>54725000</f>
        <v>54725000</v>
      </c>
      <c r="AJ11" s="257">
        <v>5.4699999999999999E-2</v>
      </c>
      <c r="AK11" s="241">
        <f t="shared" ref="AK11:AK40" si="9">(AI11*AJ11)/360</f>
        <v>8315.1597222222226</v>
      </c>
      <c r="AL11" s="256">
        <f t="shared" ref="AL11:AL40" si="10">50000000</f>
        <v>50000000</v>
      </c>
      <c r="AM11" s="257">
        <v>5.45E-2</v>
      </c>
      <c r="AN11" s="241">
        <f t="shared" ref="AN11:AN40" si="11">(AL11*AM11)/360</f>
        <v>7569.4444444444443</v>
      </c>
      <c r="AO11" s="256">
        <f t="shared" ref="AO11:AO35" si="12">60000000+65000000</f>
        <v>125000000</v>
      </c>
      <c r="AP11" s="257">
        <v>5.5E-2</v>
      </c>
      <c r="AQ11" s="241">
        <f t="shared" ref="AQ11:AQ40" si="13">(AO11*AP11)/360</f>
        <v>19097.222222222223</v>
      </c>
      <c r="AR11" s="256">
        <f t="shared" ref="AR11:AR19" si="14">40000000</f>
        <v>40000000</v>
      </c>
      <c r="AS11" s="257">
        <v>5.6000000000000001E-2</v>
      </c>
      <c r="AT11" s="241">
        <f t="shared" ref="AT11:AT40" si="15">(AR11*AS11)/360</f>
        <v>6222.2222222222226</v>
      </c>
      <c r="AW11" s="241">
        <f t="shared" ref="AW11:AW40" si="16">(AU11*AV11)/360</f>
        <v>0</v>
      </c>
      <c r="AZ11" s="241">
        <f t="shared" ref="AZ11:AZ40" si="17">(AX11*AY11)/360</f>
        <v>0</v>
      </c>
      <c r="BC11" s="241">
        <f t="shared" ref="BC11:BC40" si="18">(BA11*BB11)/360</f>
        <v>0</v>
      </c>
      <c r="BF11" s="241">
        <f t="shared" ref="BF11:BF40" si="19">(BD11*BE11)/360</f>
        <v>0</v>
      </c>
      <c r="BI11" s="241">
        <f t="shared" ref="BI11:BI40" si="20">(BG11*BH11)/360</f>
        <v>0</v>
      </c>
      <c r="BL11" s="241">
        <f t="shared" ref="BL11:BL40" si="21">(BJ11*BK11)/360</f>
        <v>0</v>
      </c>
      <c r="BO11" s="241">
        <f t="shared" ref="BO11:BO40" si="22">(BM11*BN11)/360</f>
        <v>0</v>
      </c>
      <c r="BR11" s="241">
        <f t="shared" ref="BR11:BR40" si="23">(BP11*BQ11)/360</f>
        <v>0</v>
      </c>
      <c r="BU11" s="241">
        <f t="shared" ref="BU11:BU40" si="24">(BS11*BT11)/360</f>
        <v>0</v>
      </c>
      <c r="BX11" s="241">
        <f t="shared" ref="BX11:BX40" si="25">(BV11*BW11)/360</f>
        <v>0</v>
      </c>
      <c r="CA11" s="241">
        <f t="shared" ref="CA11:CA40" si="26">(BY11*BZ11)/360</f>
        <v>0</v>
      </c>
      <c r="CD11" s="241">
        <f t="shared" ref="CD11:CD40" si="27">(CB11*CC11)/360</f>
        <v>0</v>
      </c>
      <c r="CG11" s="241">
        <f t="shared" ref="CG11:CG40" si="28">(CE11*CF11)/360</f>
        <v>0</v>
      </c>
      <c r="CJ11" s="241">
        <f t="shared" ref="CJ11:CJ40" si="29">(CH11*CI11)/360</f>
        <v>0</v>
      </c>
      <c r="CM11" s="241">
        <f t="shared" ref="CM11:CM40" si="30">(CK11*CL11)/360</f>
        <v>0</v>
      </c>
      <c r="CP11" s="241">
        <f t="shared" ref="CP11:CP40" si="31">(CN11*CO11)/360</f>
        <v>0</v>
      </c>
      <c r="CS11" s="241">
        <f t="shared" ref="CS11:CS40" si="32">(CQ11*CR11)/360</f>
        <v>0</v>
      </c>
      <c r="CV11" s="241">
        <f t="shared" ref="CV11:CV40" si="33">(CT11*CU11)/360</f>
        <v>0</v>
      </c>
      <c r="CY11" s="241">
        <f t="shared" ref="CY11:CY40" si="34">(CW11*CX11)/360</f>
        <v>0</v>
      </c>
      <c r="DB11" s="241">
        <f t="shared" ref="DB11:DB40" si="35">(CZ11*DA11)/360</f>
        <v>0</v>
      </c>
      <c r="DE11" s="241">
        <f t="shared" ref="DE11:DE40" si="36">(DC11*DD11)/360</f>
        <v>0</v>
      </c>
      <c r="DH11" s="241">
        <f t="shared" ref="DH11:DH40" si="37">(DF11*DG11)/360</f>
        <v>0</v>
      </c>
      <c r="DK11" s="241">
        <f t="shared" ref="DK11:DK40" si="38">(DI11*DJ11)/360</f>
        <v>0</v>
      </c>
      <c r="DN11" s="241">
        <f t="shared" ref="DN11:DN40" si="39">(DL11*DM11)/360</f>
        <v>0</v>
      </c>
      <c r="DQ11" s="241">
        <f t="shared" ref="DQ11:DQ40" si="40">(DO11*DP11)/360</f>
        <v>0</v>
      </c>
      <c r="DT11" s="241">
        <f t="shared" ref="DT11:DT40" si="41">(DR11*DS11)/360</f>
        <v>0</v>
      </c>
      <c r="DW11" s="241">
        <f t="shared" ref="DW11:DW40" si="42">(DU11*DV11)/360</f>
        <v>0</v>
      </c>
      <c r="DZ11" s="241"/>
      <c r="EA11" s="241"/>
      <c r="EB11" s="261">
        <f t="shared" ref="EB11:EB40" si="43">B11+E11+H11+K11+N11+Q11+T11+W11+Z11+AC11+AF11+AL11+AO11+AR11+AU11+AX11+BA11+BD11+BG11+DU11+AI11+DR11+DO11+DL11+DI11+DF11+DC11+CZ11+CW11+CT11+CQ11+CN11+CK11+CH11+CE11+CB11+BY11+BV11+BS11+BP11+BM11+BJ11</f>
        <v>316925000</v>
      </c>
      <c r="EC11" s="261">
        <f t="shared" ref="EC11:EC40" si="44">EB11-EK11+EL11</f>
        <v>47200000</v>
      </c>
      <c r="ED11" s="241">
        <f t="shared" ref="ED11:ED40" si="45">D11+G11+J11+M11+P11+S11+V11+Y11+AB11+AE11+AH11+AK11+AN11+AQ11+AT11+AW11+AZ11+BC11+BF11+BI11+DW11+DT11+DQ11+DN11+DK11+DH11+DE11+DB11+CY11+CV11+CS11+CP11+CM11+CJ11+CG11+CD11+CA11+BX11+BU11+BR11+BO11+BL11</f>
        <v>48100.493055555562</v>
      </c>
      <c r="EE11" s="242">
        <f t="shared" ref="EE11:EE40" si="46">IF(EB11&lt;&gt;0,((ED11/EB11)*360),0)</f>
        <v>5.4638092608661364E-2</v>
      </c>
      <c r="EG11" s="261">
        <f t="shared" ref="EG11:EG40" si="47">Q11+T11+W11+Z11+AC11+AF11</f>
        <v>0</v>
      </c>
      <c r="EH11" s="241">
        <f t="shared" ref="EH11:EH40" si="48">S11+V11+Y11+AB11+AE11+AH11</f>
        <v>0</v>
      </c>
      <c r="EI11" s="242">
        <f t="shared" ref="EI11:EI40" si="49">IF(EG11&lt;&gt;0,((EH11/EG11)*360),0)</f>
        <v>0</v>
      </c>
      <c r="EJ11" s="242"/>
      <c r="EK11" s="261">
        <f t="shared" ref="EK11:EK40" si="50">DR11+DL11+DI11+DF11+DC11+CZ11+CW11+CT11+CQ11+CN11+CK11+CH11+CE11+CB11+BY11+BV11+BS11+BP11+BM11+BJ11+BG11+BD11+BA11+AX11+AU11+AR11+AO11+AL11+AI11+DO11</f>
        <v>269725000</v>
      </c>
      <c r="EL11" s="261">
        <f t="shared" ref="EL11:EL40" si="51">DX11</f>
        <v>0</v>
      </c>
      <c r="EM11" s="261">
        <f t="shared" ref="EM11:EM40" si="52">DT11+DQ11+DN11+DK11+DH11+DE11+DB11+CY11+CV11+CS11+CP11+CM11+CJ11+CG11+CD11+CA11+BX11+BU11+BR11+BO11+BL11+BI11+BF11+BC11+AZ11+AW11+AT11+AQ11+AN11+AK11</f>
        <v>41204.048611111109</v>
      </c>
      <c r="EN11" s="242">
        <f t="shared" ref="EN11:EN40" si="53">IF(EK11&lt;&gt;0,((EM11/EK11)*360),0)</f>
        <v>5.4994744647325976E-2</v>
      </c>
      <c r="EP11" s="241"/>
    </row>
    <row r="12" spans="1:147" x14ac:dyDescent="0.25">
      <c r="A12" s="255">
        <f t="shared" ref="A12:A40" si="54">1+A11</f>
        <v>45537</v>
      </c>
      <c r="B12" s="241">
        <v>47200000</v>
      </c>
      <c r="C12" s="242">
        <v>5.2600000000000001E-2</v>
      </c>
      <c r="D12" s="241">
        <f t="shared" si="0"/>
        <v>6896.4444444444443</v>
      </c>
      <c r="G12" s="241">
        <f t="shared" si="1"/>
        <v>0</v>
      </c>
      <c r="J12" s="241">
        <f t="shared" si="2"/>
        <v>0</v>
      </c>
      <c r="M12" s="241">
        <f t="shared" si="3"/>
        <v>0</v>
      </c>
      <c r="P12" s="241">
        <f t="shared" si="4"/>
        <v>0</v>
      </c>
      <c r="S12" s="241">
        <f t="shared" si="5"/>
        <v>0</v>
      </c>
      <c r="V12" s="241">
        <f t="shared" si="6"/>
        <v>0</v>
      </c>
      <c r="Y12" s="241">
        <f t="shared" si="7"/>
        <v>0</v>
      </c>
      <c r="AB12" s="241">
        <f t="shared" si="8"/>
        <v>0</v>
      </c>
      <c r="AE12" s="241">
        <v>0</v>
      </c>
      <c r="AH12" s="241">
        <v>0</v>
      </c>
      <c r="AI12" s="256">
        <f>54725000</f>
        <v>54725000</v>
      </c>
      <c r="AJ12" s="257">
        <v>5.4699999999999999E-2</v>
      </c>
      <c r="AK12" s="241">
        <f t="shared" si="9"/>
        <v>8315.1597222222226</v>
      </c>
      <c r="AL12" s="256">
        <f t="shared" si="10"/>
        <v>50000000</v>
      </c>
      <c r="AM12" s="257">
        <v>5.45E-2</v>
      </c>
      <c r="AN12" s="241">
        <f t="shared" si="11"/>
        <v>7569.4444444444443</v>
      </c>
      <c r="AO12" s="256">
        <f t="shared" si="12"/>
        <v>125000000</v>
      </c>
      <c r="AP12" s="257">
        <v>5.5E-2</v>
      </c>
      <c r="AQ12" s="241">
        <f t="shared" si="13"/>
        <v>19097.222222222223</v>
      </c>
      <c r="AR12" s="256">
        <f t="shared" si="14"/>
        <v>40000000</v>
      </c>
      <c r="AS12" s="257">
        <v>5.6000000000000001E-2</v>
      </c>
      <c r="AT12" s="241">
        <f t="shared" si="15"/>
        <v>6222.2222222222226</v>
      </c>
      <c r="AW12" s="241">
        <f t="shared" si="16"/>
        <v>0</v>
      </c>
      <c r="AZ12" s="241">
        <f t="shared" si="17"/>
        <v>0</v>
      </c>
      <c r="BC12" s="241">
        <f t="shared" si="18"/>
        <v>0</v>
      </c>
      <c r="BF12" s="241">
        <f t="shared" si="19"/>
        <v>0</v>
      </c>
      <c r="BI12" s="241">
        <f t="shared" si="20"/>
        <v>0</v>
      </c>
      <c r="BL12" s="241">
        <f t="shared" si="21"/>
        <v>0</v>
      </c>
      <c r="BO12" s="241">
        <f t="shared" si="22"/>
        <v>0</v>
      </c>
      <c r="BR12" s="241">
        <f t="shared" si="23"/>
        <v>0</v>
      </c>
      <c r="BU12" s="241">
        <f t="shared" si="24"/>
        <v>0</v>
      </c>
      <c r="BX12" s="241">
        <f t="shared" si="25"/>
        <v>0</v>
      </c>
      <c r="CA12" s="241">
        <f t="shared" si="26"/>
        <v>0</v>
      </c>
      <c r="CD12" s="241">
        <f t="shared" si="27"/>
        <v>0</v>
      </c>
      <c r="CG12" s="241">
        <f t="shared" si="28"/>
        <v>0</v>
      </c>
      <c r="CJ12" s="241">
        <f t="shared" si="29"/>
        <v>0</v>
      </c>
      <c r="CM12" s="241">
        <f t="shared" si="30"/>
        <v>0</v>
      </c>
      <c r="CP12" s="241">
        <f t="shared" si="31"/>
        <v>0</v>
      </c>
      <c r="CS12" s="241">
        <f t="shared" si="32"/>
        <v>0</v>
      </c>
      <c r="CV12" s="241">
        <f t="shared" si="33"/>
        <v>0</v>
      </c>
      <c r="CY12" s="241">
        <f t="shared" si="34"/>
        <v>0</v>
      </c>
      <c r="DB12" s="241">
        <f t="shared" si="35"/>
        <v>0</v>
      </c>
      <c r="DE12" s="241">
        <f t="shared" si="36"/>
        <v>0</v>
      </c>
      <c r="DH12" s="241">
        <f t="shared" si="37"/>
        <v>0</v>
      </c>
      <c r="DK12" s="241">
        <f t="shared" si="38"/>
        <v>0</v>
      </c>
      <c r="DN12" s="241">
        <f t="shared" si="39"/>
        <v>0</v>
      </c>
      <c r="DQ12" s="241">
        <f t="shared" si="40"/>
        <v>0</v>
      </c>
      <c r="DT12" s="241">
        <f t="shared" si="41"/>
        <v>0</v>
      </c>
      <c r="DW12" s="241">
        <f t="shared" si="42"/>
        <v>0</v>
      </c>
      <c r="DZ12" s="241"/>
      <c r="EA12" s="241"/>
      <c r="EB12" s="261">
        <f t="shared" si="43"/>
        <v>316925000</v>
      </c>
      <c r="EC12" s="261">
        <f t="shared" si="44"/>
        <v>47200000</v>
      </c>
      <c r="ED12" s="241">
        <f t="shared" si="45"/>
        <v>48100.493055555562</v>
      </c>
      <c r="EE12" s="242">
        <f t="shared" si="46"/>
        <v>5.4638092608661364E-2</v>
      </c>
      <c r="EG12" s="261">
        <f t="shared" si="47"/>
        <v>0</v>
      </c>
      <c r="EH12" s="241">
        <f t="shared" si="48"/>
        <v>0</v>
      </c>
      <c r="EI12" s="242">
        <f t="shared" si="49"/>
        <v>0</v>
      </c>
      <c r="EJ12" s="242"/>
      <c r="EK12" s="261">
        <f t="shared" si="50"/>
        <v>269725000</v>
      </c>
      <c r="EL12" s="261">
        <f t="shared" si="51"/>
        <v>0</v>
      </c>
      <c r="EM12" s="261">
        <f t="shared" si="52"/>
        <v>41204.048611111109</v>
      </c>
      <c r="EN12" s="242">
        <f t="shared" si="53"/>
        <v>5.4994744647325976E-2</v>
      </c>
      <c r="EP12" s="241"/>
    </row>
    <row r="13" spans="1:147" x14ac:dyDescent="0.25">
      <c r="A13" s="255">
        <f t="shared" si="54"/>
        <v>45538</v>
      </c>
      <c r="B13" s="241">
        <v>0</v>
      </c>
      <c r="C13" s="242">
        <v>5.4290450000000004E-2</v>
      </c>
      <c r="D13" s="241">
        <f t="shared" si="0"/>
        <v>0</v>
      </c>
      <c r="G13" s="241">
        <f t="shared" si="1"/>
        <v>0</v>
      </c>
      <c r="J13" s="241">
        <f t="shared" si="2"/>
        <v>0</v>
      </c>
      <c r="M13" s="241">
        <f t="shared" si="3"/>
        <v>0</v>
      </c>
      <c r="P13" s="241">
        <f t="shared" si="4"/>
        <v>0</v>
      </c>
      <c r="S13" s="241">
        <f t="shared" si="5"/>
        <v>0</v>
      </c>
      <c r="V13" s="241">
        <f t="shared" si="6"/>
        <v>0</v>
      </c>
      <c r="Y13" s="241">
        <f t="shared" si="7"/>
        <v>0</v>
      </c>
      <c r="AB13" s="241">
        <f t="shared" si="8"/>
        <v>0</v>
      </c>
      <c r="AE13" s="241">
        <v>0</v>
      </c>
      <c r="AH13" s="241">
        <v>0</v>
      </c>
      <c r="AI13" s="256">
        <f>91025000+15000000</f>
        <v>106025000</v>
      </c>
      <c r="AJ13" s="257">
        <v>5.4699999999999999E-2</v>
      </c>
      <c r="AK13" s="241">
        <f t="shared" si="9"/>
        <v>16109.909722222223</v>
      </c>
      <c r="AL13" s="256">
        <f t="shared" si="10"/>
        <v>50000000</v>
      </c>
      <c r="AM13" s="257">
        <v>5.45E-2</v>
      </c>
      <c r="AN13" s="241">
        <f t="shared" si="11"/>
        <v>7569.4444444444443</v>
      </c>
      <c r="AO13" s="256">
        <f t="shared" si="12"/>
        <v>125000000</v>
      </c>
      <c r="AP13" s="257">
        <v>5.5E-2</v>
      </c>
      <c r="AQ13" s="241">
        <f t="shared" si="13"/>
        <v>19097.222222222223</v>
      </c>
      <c r="AR13" s="256">
        <f t="shared" si="14"/>
        <v>40000000</v>
      </c>
      <c r="AS13" s="257">
        <v>5.6000000000000001E-2</v>
      </c>
      <c r="AT13" s="241">
        <f t="shared" si="15"/>
        <v>6222.2222222222226</v>
      </c>
      <c r="AW13" s="241">
        <f t="shared" si="16"/>
        <v>0</v>
      </c>
      <c r="AZ13" s="241">
        <f t="shared" si="17"/>
        <v>0</v>
      </c>
      <c r="BC13" s="241">
        <f t="shared" si="18"/>
        <v>0</v>
      </c>
      <c r="BF13" s="241">
        <f t="shared" si="19"/>
        <v>0</v>
      </c>
      <c r="BI13" s="241">
        <f t="shared" si="20"/>
        <v>0</v>
      </c>
      <c r="BL13" s="241">
        <f t="shared" si="21"/>
        <v>0</v>
      </c>
      <c r="BO13" s="241">
        <f t="shared" si="22"/>
        <v>0</v>
      </c>
      <c r="BR13" s="241">
        <f t="shared" si="23"/>
        <v>0</v>
      </c>
      <c r="BU13" s="241">
        <f t="shared" si="24"/>
        <v>0</v>
      </c>
      <c r="BX13" s="241">
        <f t="shared" si="25"/>
        <v>0</v>
      </c>
      <c r="CA13" s="241">
        <f t="shared" si="26"/>
        <v>0</v>
      </c>
      <c r="CD13" s="241">
        <f t="shared" si="27"/>
        <v>0</v>
      </c>
      <c r="CG13" s="241">
        <f t="shared" si="28"/>
        <v>0</v>
      </c>
      <c r="CJ13" s="241">
        <f t="shared" si="29"/>
        <v>0</v>
      </c>
      <c r="CM13" s="241">
        <f t="shared" si="30"/>
        <v>0</v>
      </c>
      <c r="CP13" s="241">
        <f t="shared" si="31"/>
        <v>0</v>
      </c>
      <c r="CS13" s="241">
        <f t="shared" si="32"/>
        <v>0</v>
      </c>
      <c r="CV13" s="241">
        <f t="shared" si="33"/>
        <v>0</v>
      </c>
      <c r="CY13" s="241">
        <f t="shared" si="34"/>
        <v>0</v>
      </c>
      <c r="DB13" s="241">
        <f t="shared" si="35"/>
        <v>0</v>
      </c>
      <c r="DE13" s="241">
        <f t="shared" si="36"/>
        <v>0</v>
      </c>
      <c r="DH13" s="241">
        <f t="shared" si="37"/>
        <v>0</v>
      </c>
      <c r="DK13" s="241">
        <f t="shared" si="38"/>
        <v>0</v>
      </c>
      <c r="DN13" s="241">
        <f t="shared" si="39"/>
        <v>0</v>
      </c>
      <c r="DQ13" s="241">
        <f t="shared" si="40"/>
        <v>0</v>
      </c>
      <c r="DT13" s="241">
        <f t="shared" si="41"/>
        <v>0</v>
      </c>
      <c r="DW13" s="241">
        <f t="shared" si="42"/>
        <v>0</v>
      </c>
      <c r="DZ13" s="241"/>
      <c r="EA13" s="241"/>
      <c r="EB13" s="261">
        <f t="shared" si="43"/>
        <v>321025000</v>
      </c>
      <c r="EC13" s="261">
        <f t="shared" si="44"/>
        <v>0</v>
      </c>
      <c r="ED13" s="241">
        <f t="shared" si="45"/>
        <v>48998.798611111109</v>
      </c>
      <c r="EE13" s="242">
        <f t="shared" si="46"/>
        <v>5.4947644264465384E-2</v>
      </c>
      <c r="EG13" s="261">
        <f t="shared" si="47"/>
        <v>0</v>
      </c>
      <c r="EH13" s="241">
        <f t="shared" si="48"/>
        <v>0</v>
      </c>
      <c r="EI13" s="242">
        <f t="shared" si="49"/>
        <v>0</v>
      </c>
      <c r="EJ13" s="242"/>
      <c r="EK13" s="261">
        <f t="shared" si="50"/>
        <v>321025000</v>
      </c>
      <c r="EL13" s="261">
        <f t="shared" si="51"/>
        <v>0</v>
      </c>
      <c r="EM13" s="261">
        <f t="shared" si="52"/>
        <v>48998.798611111109</v>
      </c>
      <c r="EN13" s="242">
        <f t="shared" si="53"/>
        <v>5.4947644264465384E-2</v>
      </c>
      <c r="EP13" s="241"/>
    </row>
    <row r="14" spans="1:147" x14ac:dyDescent="0.25">
      <c r="A14" s="255">
        <f t="shared" si="54"/>
        <v>45539</v>
      </c>
      <c r="B14" s="241">
        <v>15500000</v>
      </c>
      <c r="C14" s="242">
        <v>5.3539940000000001E-2</v>
      </c>
      <c r="D14" s="241">
        <f t="shared" si="0"/>
        <v>2305.1918611111114</v>
      </c>
      <c r="G14" s="241">
        <f t="shared" si="1"/>
        <v>0</v>
      </c>
      <c r="J14" s="241">
        <f t="shared" si="2"/>
        <v>0</v>
      </c>
      <c r="M14" s="241">
        <f t="shared" si="3"/>
        <v>0</v>
      </c>
      <c r="P14" s="241">
        <f t="shared" si="4"/>
        <v>0</v>
      </c>
      <c r="S14" s="241">
        <f t="shared" si="5"/>
        <v>0</v>
      </c>
      <c r="V14" s="241">
        <f t="shared" si="6"/>
        <v>0</v>
      </c>
      <c r="Y14" s="241">
        <f t="shared" si="7"/>
        <v>0</v>
      </c>
      <c r="AB14" s="241">
        <f t="shared" si="8"/>
        <v>0</v>
      </c>
      <c r="AE14" s="241">
        <v>0</v>
      </c>
      <c r="AH14" s="241">
        <v>0</v>
      </c>
      <c r="AI14" s="256">
        <f>20000000+54875000</f>
        <v>74875000</v>
      </c>
      <c r="AJ14" s="257">
        <v>5.4699999999999999E-2</v>
      </c>
      <c r="AK14" s="241">
        <f t="shared" si="9"/>
        <v>11376.840277777777</v>
      </c>
      <c r="AL14" s="256">
        <f t="shared" si="10"/>
        <v>50000000</v>
      </c>
      <c r="AM14" s="257">
        <v>5.45E-2</v>
      </c>
      <c r="AN14" s="241">
        <f t="shared" si="11"/>
        <v>7569.4444444444443</v>
      </c>
      <c r="AO14" s="256">
        <f t="shared" si="12"/>
        <v>125000000</v>
      </c>
      <c r="AP14" s="257">
        <v>5.5E-2</v>
      </c>
      <c r="AQ14" s="241">
        <f t="shared" si="13"/>
        <v>19097.222222222223</v>
      </c>
      <c r="AR14" s="256">
        <f t="shared" si="14"/>
        <v>40000000</v>
      </c>
      <c r="AS14" s="257">
        <v>5.6000000000000001E-2</v>
      </c>
      <c r="AT14" s="241">
        <f t="shared" si="15"/>
        <v>6222.2222222222226</v>
      </c>
      <c r="AW14" s="241">
        <f t="shared" si="16"/>
        <v>0</v>
      </c>
      <c r="AZ14" s="241">
        <f t="shared" si="17"/>
        <v>0</v>
      </c>
      <c r="BC14" s="241">
        <f t="shared" si="18"/>
        <v>0</v>
      </c>
      <c r="BF14" s="241">
        <f t="shared" si="19"/>
        <v>0</v>
      </c>
      <c r="BI14" s="241">
        <f t="shared" si="20"/>
        <v>0</v>
      </c>
      <c r="BL14" s="241">
        <f t="shared" si="21"/>
        <v>0</v>
      </c>
      <c r="BO14" s="241">
        <f t="shared" si="22"/>
        <v>0</v>
      </c>
      <c r="BR14" s="241">
        <f t="shared" si="23"/>
        <v>0</v>
      </c>
      <c r="BU14" s="241">
        <f t="shared" si="24"/>
        <v>0</v>
      </c>
      <c r="BX14" s="241">
        <f t="shared" si="25"/>
        <v>0</v>
      </c>
      <c r="CA14" s="241">
        <f t="shared" si="26"/>
        <v>0</v>
      </c>
      <c r="CD14" s="241">
        <f t="shared" si="27"/>
        <v>0</v>
      </c>
      <c r="CG14" s="241">
        <f t="shared" si="28"/>
        <v>0</v>
      </c>
      <c r="CJ14" s="241">
        <f t="shared" si="29"/>
        <v>0</v>
      </c>
      <c r="CM14" s="241">
        <f t="shared" si="30"/>
        <v>0</v>
      </c>
      <c r="CP14" s="241">
        <f t="shared" si="31"/>
        <v>0</v>
      </c>
      <c r="CS14" s="241">
        <f t="shared" si="32"/>
        <v>0</v>
      </c>
      <c r="CV14" s="241">
        <f t="shared" si="33"/>
        <v>0</v>
      </c>
      <c r="CY14" s="241">
        <f t="shared" si="34"/>
        <v>0</v>
      </c>
      <c r="DB14" s="241">
        <f t="shared" si="35"/>
        <v>0</v>
      </c>
      <c r="DE14" s="241">
        <f t="shared" si="36"/>
        <v>0</v>
      </c>
      <c r="DH14" s="241">
        <f t="shared" si="37"/>
        <v>0</v>
      </c>
      <c r="DK14" s="241">
        <f t="shared" si="38"/>
        <v>0</v>
      </c>
      <c r="DN14" s="241">
        <f t="shared" si="39"/>
        <v>0</v>
      </c>
      <c r="DQ14" s="241">
        <f t="shared" si="40"/>
        <v>0</v>
      </c>
      <c r="DT14" s="241">
        <f t="shared" si="41"/>
        <v>0</v>
      </c>
      <c r="DW14" s="241">
        <f t="shared" si="42"/>
        <v>0</v>
      </c>
      <c r="DZ14" s="241"/>
      <c r="EA14" s="241"/>
      <c r="EB14" s="261">
        <f t="shared" si="43"/>
        <v>305375000</v>
      </c>
      <c r="EC14" s="261">
        <f t="shared" si="44"/>
        <v>15500000</v>
      </c>
      <c r="ED14" s="241">
        <f t="shared" si="45"/>
        <v>46570.921027777775</v>
      </c>
      <c r="EE14" s="242">
        <f t="shared" si="46"/>
        <v>5.4901454179287754E-2</v>
      </c>
      <c r="EG14" s="261">
        <f t="shared" si="47"/>
        <v>0</v>
      </c>
      <c r="EH14" s="241">
        <f t="shared" si="48"/>
        <v>0</v>
      </c>
      <c r="EI14" s="242">
        <f t="shared" si="49"/>
        <v>0</v>
      </c>
      <c r="EJ14" s="242"/>
      <c r="EK14" s="261">
        <f t="shared" si="50"/>
        <v>289875000</v>
      </c>
      <c r="EL14" s="261">
        <f t="shared" si="51"/>
        <v>0</v>
      </c>
      <c r="EM14" s="261">
        <f t="shared" si="52"/>
        <v>44265.729166666672</v>
      </c>
      <c r="EN14" s="242">
        <f t="shared" si="53"/>
        <v>5.4974256144890044E-2</v>
      </c>
      <c r="EP14" s="241"/>
    </row>
    <row r="15" spans="1:147" x14ac:dyDescent="0.25">
      <c r="A15" s="255">
        <f t="shared" si="54"/>
        <v>45540</v>
      </c>
      <c r="B15" s="241">
        <v>475000</v>
      </c>
      <c r="C15" s="242">
        <v>5.2199999999999996E-2</v>
      </c>
      <c r="D15" s="241">
        <f t="shared" si="0"/>
        <v>68.875</v>
      </c>
      <c r="G15" s="241">
        <f t="shared" si="1"/>
        <v>0</v>
      </c>
      <c r="J15" s="241">
        <f t="shared" si="2"/>
        <v>0</v>
      </c>
      <c r="M15" s="241">
        <f t="shared" si="3"/>
        <v>0</v>
      </c>
      <c r="P15" s="241">
        <f t="shared" si="4"/>
        <v>0</v>
      </c>
      <c r="S15" s="241">
        <f t="shared" si="5"/>
        <v>0</v>
      </c>
      <c r="V15" s="241">
        <f t="shared" si="6"/>
        <v>0</v>
      </c>
      <c r="Y15" s="241">
        <f t="shared" si="7"/>
        <v>0</v>
      </c>
      <c r="AB15" s="241">
        <f t="shared" si="8"/>
        <v>0</v>
      </c>
      <c r="AE15" s="241">
        <v>0</v>
      </c>
      <c r="AH15" s="241">
        <v>0</v>
      </c>
      <c r="AI15" s="256">
        <f>58875000+30000000</f>
        <v>88875000</v>
      </c>
      <c r="AJ15" s="257">
        <v>5.4699999999999999E-2</v>
      </c>
      <c r="AK15" s="241">
        <f t="shared" si="9"/>
        <v>13504.0625</v>
      </c>
      <c r="AL15" s="256">
        <f t="shared" si="10"/>
        <v>50000000</v>
      </c>
      <c r="AM15" s="257">
        <v>5.45E-2</v>
      </c>
      <c r="AN15" s="241">
        <f t="shared" si="11"/>
        <v>7569.4444444444443</v>
      </c>
      <c r="AO15" s="256">
        <f t="shared" si="12"/>
        <v>125000000</v>
      </c>
      <c r="AP15" s="257">
        <v>5.5E-2</v>
      </c>
      <c r="AQ15" s="241">
        <f t="shared" si="13"/>
        <v>19097.222222222223</v>
      </c>
      <c r="AR15" s="256">
        <f t="shared" si="14"/>
        <v>40000000</v>
      </c>
      <c r="AS15" s="257">
        <v>5.6000000000000001E-2</v>
      </c>
      <c r="AT15" s="241">
        <f t="shared" si="15"/>
        <v>6222.2222222222226</v>
      </c>
      <c r="AW15" s="241">
        <f t="shared" si="16"/>
        <v>0</v>
      </c>
      <c r="AZ15" s="241">
        <f t="shared" si="17"/>
        <v>0</v>
      </c>
      <c r="BC15" s="241">
        <f t="shared" si="18"/>
        <v>0</v>
      </c>
      <c r="BF15" s="241">
        <f t="shared" si="19"/>
        <v>0</v>
      </c>
      <c r="BI15" s="241">
        <f t="shared" si="20"/>
        <v>0</v>
      </c>
      <c r="BL15" s="241">
        <f t="shared" si="21"/>
        <v>0</v>
      </c>
      <c r="BO15" s="241">
        <f t="shared" si="22"/>
        <v>0</v>
      </c>
      <c r="BR15" s="241">
        <f t="shared" si="23"/>
        <v>0</v>
      </c>
      <c r="BU15" s="241">
        <f t="shared" si="24"/>
        <v>0</v>
      </c>
      <c r="BX15" s="241">
        <f t="shared" si="25"/>
        <v>0</v>
      </c>
      <c r="CA15" s="241">
        <f t="shared" si="26"/>
        <v>0</v>
      </c>
      <c r="CD15" s="241">
        <f t="shared" si="27"/>
        <v>0</v>
      </c>
      <c r="CG15" s="241">
        <f t="shared" si="28"/>
        <v>0</v>
      </c>
      <c r="CJ15" s="241">
        <f t="shared" si="29"/>
        <v>0</v>
      </c>
      <c r="CM15" s="241">
        <f t="shared" si="30"/>
        <v>0</v>
      </c>
      <c r="CP15" s="241">
        <f t="shared" si="31"/>
        <v>0</v>
      </c>
      <c r="CS15" s="241">
        <f t="shared" si="32"/>
        <v>0</v>
      </c>
      <c r="CV15" s="241">
        <f t="shared" si="33"/>
        <v>0</v>
      </c>
      <c r="CY15" s="241">
        <f t="shared" si="34"/>
        <v>0</v>
      </c>
      <c r="DB15" s="241">
        <f t="shared" si="35"/>
        <v>0</v>
      </c>
      <c r="DE15" s="241">
        <f t="shared" si="36"/>
        <v>0</v>
      </c>
      <c r="DH15" s="241">
        <f t="shared" si="37"/>
        <v>0</v>
      </c>
      <c r="DK15" s="241">
        <f t="shared" si="38"/>
        <v>0</v>
      </c>
      <c r="DN15" s="241">
        <f t="shared" si="39"/>
        <v>0</v>
      </c>
      <c r="DQ15" s="241">
        <f t="shared" si="40"/>
        <v>0</v>
      </c>
      <c r="DT15" s="241">
        <f t="shared" si="41"/>
        <v>0</v>
      </c>
      <c r="DW15" s="241">
        <f t="shared" si="42"/>
        <v>0</v>
      </c>
      <c r="DZ15" s="241"/>
      <c r="EA15" s="241"/>
      <c r="EB15" s="261">
        <f t="shared" si="43"/>
        <v>304350000</v>
      </c>
      <c r="EC15" s="261">
        <f t="shared" si="44"/>
        <v>475000</v>
      </c>
      <c r="ED15" s="241">
        <f t="shared" si="45"/>
        <v>46461.826388888891</v>
      </c>
      <c r="EE15" s="242">
        <f t="shared" si="46"/>
        <v>5.4957310662066695E-2</v>
      </c>
      <c r="EG15" s="261">
        <f t="shared" si="47"/>
        <v>0</v>
      </c>
      <c r="EH15" s="241">
        <f t="shared" si="48"/>
        <v>0</v>
      </c>
      <c r="EI15" s="242">
        <f t="shared" si="49"/>
        <v>0</v>
      </c>
      <c r="EJ15" s="242"/>
      <c r="EK15" s="261">
        <f t="shared" si="50"/>
        <v>303875000</v>
      </c>
      <c r="EL15" s="261">
        <f t="shared" si="51"/>
        <v>0</v>
      </c>
      <c r="EM15" s="261">
        <f t="shared" si="52"/>
        <v>46392.951388888891</v>
      </c>
      <c r="EN15" s="242">
        <f t="shared" si="53"/>
        <v>5.496162073220897E-2</v>
      </c>
      <c r="EP15" s="241"/>
    </row>
    <row r="16" spans="1:147" x14ac:dyDescent="0.25">
      <c r="A16" s="255">
        <f t="shared" si="54"/>
        <v>45541</v>
      </c>
      <c r="B16" s="241">
        <v>5750000</v>
      </c>
      <c r="C16" s="242">
        <v>5.21E-2</v>
      </c>
      <c r="D16" s="241">
        <f t="shared" si="0"/>
        <v>832.15277777777783</v>
      </c>
      <c r="G16" s="241">
        <f t="shared" si="1"/>
        <v>0</v>
      </c>
      <c r="J16" s="241">
        <f t="shared" si="2"/>
        <v>0</v>
      </c>
      <c r="M16" s="241">
        <f t="shared" si="3"/>
        <v>0</v>
      </c>
      <c r="P16" s="241">
        <f t="shared" si="4"/>
        <v>0</v>
      </c>
      <c r="S16" s="241">
        <f t="shared" si="5"/>
        <v>0</v>
      </c>
      <c r="V16" s="241">
        <f t="shared" si="6"/>
        <v>0</v>
      </c>
      <c r="Y16" s="241">
        <f t="shared" si="7"/>
        <v>0</v>
      </c>
      <c r="AB16" s="241">
        <f t="shared" si="8"/>
        <v>0</v>
      </c>
      <c r="AE16" s="241">
        <v>0</v>
      </c>
      <c r="AH16" s="241">
        <v>0</v>
      </c>
      <c r="AI16" s="256">
        <f>41975000+35000000</f>
        <v>76975000</v>
      </c>
      <c r="AJ16" s="257">
        <v>5.4699999999999999E-2</v>
      </c>
      <c r="AK16" s="241">
        <f t="shared" si="9"/>
        <v>11695.923611111111</v>
      </c>
      <c r="AL16" s="256">
        <f t="shared" si="10"/>
        <v>50000000</v>
      </c>
      <c r="AM16" s="257">
        <v>5.45E-2</v>
      </c>
      <c r="AN16" s="241">
        <f t="shared" si="11"/>
        <v>7569.4444444444443</v>
      </c>
      <c r="AO16" s="256">
        <f t="shared" si="12"/>
        <v>125000000</v>
      </c>
      <c r="AP16" s="257">
        <v>5.5E-2</v>
      </c>
      <c r="AQ16" s="241">
        <f t="shared" si="13"/>
        <v>19097.222222222223</v>
      </c>
      <c r="AR16" s="256">
        <f t="shared" si="14"/>
        <v>40000000</v>
      </c>
      <c r="AS16" s="257">
        <v>5.6000000000000001E-2</v>
      </c>
      <c r="AT16" s="241">
        <f t="shared" si="15"/>
        <v>6222.2222222222226</v>
      </c>
      <c r="AW16" s="241">
        <f t="shared" si="16"/>
        <v>0</v>
      </c>
      <c r="AZ16" s="241">
        <f t="shared" si="17"/>
        <v>0</v>
      </c>
      <c r="BC16" s="241">
        <f t="shared" si="18"/>
        <v>0</v>
      </c>
      <c r="BF16" s="241">
        <f t="shared" si="19"/>
        <v>0</v>
      </c>
      <c r="BI16" s="241">
        <f t="shared" si="20"/>
        <v>0</v>
      </c>
      <c r="BL16" s="241">
        <f t="shared" si="21"/>
        <v>0</v>
      </c>
      <c r="BO16" s="241">
        <f t="shared" si="22"/>
        <v>0</v>
      </c>
      <c r="BR16" s="241">
        <f t="shared" si="23"/>
        <v>0</v>
      </c>
      <c r="BU16" s="241">
        <f t="shared" si="24"/>
        <v>0</v>
      </c>
      <c r="BX16" s="241">
        <f t="shared" si="25"/>
        <v>0</v>
      </c>
      <c r="CA16" s="241">
        <f t="shared" si="26"/>
        <v>0</v>
      </c>
      <c r="CD16" s="241">
        <f t="shared" si="27"/>
        <v>0</v>
      </c>
      <c r="CG16" s="241">
        <f t="shared" si="28"/>
        <v>0</v>
      </c>
      <c r="CJ16" s="241">
        <f t="shared" si="29"/>
        <v>0</v>
      </c>
      <c r="CM16" s="241">
        <f t="shared" si="30"/>
        <v>0</v>
      </c>
      <c r="CP16" s="241">
        <f t="shared" si="31"/>
        <v>0</v>
      </c>
      <c r="CS16" s="241">
        <f t="shared" si="32"/>
        <v>0</v>
      </c>
      <c r="CV16" s="241">
        <f t="shared" si="33"/>
        <v>0</v>
      </c>
      <c r="CY16" s="241">
        <f t="shared" si="34"/>
        <v>0</v>
      </c>
      <c r="DB16" s="241">
        <f t="shared" si="35"/>
        <v>0</v>
      </c>
      <c r="DE16" s="241">
        <f t="shared" si="36"/>
        <v>0</v>
      </c>
      <c r="DH16" s="241">
        <f t="shared" si="37"/>
        <v>0</v>
      </c>
      <c r="DK16" s="241">
        <f t="shared" si="38"/>
        <v>0</v>
      </c>
      <c r="DN16" s="241">
        <f t="shared" si="39"/>
        <v>0</v>
      </c>
      <c r="DQ16" s="241">
        <f t="shared" si="40"/>
        <v>0</v>
      </c>
      <c r="DT16" s="241">
        <f t="shared" si="41"/>
        <v>0</v>
      </c>
      <c r="DW16" s="241">
        <f t="shared" si="42"/>
        <v>0</v>
      </c>
      <c r="DZ16" s="241"/>
      <c r="EA16" s="241"/>
      <c r="EB16" s="261">
        <f t="shared" si="43"/>
        <v>297725000</v>
      </c>
      <c r="EC16" s="261">
        <f t="shared" si="44"/>
        <v>5750000</v>
      </c>
      <c r="ED16" s="241">
        <f t="shared" si="45"/>
        <v>45416.965277777781</v>
      </c>
      <c r="EE16" s="242">
        <f t="shared" si="46"/>
        <v>5.4916810815349743E-2</v>
      </c>
      <c r="EG16" s="261">
        <f t="shared" si="47"/>
        <v>0</v>
      </c>
      <c r="EH16" s="241">
        <f t="shared" si="48"/>
        <v>0</v>
      </c>
      <c r="EI16" s="242">
        <f t="shared" si="49"/>
        <v>0</v>
      </c>
      <c r="EJ16" s="242"/>
      <c r="EK16" s="261">
        <f t="shared" si="50"/>
        <v>291975000</v>
      </c>
      <c r="EL16" s="261">
        <f t="shared" si="51"/>
        <v>0</v>
      </c>
      <c r="EM16" s="261">
        <f t="shared" si="52"/>
        <v>44584.8125</v>
      </c>
      <c r="EN16" s="242">
        <f t="shared" si="53"/>
        <v>5.4972283585923452E-2</v>
      </c>
      <c r="EP16" s="241"/>
    </row>
    <row r="17" spans="1:146" x14ac:dyDescent="0.25">
      <c r="A17" s="255">
        <f t="shared" si="54"/>
        <v>45542</v>
      </c>
      <c r="B17" s="241">
        <v>5750000</v>
      </c>
      <c r="C17" s="242">
        <v>5.21E-2</v>
      </c>
      <c r="D17" s="241">
        <f t="shared" si="0"/>
        <v>832.15277777777783</v>
      </c>
      <c r="G17" s="241">
        <f t="shared" si="1"/>
        <v>0</v>
      </c>
      <c r="J17" s="241">
        <f t="shared" si="2"/>
        <v>0</v>
      </c>
      <c r="M17" s="241">
        <f t="shared" si="3"/>
        <v>0</v>
      </c>
      <c r="P17" s="241">
        <f t="shared" si="4"/>
        <v>0</v>
      </c>
      <c r="S17" s="241">
        <f t="shared" si="5"/>
        <v>0</v>
      </c>
      <c r="V17" s="241">
        <f t="shared" si="6"/>
        <v>0</v>
      </c>
      <c r="Y17" s="241">
        <f t="shared" si="7"/>
        <v>0</v>
      </c>
      <c r="AB17" s="241">
        <f t="shared" si="8"/>
        <v>0</v>
      </c>
      <c r="AE17" s="241">
        <v>0</v>
      </c>
      <c r="AH17" s="241">
        <v>0</v>
      </c>
      <c r="AI17" s="256">
        <f>41975000+35000000</f>
        <v>76975000</v>
      </c>
      <c r="AJ17" s="257">
        <v>5.4699999999999999E-2</v>
      </c>
      <c r="AK17" s="241">
        <f t="shared" si="9"/>
        <v>11695.923611111111</v>
      </c>
      <c r="AL17" s="256">
        <f t="shared" si="10"/>
        <v>50000000</v>
      </c>
      <c r="AM17" s="257">
        <v>5.45E-2</v>
      </c>
      <c r="AN17" s="241">
        <f t="shared" si="11"/>
        <v>7569.4444444444443</v>
      </c>
      <c r="AO17" s="256">
        <f t="shared" si="12"/>
        <v>125000000</v>
      </c>
      <c r="AP17" s="257">
        <v>5.5E-2</v>
      </c>
      <c r="AQ17" s="241">
        <f t="shared" si="13"/>
        <v>19097.222222222223</v>
      </c>
      <c r="AR17" s="256">
        <f t="shared" si="14"/>
        <v>40000000</v>
      </c>
      <c r="AS17" s="257">
        <v>5.6000000000000001E-2</v>
      </c>
      <c r="AT17" s="241">
        <f t="shared" si="15"/>
        <v>6222.2222222222226</v>
      </c>
      <c r="AW17" s="241">
        <f t="shared" si="16"/>
        <v>0</v>
      </c>
      <c r="AZ17" s="241">
        <f t="shared" si="17"/>
        <v>0</v>
      </c>
      <c r="BC17" s="241">
        <f t="shared" si="18"/>
        <v>0</v>
      </c>
      <c r="BF17" s="241">
        <f t="shared" si="19"/>
        <v>0</v>
      </c>
      <c r="BI17" s="241">
        <f t="shared" si="20"/>
        <v>0</v>
      </c>
      <c r="BL17" s="241">
        <f t="shared" si="21"/>
        <v>0</v>
      </c>
      <c r="BO17" s="241">
        <f t="shared" si="22"/>
        <v>0</v>
      </c>
      <c r="BR17" s="241">
        <f t="shared" si="23"/>
        <v>0</v>
      </c>
      <c r="BU17" s="241">
        <f t="shared" si="24"/>
        <v>0</v>
      </c>
      <c r="BX17" s="241">
        <f t="shared" si="25"/>
        <v>0</v>
      </c>
      <c r="CA17" s="241">
        <f t="shared" si="26"/>
        <v>0</v>
      </c>
      <c r="CD17" s="241">
        <f t="shared" si="27"/>
        <v>0</v>
      </c>
      <c r="CG17" s="241">
        <f t="shared" si="28"/>
        <v>0</v>
      </c>
      <c r="CJ17" s="241">
        <f t="shared" si="29"/>
        <v>0</v>
      </c>
      <c r="CM17" s="241">
        <f t="shared" si="30"/>
        <v>0</v>
      </c>
      <c r="CP17" s="241">
        <f t="shared" si="31"/>
        <v>0</v>
      </c>
      <c r="CS17" s="241">
        <f t="shared" si="32"/>
        <v>0</v>
      </c>
      <c r="CV17" s="241">
        <f t="shared" si="33"/>
        <v>0</v>
      </c>
      <c r="CY17" s="241">
        <f t="shared" si="34"/>
        <v>0</v>
      </c>
      <c r="DB17" s="241">
        <f t="shared" si="35"/>
        <v>0</v>
      </c>
      <c r="DE17" s="241">
        <f t="shared" si="36"/>
        <v>0</v>
      </c>
      <c r="DH17" s="241">
        <f t="shared" si="37"/>
        <v>0</v>
      </c>
      <c r="DK17" s="241">
        <f t="shared" si="38"/>
        <v>0</v>
      </c>
      <c r="DN17" s="241">
        <f t="shared" si="39"/>
        <v>0</v>
      </c>
      <c r="DQ17" s="241">
        <f t="shared" si="40"/>
        <v>0</v>
      </c>
      <c r="DT17" s="241">
        <f t="shared" si="41"/>
        <v>0</v>
      </c>
      <c r="DW17" s="241">
        <f t="shared" si="42"/>
        <v>0</v>
      </c>
      <c r="DZ17" s="241"/>
      <c r="EA17" s="241"/>
      <c r="EB17" s="261">
        <f t="shared" si="43"/>
        <v>297725000</v>
      </c>
      <c r="EC17" s="261">
        <f t="shared" si="44"/>
        <v>5750000</v>
      </c>
      <c r="ED17" s="241">
        <f t="shared" si="45"/>
        <v>45416.965277777781</v>
      </c>
      <c r="EE17" s="242">
        <f t="shared" si="46"/>
        <v>5.4916810815349743E-2</v>
      </c>
      <c r="EG17" s="261">
        <f t="shared" si="47"/>
        <v>0</v>
      </c>
      <c r="EH17" s="241">
        <f t="shared" si="48"/>
        <v>0</v>
      </c>
      <c r="EI17" s="242">
        <f t="shared" si="49"/>
        <v>0</v>
      </c>
      <c r="EJ17" s="242"/>
      <c r="EK17" s="261">
        <f t="shared" si="50"/>
        <v>291975000</v>
      </c>
      <c r="EL17" s="261">
        <f t="shared" si="51"/>
        <v>0</v>
      </c>
      <c r="EM17" s="261">
        <f t="shared" si="52"/>
        <v>44584.8125</v>
      </c>
      <c r="EN17" s="242">
        <f t="shared" si="53"/>
        <v>5.4972283585923452E-2</v>
      </c>
      <c r="EP17" s="241"/>
    </row>
    <row r="18" spans="1:146" x14ac:dyDescent="0.25">
      <c r="A18" s="255">
        <f t="shared" si="54"/>
        <v>45543</v>
      </c>
      <c r="B18" s="241">
        <v>5750000</v>
      </c>
      <c r="C18" s="242">
        <v>5.21E-2</v>
      </c>
      <c r="D18" s="241">
        <f t="shared" si="0"/>
        <v>832.15277777777783</v>
      </c>
      <c r="G18" s="241">
        <f t="shared" si="1"/>
        <v>0</v>
      </c>
      <c r="J18" s="241">
        <f t="shared" si="2"/>
        <v>0</v>
      </c>
      <c r="M18" s="241">
        <f t="shared" si="3"/>
        <v>0</v>
      </c>
      <c r="P18" s="241">
        <f t="shared" si="4"/>
        <v>0</v>
      </c>
      <c r="S18" s="241">
        <f t="shared" si="5"/>
        <v>0</v>
      </c>
      <c r="V18" s="241">
        <f t="shared" si="6"/>
        <v>0</v>
      </c>
      <c r="Y18" s="241">
        <f t="shared" si="7"/>
        <v>0</v>
      </c>
      <c r="AB18" s="241">
        <f t="shared" si="8"/>
        <v>0</v>
      </c>
      <c r="AE18" s="241">
        <v>0</v>
      </c>
      <c r="AH18" s="241">
        <v>0</v>
      </c>
      <c r="AI18" s="256">
        <f>41975000+35000000</f>
        <v>76975000</v>
      </c>
      <c r="AJ18" s="257">
        <v>5.4699999999999999E-2</v>
      </c>
      <c r="AK18" s="241">
        <f t="shared" si="9"/>
        <v>11695.923611111111</v>
      </c>
      <c r="AL18" s="256">
        <f t="shared" si="10"/>
        <v>50000000</v>
      </c>
      <c r="AM18" s="257">
        <v>5.45E-2</v>
      </c>
      <c r="AN18" s="241">
        <f t="shared" si="11"/>
        <v>7569.4444444444443</v>
      </c>
      <c r="AO18" s="256">
        <f t="shared" si="12"/>
        <v>125000000</v>
      </c>
      <c r="AP18" s="257">
        <v>5.5E-2</v>
      </c>
      <c r="AQ18" s="241">
        <f t="shared" si="13"/>
        <v>19097.222222222223</v>
      </c>
      <c r="AR18" s="256">
        <f t="shared" si="14"/>
        <v>40000000</v>
      </c>
      <c r="AS18" s="257">
        <v>5.6000000000000001E-2</v>
      </c>
      <c r="AT18" s="241">
        <f t="shared" si="15"/>
        <v>6222.2222222222226</v>
      </c>
      <c r="AW18" s="241">
        <f t="shared" si="16"/>
        <v>0</v>
      </c>
      <c r="AZ18" s="241">
        <f t="shared" si="17"/>
        <v>0</v>
      </c>
      <c r="BC18" s="241">
        <f t="shared" si="18"/>
        <v>0</v>
      </c>
      <c r="BF18" s="241">
        <f t="shared" si="19"/>
        <v>0</v>
      </c>
      <c r="BI18" s="241">
        <f t="shared" si="20"/>
        <v>0</v>
      </c>
      <c r="BL18" s="241">
        <f t="shared" si="21"/>
        <v>0</v>
      </c>
      <c r="BO18" s="241">
        <f t="shared" si="22"/>
        <v>0</v>
      </c>
      <c r="BR18" s="241">
        <f t="shared" si="23"/>
        <v>0</v>
      </c>
      <c r="BU18" s="241">
        <f t="shared" si="24"/>
        <v>0</v>
      </c>
      <c r="BX18" s="241">
        <f t="shared" si="25"/>
        <v>0</v>
      </c>
      <c r="CA18" s="241">
        <f t="shared" si="26"/>
        <v>0</v>
      </c>
      <c r="CD18" s="241">
        <f t="shared" si="27"/>
        <v>0</v>
      </c>
      <c r="CG18" s="241">
        <f t="shared" si="28"/>
        <v>0</v>
      </c>
      <c r="CJ18" s="241">
        <f t="shared" si="29"/>
        <v>0</v>
      </c>
      <c r="CM18" s="241">
        <f t="shared" si="30"/>
        <v>0</v>
      </c>
      <c r="CP18" s="241">
        <f t="shared" si="31"/>
        <v>0</v>
      </c>
      <c r="CS18" s="241">
        <f t="shared" si="32"/>
        <v>0</v>
      </c>
      <c r="CV18" s="241">
        <f t="shared" si="33"/>
        <v>0</v>
      </c>
      <c r="CY18" s="241">
        <f t="shared" si="34"/>
        <v>0</v>
      </c>
      <c r="DB18" s="241">
        <f t="shared" si="35"/>
        <v>0</v>
      </c>
      <c r="DE18" s="241">
        <f t="shared" si="36"/>
        <v>0</v>
      </c>
      <c r="DH18" s="241">
        <f t="shared" si="37"/>
        <v>0</v>
      </c>
      <c r="DK18" s="241">
        <f t="shared" si="38"/>
        <v>0</v>
      </c>
      <c r="DN18" s="241">
        <f t="shared" si="39"/>
        <v>0</v>
      </c>
      <c r="DQ18" s="241">
        <f t="shared" si="40"/>
        <v>0</v>
      </c>
      <c r="DT18" s="241">
        <f t="shared" si="41"/>
        <v>0</v>
      </c>
      <c r="DW18" s="241">
        <f t="shared" si="42"/>
        <v>0</v>
      </c>
      <c r="DZ18" s="241"/>
      <c r="EA18" s="241"/>
      <c r="EB18" s="261">
        <f t="shared" si="43"/>
        <v>297725000</v>
      </c>
      <c r="EC18" s="261">
        <f t="shared" si="44"/>
        <v>5750000</v>
      </c>
      <c r="ED18" s="241">
        <f t="shared" si="45"/>
        <v>45416.965277777781</v>
      </c>
      <c r="EE18" s="242">
        <f t="shared" si="46"/>
        <v>5.4916810815349743E-2</v>
      </c>
      <c r="EG18" s="261">
        <f t="shared" si="47"/>
        <v>0</v>
      </c>
      <c r="EH18" s="241">
        <f t="shared" si="48"/>
        <v>0</v>
      </c>
      <c r="EI18" s="242">
        <f t="shared" si="49"/>
        <v>0</v>
      </c>
      <c r="EJ18" s="242"/>
      <c r="EK18" s="261">
        <f t="shared" si="50"/>
        <v>291975000</v>
      </c>
      <c r="EL18" s="261">
        <f t="shared" si="51"/>
        <v>0</v>
      </c>
      <c r="EM18" s="261">
        <f t="shared" si="52"/>
        <v>44584.8125</v>
      </c>
      <c r="EN18" s="242">
        <f t="shared" si="53"/>
        <v>5.4972283585923452E-2</v>
      </c>
      <c r="EP18" s="241"/>
    </row>
    <row r="19" spans="1:146" x14ac:dyDescent="0.25">
      <c r="A19" s="255">
        <f t="shared" si="54"/>
        <v>45544</v>
      </c>
      <c r="B19" s="241">
        <v>0</v>
      </c>
      <c r="C19" s="242">
        <v>5.2449919999999997E-2</v>
      </c>
      <c r="D19" s="241">
        <f t="shared" si="0"/>
        <v>0</v>
      </c>
      <c r="G19" s="241">
        <f t="shared" si="1"/>
        <v>0</v>
      </c>
      <c r="J19" s="241">
        <f t="shared" si="2"/>
        <v>0</v>
      </c>
      <c r="M19" s="241">
        <f t="shared" si="3"/>
        <v>0</v>
      </c>
      <c r="P19" s="241">
        <f t="shared" si="4"/>
        <v>0</v>
      </c>
      <c r="S19" s="241">
        <f t="shared" si="5"/>
        <v>0</v>
      </c>
      <c r="V19" s="241">
        <f t="shared" si="6"/>
        <v>0</v>
      </c>
      <c r="Y19" s="241">
        <f t="shared" si="7"/>
        <v>0</v>
      </c>
      <c r="AB19" s="241">
        <f t="shared" si="8"/>
        <v>0</v>
      </c>
      <c r="AE19" s="241">
        <v>0</v>
      </c>
      <c r="AH19" s="241">
        <v>0</v>
      </c>
      <c r="AI19" s="256">
        <f>49575000+35000000</f>
        <v>84575000</v>
      </c>
      <c r="AJ19" s="257">
        <v>5.4699999999999999E-2</v>
      </c>
      <c r="AK19" s="241">
        <f t="shared" si="9"/>
        <v>12850.701388888889</v>
      </c>
      <c r="AL19" s="256">
        <f t="shared" si="10"/>
        <v>50000000</v>
      </c>
      <c r="AM19" s="257">
        <v>5.45E-2</v>
      </c>
      <c r="AN19" s="241">
        <f t="shared" si="11"/>
        <v>7569.4444444444443</v>
      </c>
      <c r="AO19" s="256">
        <f t="shared" si="12"/>
        <v>125000000</v>
      </c>
      <c r="AP19" s="257">
        <v>5.5E-2</v>
      </c>
      <c r="AQ19" s="241">
        <f t="shared" si="13"/>
        <v>19097.222222222223</v>
      </c>
      <c r="AR19" s="256">
        <f t="shared" si="14"/>
        <v>40000000</v>
      </c>
      <c r="AS19" s="257">
        <v>5.6000000000000001E-2</v>
      </c>
      <c r="AT19" s="241">
        <f t="shared" si="15"/>
        <v>6222.2222222222226</v>
      </c>
      <c r="AW19" s="241">
        <f t="shared" si="16"/>
        <v>0</v>
      </c>
      <c r="AZ19" s="241">
        <f t="shared" si="17"/>
        <v>0</v>
      </c>
      <c r="BC19" s="241">
        <f t="shared" si="18"/>
        <v>0</v>
      </c>
      <c r="BF19" s="241">
        <f t="shared" si="19"/>
        <v>0</v>
      </c>
      <c r="BI19" s="241">
        <f t="shared" si="20"/>
        <v>0</v>
      </c>
      <c r="BL19" s="241">
        <f t="shared" si="21"/>
        <v>0</v>
      </c>
      <c r="BO19" s="241">
        <f t="shared" si="22"/>
        <v>0</v>
      </c>
      <c r="BR19" s="241">
        <f t="shared" si="23"/>
        <v>0</v>
      </c>
      <c r="BU19" s="241">
        <f t="shared" si="24"/>
        <v>0</v>
      </c>
      <c r="BX19" s="241">
        <f t="shared" si="25"/>
        <v>0</v>
      </c>
      <c r="CA19" s="241">
        <f t="shared" si="26"/>
        <v>0</v>
      </c>
      <c r="CD19" s="241">
        <f t="shared" si="27"/>
        <v>0</v>
      </c>
      <c r="CG19" s="241">
        <f t="shared" si="28"/>
        <v>0</v>
      </c>
      <c r="CJ19" s="241">
        <f t="shared" si="29"/>
        <v>0</v>
      </c>
      <c r="CM19" s="241">
        <f t="shared" si="30"/>
        <v>0</v>
      </c>
      <c r="CP19" s="241">
        <f t="shared" si="31"/>
        <v>0</v>
      </c>
      <c r="CS19" s="241">
        <f t="shared" si="32"/>
        <v>0</v>
      </c>
      <c r="CV19" s="241">
        <f t="shared" si="33"/>
        <v>0</v>
      </c>
      <c r="CY19" s="241">
        <f t="shared" si="34"/>
        <v>0</v>
      </c>
      <c r="DB19" s="241">
        <f t="shared" si="35"/>
        <v>0</v>
      </c>
      <c r="DE19" s="241">
        <f t="shared" si="36"/>
        <v>0</v>
      </c>
      <c r="DH19" s="241">
        <f t="shared" si="37"/>
        <v>0</v>
      </c>
      <c r="DK19" s="241">
        <f t="shared" si="38"/>
        <v>0</v>
      </c>
      <c r="DN19" s="241">
        <f t="shared" si="39"/>
        <v>0</v>
      </c>
      <c r="DQ19" s="241">
        <f t="shared" si="40"/>
        <v>0</v>
      </c>
      <c r="DT19" s="241">
        <f t="shared" si="41"/>
        <v>0</v>
      </c>
      <c r="DW19" s="241">
        <f t="shared" si="42"/>
        <v>0</v>
      </c>
      <c r="DZ19" s="241"/>
      <c r="EA19" s="241"/>
      <c r="EB19" s="261">
        <f t="shared" si="43"/>
        <v>299575000</v>
      </c>
      <c r="EC19" s="261">
        <f t="shared" si="44"/>
        <v>0</v>
      </c>
      <c r="ED19" s="241">
        <f t="shared" si="45"/>
        <v>45739.590277777781</v>
      </c>
      <c r="EE19" s="242">
        <f t="shared" si="46"/>
        <v>5.4965375949261458E-2</v>
      </c>
      <c r="EG19" s="261">
        <f t="shared" si="47"/>
        <v>0</v>
      </c>
      <c r="EH19" s="241">
        <f t="shared" si="48"/>
        <v>0</v>
      </c>
      <c r="EI19" s="242">
        <f t="shared" si="49"/>
        <v>0</v>
      </c>
      <c r="EJ19" s="242"/>
      <c r="EK19" s="261">
        <f t="shared" si="50"/>
        <v>299575000</v>
      </c>
      <c r="EL19" s="261">
        <f t="shared" si="51"/>
        <v>0</v>
      </c>
      <c r="EM19" s="261">
        <f t="shared" si="52"/>
        <v>45739.590277777781</v>
      </c>
      <c r="EN19" s="242">
        <f t="shared" si="53"/>
        <v>5.4965375949261458E-2</v>
      </c>
      <c r="EP19" s="241"/>
    </row>
    <row r="20" spans="1:146" x14ac:dyDescent="0.25">
      <c r="A20" s="255">
        <f t="shared" si="54"/>
        <v>45545</v>
      </c>
      <c r="B20" s="241">
        <v>2650000</v>
      </c>
      <c r="C20" s="242">
        <v>5.16E-2</v>
      </c>
      <c r="D20" s="241">
        <f t="shared" si="0"/>
        <v>379.83333333333331</v>
      </c>
      <c r="G20" s="241">
        <f t="shared" si="1"/>
        <v>0</v>
      </c>
      <c r="J20" s="241">
        <f t="shared" si="2"/>
        <v>0</v>
      </c>
      <c r="M20" s="241">
        <f t="shared" si="3"/>
        <v>0</v>
      </c>
      <c r="P20" s="241">
        <f t="shared" si="4"/>
        <v>0</v>
      </c>
      <c r="S20" s="241">
        <f t="shared" si="5"/>
        <v>0</v>
      </c>
      <c r="V20" s="241">
        <f t="shared" si="6"/>
        <v>0</v>
      </c>
      <c r="Y20" s="241">
        <f t="shared" si="7"/>
        <v>0</v>
      </c>
      <c r="AB20" s="241">
        <f t="shared" si="8"/>
        <v>0</v>
      </c>
      <c r="AE20" s="241">
        <v>0</v>
      </c>
      <c r="AH20" s="241">
        <v>0</v>
      </c>
      <c r="AI20" s="256">
        <f>30000000+44800000+35000000</f>
        <v>109800000</v>
      </c>
      <c r="AJ20" s="257">
        <v>5.4699999999999999E-2</v>
      </c>
      <c r="AK20" s="241">
        <f t="shared" si="9"/>
        <v>16683.5</v>
      </c>
      <c r="AL20" s="256">
        <f t="shared" si="10"/>
        <v>50000000</v>
      </c>
      <c r="AM20" s="257">
        <v>5.45E-2</v>
      </c>
      <c r="AN20" s="241">
        <f t="shared" si="11"/>
        <v>7569.4444444444443</v>
      </c>
      <c r="AO20" s="256">
        <f t="shared" si="12"/>
        <v>125000000</v>
      </c>
      <c r="AP20" s="257">
        <v>5.5E-2</v>
      </c>
      <c r="AQ20" s="241">
        <f t="shared" si="13"/>
        <v>19097.222222222223</v>
      </c>
      <c r="AR20" s="256"/>
      <c r="AS20" s="257"/>
      <c r="AT20" s="241">
        <f t="shared" si="15"/>
        <v>0</v>
      </c>
      <c r="AW20" s="241">
        <f t="shared" si="16"/>
        <v>0</v>
      </c>
      <c r="AZ20" s="241">
        <f t="shared" si="17"/>
        <v>0</v>
      </c>
      <c r="BC20" s="241">
        <f t="shared" si="18"/>
        <v>0</v>
      </c>
      <c r="BF20" s="241">
        <f t="shared" si="19"/>
        <v>0</v>
      </c>
      <c r="BI20" s="241">
        <f t="shared" si="20"/>
        <v>0</v>
      </c>
      <c r="BL20" s="241">
        <f t="shared" si="21"/>
        <v>0</v>
      </c>
      <c r="BO20" s="241">
        <f t="shared" si="22"/>
        <v>0</v>
      </c>
      <c r="BR20" s="241">
        <f t="shared" si="23"/>
        <v>0</v>
      </c>
      <c r="BU20" s="241">
        <f t="shared" si="24"/>
        <v>0</v>
      </c>
      <c r="BX20" s="241">
        <f t="shared" si="25"/>
        <v>0</v>
      </c>
      <c r="CA20" s="241">
        <f t="shared" si="26"/>
        <v>0</v>
      </c>
      <c r="CD20" s="241">
        <f t="shared" si="27"/>
        <v>0</v>
      </c>
      <c r="CG20" s="241">
        <f t="shared" si="28"/>
        <v>0</v>
      </c>
      <c r="CJ20" s="241">
        <f t="shared" si="29"/>
        <v>0</v>
      </c>
      <c r="CM20" s="241">
        <f t="shared" si="30"/>
        <v>0</v>
      </c>
      <c r="CP20" s="241">
        <f t="shared" si="31"/>
        <v>0</v>
      </c>
      <c r="CS20" s="241">
        <f t="shared" si="32"/>
        <v>0</v>
      </c>
      <c r="CV20" s="241">
        <f t="shared" si="33"/>
        <v>0</v>
      </c>
      <c r="CY20" s="241">
        <f t="shared" si="34"/>
        <v>0</v>
      </c>
      <c r="DB20" s="241">
        <f t="shared" si="35"/>
        <v>0</v>
      </c>
      <c r="DE20" s="241">
        <f t="shared" si="36"/>
        <v>0</v>
      </c>
      <c r="DH20" s="241">
        <f t="shared" si="37"/>
        <v>0</v>
      </c>
      <c r="DK20" s="241">
        <f t="shared" si="38"/>
        <v>0</v>
      </c>
      <c r="DN20" s="241">
        <f t="shared" si="39"/>
        <v>0</v>
      </c>
      <c r="DQ20" s="241">
        <f t="shared" si="40"/>
        <v>0</v>
      </c>
      <c r="DT20" s="241">
        <f t="shared" si="41"/>
        <v>0</v>
      </c>
      <c r="DW20" s="241">
        <f t="shared" si="42"/>
        <v>0</v>
      </c>
      <c r="DZ20" s="241"/>
      <c r="EA20" s="241"/>
      <c r="EB20" s="261">
        <f t="shared" si="43"/>
        <v>287450000</v>
      </c>
      <c r="EC20" s="261">
        <f t="shared" si="44"/>
        <v>2650000</v>
      </c>
      <c r="ED20" s="241">
        <f t="shared" si="45"/>
        <v>43730</v>
      </c>
      <c r="EE20" s="242">
        <f t="shared" si="46"/>
        <v>5.4767089928683246E-2</v>
      </c>
      <c r="EG20" s="261">
        <f t="shared" si="47"/>
        <v>0</v>
      </c>
      <c r="EH20" s="241">
        <f t="shared" si="48"/>
        <v>0</v>
      </c>
      <c r="EI20" s="242">
        <f t="shared" si="49"/>
        <v>0</v>
      </c>
      <c r="EJ20" s="242"/>
      <c r="EK20" s="261">
        <f t="shared" si="50"/>
        <v>284800000</v>
      </c>
      <c r="EL20" s="261">
        <f t="shared" si="51"/>
        <v>0</v>
      </c>
      <c r="EM20" s="261">
        <f t="shared" si="52"/>
        <v>43350.166666666672</v>
      </c>
      <c r="EN20" s="242">
        <f t="shared" si="53"/>
        <v>5.4796558988764045E-2</v>
      </c>
      <c r="EP20" s="241"/>
    </row>
    <row r="21" spans="1:146" x14ac:dyDescent="0.25">
      <c r="A21" s="255">
        <f t="shared" si="54"/>
        <v>45546</v>
      </c>
      <c r="B21" s="241">
        <v>8150000</v>
      </c>
      <c r="C21" s="242">
        <v>5.1200000000000002E-2</v>
      </c>
      <c r="D21" s="241">
        <f t="shared" si="0"/>
        <v>1159.1111111111111</v>
      </c>
      <c r="G21" s="241">
        <f t="shared" si="1"/>
        <v>0</v>
      </c>
      <c r="J21" s="241">
        <f t="shared" si="2"/>
        <v>0</v>
      </c>
      <c r="M21" s="241">
        <f t="shared" si="3"/>
        <v>0</v>
      </c>
      <c r="P21" s="241">
        <f t="shared" si="4"/>
        <v>0</v>
      </c>
      <c r="S21" s="241">
        <f t="shared" si="5"/>
        <v>0</v>
      </c>
      <c r="V21" s="241">
        <f t="shared" si="6"/>
        <v>0</v>
      </c>
      <c r="Y21" s="241">
        <f t="shared" si="7"/>
        <v>0</v>
      </c>
      <c r="AB21" s="241">
        <f t="shared" si="8"/>
        <v>0</v>
      </c>
      <c r="AE21" s="241">
        <v>0</v>
      </c>
      <c r="AH21" s="241">
        <v>0</v>
      </c>
      <c r="AI21" s="256">
        <f>30125000+20000000+50000000</f>
        <v>100125000</v>
      </c>
      <c r="AJ21" s="257">
        <v>5.4699999999999999E-2</v>
      </c>
      <c r="AK21" s="241">
        <f t="shared" si="9"/>
        <v>15213.4375</v>
      </c>
      <c r="AL21" s="256">
        <f t="shared" si="10"/>
        <v>50000000</v>
      </c>
      <c r="AM21" s="257">
        <v>5.45E-2</v>
      </c>
      <c r="AN21" s="241">
        <f t="shared" si="11"/>
        <v>7569.4444444444443</v>
      </c>
      <c r="AO21" s="256">
        <f t="shared" si="12"/>
        <v>125000000</v>
      </c>
      <c r="AP21" s="257">
        <v>5.5E-2</v>
      </c>
      <c r="AQ21" s="241">
        <f t="shared" si="13"/>
        <v>19097.222222222223</v>
      </c>
      <c r="AR21" s="256"/>
      <c r="AS21" s="257"/>
      <c r="AT21" s="241">
        <f t="shared" si="15"/>
        <v>0</v>
      </c>
      <c r="AW21" s="241">
        <f t="shared" si="16"/>
        <v>0</v>
      </c>
      <c r="AZ21" s="241">
        <f t="shared" si="17"/>
        <v>0</v>
      </c>
      <c r="BC21" s="241">
        <f t="shared" si="18"/>
        <v>0</v>
      </c>
      <c r="BF21" s="241">
        <f t="shared" si="19"/>
        <v>0</v>
      </c>
      <c r="BI21" s="241">
        <f t="shared" si="20"/>
        <v>0</v>
      </c>
      <c r="BL21" s="241">
        <f t="shared" si="21"/>
        <v>0</v>
      </c>
      <c r="BO21" s="241">
        <f t="shared" si="22"/>
        <v>0</v>
      </c>
      <c r="BR21" s="241">
        <f t="shared" si="23"/>
        <v>0</v>
      </c>
      <c r="BU21" s="241">
        <f t="shared" si="24"/>
        <v>0</v>
      </c>
      <c r="BX21" s="241">
        <f t="shared" si="25"/>
        <v>0</v>
      </c>
      <c r="CA21" s="241">
        <f t="shared" si="26"/>
        <v>0</v>
      </c>
      <c r="CD21" s="241">
        <f t="shared" si="27"/>
        <v>0</v>
      </c>
      <c r="CG21" s="241">
        <f t="shared" si="28"/>
        <v>0</v>
      </c>
      <c r="CJ21" s="241">
        <f t="shared" si="29"/>
        <v>0</v>
      </c>
      <c r="CM21" s="241">
        <f t="shared" si="30"/>
        <v>0</v>
      </c>
      <c r="CP21" s="241">
        <f t="shared" si="31"/>
        <v>0</v>
      </c>
      <c r="CS21" s="241">
        <f t="shared" si="32"/>
        <v>0</v>
      </c>
      <c r="CV21" s="241">
        <f t="shared" si="33"/>
        <v>0</v>
      </c>
      <c r="CY21" s="241">
        <f t="shared" si="34"/>
        <v>0</v>
      </c>
      <c r="DB21" s="241">
        <f t="shared" si="35"/>
        <v>0</v>
      </c>
      <c r="DE21" s="241">
        <f t="shared" si="36"/>
        <v>0</v>
      </c>
      <c r="DH21" s="241">
        <f t="shared" si="37"/>
        <v>0</v>
      </c>
      <c r="DK21" s="241">
        <f t="shared" si="38"/>
        <v>0</v>
      </c>
      <c r="DN21" s="241">
        <f t="shared" si="39"/>
        <v>0</v>
      </c>
      <c r="DQ21" s="241">
        <f t="shared" si="40"/>
        <v>0</v>
      </c>
      <c r="DT21" s="241">
        <f t="shared" si="41"/>
        <v>0</v>
      </c>
      <c r="DW21" s="241">
        <f t="shared" si="42"/>
        <v>0</v>
      </c>
      <c r="DZ21" s="241"/>
      <c r="EA21" s="241"/>
      <c r="EB21" s="261">
        <f t="shared" si="43"/>
        <v>283275000</v>
      </c>
      <c r="EC21" s="261">
        <f t="shared" si="44"/>
        <v>8150000</v>
      </c>
      <c r="ED21" s="241">
        <f t="shared" si="45"/>
        <v>43039.215277777781</v>
      </c>
      <c r="EE21" s="242">
        <f t="shared" si="46"/>
        <v>5.4696381607978115E-2</v>
      </c>
      <c r="EG21" s="261">
        <f t="shared" si="47"/>
        <v>0</v>
      </c>
      <c r="EH21" s="241">
        <f t="shared" si="48"/>
        <v>0</v>
      </c>
      <c r="EI21" s="242">
        <f t="shared" si="49"/>
        <v>0</v>
      </c>
      <c r="EJ21" s="242"/>
      <c r="EK21" s="261">
        <f t="shared" si="50"/>
        <v>275125000</v>
      </c>
      <c r="EL21" s="261">
        <f t="shared" si="51"/>
        <v>0</v>
      </c>
      <c r="EM21" s="261">
        <f t="shared" si="52"/>
        <v>41880.104166666672</v>
      </c>
      <c r="EN21" s="242">
        <f t="shared" si="53"/>
        <v>5.4799954566106319E-2</v>
      </c>
      <c r="EP21" s="241"/>
    </row>
    <row r="22" spans="1:146" x14ac:dyDescent="0.25">
      <c r="A22" s="255">
        <f t="shared" si="54"/>
        <v>45547</v>
      </c>
      <c r="B22" s="241">
        <v>67500000</v>
      </c>
      <c r="C22" s="242">
        <v>5.0999999999999997E-2</v>
      </c>
      <c r="D22" s="241">
        <f t="shared" si="0"/>
        <v>9562.5</v>
      </c>
      <c r="G22" s="241">
        <f t="shared" si="1"/>
        <v>0</v>
      </c>
      <c r="J22" s="241">
        <f t="shared" si="2"/>
        <v>0</v>
      </c>
      <c r="M22" s="241">
        <f t="shared" si="3"/>
        <v>0</v>
      </c>
      <c r="P22" s="241">
        <f t="shared" si="4"/>
        <v>0</v>
      </c>
      <c r="S22" s="241">
        <f t="shared" si="5"/>
        <v>0</v>
      </c>
      <c r="V22" s="241">
        <f t="shared" si="6"/>
        <v>0</v>
      </c>
      <c r="Y22" s="241">
        <f t="shared" si="7"/>
        <v>0</v>
      </c>
      <c r="AB22" s="241">
        <f t="shared" si="8"/>
        <v>0</v>
      </c>
      <c r="AE22" s="241">
        <v>0</v>
      </c>
      <c r="AH22" s="241">
        <v>0</v>
      </c>
      <c r="AI22" s="256">
        <f>11900000</f>
        <v>11900000</v>
      </c>
      <c r="AJ22" s="257">
        <v>5.4699999999999999E-2</v>
      </c>
      <c r="AK22" s="241">
        <f t="shared" si="9"/>
        <v>1808.1388888888889</v>
      </c>
      <c r="AL22" s="256">
        <f t="shared" si="10"/>
        <v>50000000</v>
      </c>
      <c r="AM22" s="257">
        <v>5.45E-2</v>
      </c>
      <c r="AN22" s="241">
        <f t="shared" si="11"/>
        <v>7569.4444444444443</v>
      </c>
      <c r="AO22" s="256">
        <f t="shared" si="12"/>
        <v>125000000</v>
      </c>
      <c r="AP22" s="257">
        <v>5.5E-2</v>
      </c>
      <c r="AQ22" s="241">
        <f t="shared" si="13"/>
        <v>19097.222222222223</v>
      </c>
      <c r="AR22" s="256"/>
      <c r="AS22" s="257"/>
      <c r="AT22" s="241">
        <f t="shared" si="15"/>
        <v>0</v>
      </c>
      <c r="AW22" s="241">
        <f t="shared" si="16"/>
        <v>0</v>
      </c>
      <c r="AZ22" s="241">
        <f t="shared" si="17"/>
        <v>0</v>
      </c>
      <c r="BC22" s="241">
        <f t="shared" si="18"/>
        <v>0</v>
      </c>
      <c r="BF22" s="241">
        <f t="shared" si="19"/>
        <v>0</v>
      </c>
      <c r="BI22" s="241">
        <f t="shared" si="20"/>
        <v>0</v>
      </c>
      <c r="BL22" s="241">
        <f t="shared" si="21"/>
        <v>0</v>
      </c>
      <c r="BO22" s="241">
        <f t="shared" si="22"/>
        <v>0</v>
      </c>
      <c r="BR22" s="241">
        <f t="shared" si="23"/>
        <v>0</v>
      </c>
      <c r="BU22" s="241">
        <f t="shared" si="24"/>
        <v>0</v>
      </c>
      <c r="BX22" s="241">
        <f t="shared" si="25"/>
        <v>0</v>
      </c>
      <c r="CA22" s="241">
        <f t="shared" si="26"/>
        <v>0</v>
      </c>
      <c r="CD22" s="241">
        <f t="shared" si="27"/>
        <v>0</v>
      </c>
      <c r="CG22" s="241">
        <f t="shared" si="28"/>
        <v>0</v>
      </c>
      <c r="CJ22" s="241">
        <f t="shared" si="29"/>
        <v>0</v>
      </c>
      <c r="CM22" s="241">
        <f t="shared" si="30"/>
        <v>0</v>
      </c>
      <c r="CP22" s="241">
        <f t="shared" si="31"/>
        <v>0</v>
      </c>
      <c r="CS22" s="241">
        <f t="shared" si="32"/>
        <v>0</v>
      </c>
      <c r="CV22" s="241">
        <f t="shared" si="33"/>
        <v>0</v>
      </c>
      <c r="CY22" s="241">
        <f t="shared" si="34"/>
        <v>0</v>
      </c>
      <c r="DB22" s="241">
        <f t="shared" si="35"/>
        <v>0</v>
      </c>
      <c r="DE22" s="241">
        <f t="shared" si="36"/>
        <v>0</v>
      </c>
      <c r="DH22" s="241">
        <f t="shared" si="37"/>
        <v>0</v>
      </c>
      <c r="DK22" s="241">
        <f t="shared" si="38"/>
        <v>0</v>
      </c>
      <c r="DN22" s="241">
        <f t="shared" si="39"/>
        <v>0</v>
      </c>
      <c r="DQ22" s="241">
        <f t="shared" si="40"/>
        <v>0</v>
      </c>
      <c r="DT22" s="241">
        <f t="shared" si="41"/>
        <v>0</v>
      </c>
      <c r="DW22" s="241">
        <f t="shared" si="42"/>
        <v>0</v>
      </c>
      <c r="DZ22" s="241"/>
      <c r="EA22" s="241"/>
      <c r="EB22" s="261">
        <f t="shared" si="43"/>
        <v>254400000</v>
      </c>
      <c r="EC22" s="261">
        <f t="shared" si="44"/>
        <v>67500000</v>
      </c>
      <c r="ED22" s="241">
        <f t="shared" si="45"/>
        <v>38037.305555555555</v>
      </c>
      <c r="EE22" s="242">
        <f t="shared" si="46"/>
        <v>5.3826375786163519E-2</v>
      </c>
      <c r="EG22" s="261">
        <f t="shared" si="47"/>
        <v>0</v>
      </c>
      <c r="EH22" s="241">
        <f t="shared" si="48"/>
        <v>0</v>
      </c>
      <c r="EI22" s="242">
        <f t="shared" si="49"/>
        <v>0</v>
      </c>
      <c r="EJ22" s="242"/>
      <c r="EK22" s="261">
        <f t="shared" si="50"/>
        <v>186900000</v>
      </c>
      <c r="EL22" s="261">
        <f t="shared" si="51"/>
        <v>0</v>
      </c>
      <c r="EM22" s="261">
        <f t="shared" si="52"/>
        <v>28474.805555555558</v>
      </c>
      <c r="EN22" s="242">
        <f t="shared" si="53"/>
        <v>5.4847137506688078E-2</v>
      </c>
      <c r="EP22" s="241"/>
    </row>
    <row r="23" spans="1:146" x14ac:dyDescent="0.25">
      <c r="A23" s="255">
        <f t="shared" si="54"/>
        <v>45548</v>
      </c>
      <c r="B23" s="241">
        <v>41950000</v>
      </c>
      <c r="C23" s="242">
        <v>5.0799999999999998E-2</v>
      </c>
      <c r="D23" s="241">
        <f t="shared" si="0"/>
        <v>5919.6111111111113</v>
      </c>
      <c r="G23" s="241">
        <f t="shared" si="1"/>
        <v>0</v>
      </c>
      <c r="J23" s="241">
        <f t="shared" si="2"/>
        <v>0</v>
      </c>
      <c r="M23" s="241">
        <f t="shared" si="3"/>
        <v>0</v>
      </c>
      <c r="P23" s="241">
        <f t="shared" si="4"/>
        <v>0</v>
      </c>
      <c r="S23" s="241">
        <f t="shared" si="5"/>
        <v>0</v>
      </c>
      <c r="V23" s="241">
        <f t="shared" si="6"/>
        <v>0</v>
      </c>
      <c r="Y23" s="241">
        <f t="shared" si="7"/>
        <v>0</v>
      </c>
      <c r="AB23" s="241">
        <f t="shared" si="8"/>
        <v>0</v>
      </c>
      <c r="AE23" s="241">
        <v>0</v>
      </c>
      <c r="AH23" s="241">
        <v>0</v>
      </c>
      <c r="AI23" s="256">
        <f>17700000</f>
        <v>17700000</v>
      </c>
      <c r="AJ23" s="257">
        <v>5.4699999999999999E-2</v>
      </c>
      <c r="AK23" s="241">
        <f t="shared" si="9"/>
        <v>2689.4166666666665</v>
      </c>
      <c r="AL23" s="256">
        <f t="shared" si="10"/>
        <v>50000000</v>
      </c>
      <c r="AM23" s="257">
        <v>5.45E-2</v>
      </c>
      <c r="AN23" s="241">
        <f t="shared" si="11"/>
        <v>7569.4444444444443</v>
      </c>
      <c r="AO23" s="256">
        <f t="shared" si="12"/>
        <v>125000000</v>
      </c>
      <c r="AP23" s="257">
        <v>5.5E-2</v>
      </c>
      <c r="AQ23" s="241">
        <f t="shared" si="13"/>
        <v>19097.222222222223</v>
      </c>
      <c r="AR23" s="256">
        <f>25000000</f>
        <v>25000000</v>
      </c>
      <c r="AS23" s="257">
        <v>5.4699999999999999E-2</v>
      </c>
      <c r="AT23" s="241">
        <f t="shared" si="15"/>
        <v>3798.6111111111113</v>
      </c>
      <c r="AW23" s="241">
        <f t="shared" si="16"/>
        <v>0</v>
      </c>
      <c r="AZ23" s="241">
        <f t="shared" si="17"/>
        <v>0</v>
      </c>
      <c r="BC23" s="241">
        <f t="shared" si="18"/>
        <v>0</v>
      </c>
      <c r="BF23" s="241">
        <f t="shared" si="19"/>
        <v>0</v>
      </c>
      <c r="BI23" s="241">
        <f t="shared" si="20"/>
        <v>0</v>
      </c>
      <c r="BL23" s="241">
        <f t="shared" si="21"/>
        <v>0</v>
      </c>
      <c r="BO23" s="241">
        <f t="shared" si="22"/>
        <v>0</v>
      </c>
      <c r="BR23" s="241">
        <f t="shared" si="23"/>
        <v>0</v>
      </c>
      <c r="BU23" s="241">
        <f t="shared" si="24"/>
        <v>0</v>
      </c>
      <c r="BX23" s="241">
        <f t="shared" si="25"/>
        <v>0</v>
      </c>
      <c r="CA23" s="241">
        <f t="shared" si="26"/>
        <v>0</v>
      </c>
      <c r="CD23" s="241">
        <f t="shared" si="27"/>
        <v>0</v>
      </c>
      <c r="CG23" s="241">
        <f t="shared" si="28"/>
        <v>0</v>
      </c>
      <c r="CJ23" s="241">
        <f t="shared" si="29"/>
        <v>0</v>
      </c>
      <c r="CM23" s="241">
        <f t="shared" si="30"/>
        <v>0</v>
      </c>
      <c r="CP23" s="241">
        <f t="shared" si="31"/>
        <v>0</v>
      </c>
      <c r="CS23" s="241">
        <f t="shared" si="32"/>
        <v>0</v>
      </c>
      <c r="CV23" s="241">
        <f t="shared" si="33"/>
        <v>0</v>
      </c>
      <c r="CY23" s="241">
        <f t="shared" si="34"/>
        <v>0</v>
      </c>
      <c r="DB23" s="241">
        <f t="shared" si="35"/>
        <v>0</v>
      </c>
      <c r="DE23" s="241">
        <f t="shared" si="36"/>
        <v>0</v>
      </c>
      <c r="DH23" s="241">
        <f t="shared" si="37"/>
        <v>0</v>
      </c>
      <c r="DK23" s="241">
        <f t="shared" si="38"/>
        <v>0</v>
      </c>
      <c r="DN23" s="241">
        <f t="shared" si="39"/>
        <v>0</v>
      </c>
      <c r="DQ23" s="241">
        <f t="shared" si="40"/>
        <v>0</v>
      </c>
      <c r="DT23" s="241">
        <f t="shared" si="41"/>
        <v>0</v>
      </c>
      <c r="DW23" s="241">
        <f t="shared" si="42"/>
        <v>0</v>
      </c>
      <c r="DZ23" s="241"/>
      <c r="EA23" s="241"/>
      <c r="EB23" s="261">
        <f t="shared" si="43"/>
        <v>259650000</v>
      </c>
      <c r="EC23" s="261">
        <f t="shared" si="44"/>
        <v>41950000</v>
      </c>
      <c r="ED23" s="241">
        <f t="shared" si="45"/>
        <v>39074.305555555555</v>
      </c>
      <c r="EE23" s="242">
        <f t="shared" si="46"/>
        <v>5.4175813595224338E-2</v>
      </c>
      <c r="EG23" s="261">
        <f t="shared" si="47"/>
        <v>0</v>
      </c>
      <c r="EH23" s="241">
        <f t="shared" si="48"/>
        <v>0</v>
      </c>
      <c r="EI23" s="242">
        <f t="shared" si="49"/>
        <v>0</v>
      </c>
      <c r="EJ23" s="242"/>
      <c r="EK23" s="261">
        <f t="shared" si="50"/>
        <v>217700000</v>
      </c>
      <c r="EL23" s="261">
        <f t="shared" si="51"/>
        <v>0</v>
      </c>
      <c r="EM23" s="261">
        <f t="shared" si="52"/>
        <v>33154.694444444445</v>
      </c>
      <c r="EN23" s="242">
        <f t="shared" si="53"/>
        <v>5.4826320624712911E-2</v>
      </c>
      <c r="EP23" s="241"/>
    </row>
    <row r="24" spans="1:146" x14ac:dyDescent="0.25">
      <c r="A24" s="255">
        <f t="shared" si="54"/>
        <v>45549</v>
      </c>
      <c r="B24" s="241">
        <v>41950000</v>
      </c>
      <c r="C24" s="242">
        <v>5.0799999999999998E-2</v>
      </c>
      <c r="D24" s="241">
        <f t="shared" si="0"/>
        <v>5919.6111111111113</v>
      </c>
      <c r="G24" s="241">
        <f t="shared" si="1"/>
        <v>0</v>
      </c>
      <c r="J24" s="241">
        <f t="shared" si="2"/>
        <v>0</v>
      </c>
      <c r="M24" s="241">
        <f t="shared" si="3"/>
        <v>0</v>
      </c>
      <c r="P24" s="241">
        <f t="shared" si="4"/>
        <v>0</v>
      </c>
      <c r="S24" s="241">
        <f t="shared" si="5"/>
        <v>0</v>
      </c>
      <c r="V24" s="241">
        <f t="shared" si="6"/>
        <v>0</v>
      </c>
      <c r="Y24" s="241">
        <f t="shared" si="7"/>
        <v>0</v>
      </c>
      <c r="AB24" s="241">
        <f t="shared" si="8"/>
        <v>0</v>
      </c>
      <c r="AE24" s="241">
        <v>0</v>
      </c>
      <c r="AH24" s="241">
        <v>0</v>
      </c>
      <c r="AI24" s="256">
        <f>17700000</f>
        <v>17700000</v>
      </c>
      <c r="AJ24" s="257">
        <v>5.4699999999999999E-2</v>
      </c>
      <c r="AK24" s="241">
        <f t="shared" si="9"/>
        <v>2689.4166666666665</v>
      </c>
      <c r="AL24" s="256">
        <f t="shared" si="10"/>
        <v>50000000</v>
      </c>
      <c r="AM24" s="257">
        <v>5.45E-2</v>
      </c>
      <c r="AN24" s="241">
        <f t="shared" si="11"/>
        <v>7569.4444444444443</v>
      </c>
      <c r="AO24" s="256">
        <f t="shared" si="12"/>
        <v>125000000</v>
      </c>
      <c r="AP24" s="257">
        <v>5.5E-2</v>
      </c>
      <c r="AQ24" s="241">
        <f t="shared" si="13"/>
        <v>19097.222222222223</v>
      </c>
      <c r="AR24" s="256">
        <f>25000000</f>
        <v>25000000</v>
      </c>
      <c r="AS24" s="257">
        <v>5.4699999999999999E-2</v>
      </c>
      <c r="AT24" s="241">
        <f t="shared" si="15"/>
        <v>3798.6111111111113</v>
      </c>
      <c r="AW24" s="241">
        <f t="shared" si="16"/>
        <v>0</v>
      </c>
      <c r="AZ24" s="241">
        <f t="shared" si="17"/>
        <v>0</v>
      </c>
      <c r="BC24" s="241">
        <f t="shared" si="18"/>
        <v>0</v>
      </c>
      <c r="BF24" s="241">
        <f t="shared" si="19"/>
        <v>0</v>
      </c>
      <c r="BI24" s="241">
        <f t="shared" si="20"/>
        <v>0</v>
      </c>
      <c r="BL24" s="241">
        <f t="shared" si="21"/>
        <v>0</v>
      </c>
      <c r="BO24" s="241">
        <f t="shared" si="22"/>
        <v>0</v>
      </c>
      <c r="BR24" s="241">
        <f t="shared" si="23"/>
        <v>0</v>
      </c>
      <c r="BU24" s="241">
        <f t="shared" si="24"/>
        <v>0</v>
      </c>
      <c r="BX24" s="241">
        <f t="shared" si="25"/>
        <v>0</v>
      </c>
      <c r="CA24" s="241">
        <f t="shared" si="26"/>
        <v>0</v>
      </c>
      <c r="CD24" s="241">
        <f t="shared" si="27"/>
        <v>0</v>
      </c>
      <c r="CG24" s="241">
        <f t="shared" si="28"/>
        <v>0</v>
      </c>
      <c r="CJ24" s="241">
        <f t="shared" si="29"/>
        <v>0</v>
      </c>
      <c r="CM24" s="241">
        <f t="shared" si="30"/>
        <v>0</v>
      </c>
      <c r="CP24" s="241">
        <f t="shared" si="31"/>
        <v>0</v>
      </c>
      <c r="CS24" s="241">
        <f t="shared" si="32"/>
        <v>0</v>
      </c>
      <c r="CV24" s="241">
        <f t="shared" si="33"/>
        <v>0</v>
      </c>
      <c r="CY24" s="241">
        <f t="shared" si="34"/>
        <v>0</v>
      </c>
      <c r="DB24" s="241">
        <f t="shared" si="35"/>
        <v>0</v>
      </c>
      <c r="DE24" s="241">
        <f t="shared" si="36"/>
        <v>0</v>
      </c>
      <c r="DH24" s="241">
        <f t="shared" si="37"/>
        <v>0</v>
      </c>
      <c r="DK24" s="241">
        <f t="shared" si="38"/>
        <v>0</v>
      </c>
      <c r="DN24" s="241">
        <f t="shared" si="39"/>
        <v>0</v>
      </c>
      <c r="DQ24" s="241">
        <f t="shared" si="40"/>
        <v>0</v>
      </c>
      <c r="DT24" s="241">
        <f t="shared" si="41"/>
        <v>0</v>
      </c>
      <c r="DW24" s="241">
        <f t="shared" si="42"/>
        <v>0</v>
      </c>
      <c r="DZ24" s="241"/>
      <c r="EA24" s="241"/>
      <c r="EB24" s="261">
        <f t="shared" si="43"/>
        <v>259650000</v>
      </c>
      <c r="EC24" s="261">
        <f t="shared" si="44"/>
        <v>41950000</v>
      </c>
      <c r="ED24" s="241">
        <f t="shared" si="45"/>
        <v>39074.305555555555</v>
      </c>
      <c r="EE24" s="242">
        <f t="shared" si="46"/>
        <v>5.4175813595224338E-2</v>
      </c>
      <c r="EG24" s="261">
        <f t="shared" si="47"/>
        <v>0</v>
      </c>
      <c r="EH24" s="241">
        <f t="shared" si="48"/>
        <v>0</v>
      </c>
      <c r="EI24" s="242">
        <f t="shared" si="49"/>
        <v>0</v>
      </c>
      <c r="EJ24" s="242"/>
      <c r="EK24" s="261">
        <f t="shared" si="50"/>
        <v>217700000</v>
      </c>
      <c r="EL24" s="261">
        <f t="shared" si="51"/>
        <v>0</v>
      </c>
      <c r="EM24" s="261">
        <f t="shared" si="52"/>
        <v>33154.694444444445</v>
      </c>
      <c r="EN24" s="242">
        <f t="shared" si="53"/>
        <v>5.4826320624712911E-2</v>
      </c>
      <c r="EP24" s="241"/>
    </row>
    <row r="25" spans="1:146" x14ac:dyDescent="0.25">
      <c r="A25" s="255">
        <f t="shared" si="54"/>
        <v>45550</v>
      </c>
      <c r="B25" s="241">
        <v>41950000</v>
      </c>
      <c r="C25" s="242">
        <v>5.0799999999999998E-2</v>
      </c>
      <c r="D25" s="241">
        <f t="shared" si="0"/>
        <v>5919.6111111111113</v>
      </c>
      <c r="G25" s="241">
        <f t="shared" si="1"/>
        <v>0</v>
      </c>
      <c r="J25" s="241">
        <f t="shared" si="2"/>
        <v>0</v>
      </c>
      <c r="M25" s="241">
        <f t="shared" si="3"/>
        <v>0</v>
      </c>
      <c r="P25" s="241">
        <f t="shared" si="4"/>
        <v>0</v>
      </c>
      <c r="S25" s="241">
        <f t="shared" si="5"/>
        <v>0</v>
      </c>
      <c r="V25" s="241">
        <f t="shared" si="6"/>
        <v>0</v>
      </c>
      <c r="Y25" s="241">
        <f t="shared" si="7"/>
        <v>0</v>
      </c>
      <c r="AB25" s="241">
        <f t="shared" si="8"/>
        <v>0</v>
      </c>
      <c r="AE25" s="241">
        <v>0</v>
      </c>
      <c r="AH25" s="241">
        <v>0</v>
      </c>
      <c r="AI25" s="256">
        <f>17700000</f>
        <v>17700000</v>
      </c>
      <c r="AJ25" s="257">
        <v>5.4699999999999999E-2</v>
      </c>
      <c r="AK25" s="241">
        <f t="shared" si="9"/>
        <v>2689.4166666666665</v>
      </c>
      <c r="AL25" s="256">
        <f t="shared" si="10"/>
        <v>50000000</v>
      </c>
      <c r="AM25" s="257">
        <v>5.45E-2</v>
      </c>
      <c r="AN25" s="241">
        <f t="shared" si="11"/>
        <v>7569.4444444444443</v>
      </c>
      <c r="AO25" s="256">
        <f t="shared" si="12"/>
        <v>125000000</v>
      </c>
      <c r="AP25" s="257">
        <v>5.5E-2</v>
      </c>
      <c r="AQ25" s="241">
        <f t="shared" si="13"/>
        <v>19097.222222222223</v>
      </c>
      <c r="AR25" s="256">
        <f>25000000</f>
        <v>25000000</v>
      </c>
      <c r="AS25" s="257">
        <v>5.4699999999999999E-2</v>
      </c>
      <c r="AT25" s="241">
        <f t="shared" si="15"/>
        <v>3798.6111111111113</v>
      </c>
      <c r="AW25" s="241">
        <f t="shared" si="16"/>
        <v>0</v>
      </c>
      <c r="AZ25" s="241">
        <f t="shared" si="17"/>
        <v>0</v>
      </c>
      <c r="BC25" s="241">
        <f t="shared" si="18"/>
        <v>0</v>
      </c>
      <c r="BF25" s="241">
        <f t="shared" si="19"/>
        <v>0</v>
      </c>
      <c r="BI25" s="241">
        <f t="shared" si="20"/>
        <v>0</v>
      </c>
      <c r="BL25" s="241">
        <f t="shared" si="21"/>
        <v>0</v>
      </c>
      <c r="BO25" s="241">
        <f t="shared" si="22"/>
        <v>0</v>
      </c>
      <c r="BR25" s="241">
        <f t="shared" si="23"/>
        <v>0</v>
      </c>
      <c r="BU25" s="241">
        <f t="shared" si="24"/>
        <v>0</v>
      </c>
      <c r="BX25" s="241">
        <f t="shared" si="25"/>
        <v>0</v>
      </c>
      <c r="CA25" s="241">
        <f t="shared" si="26"/>
        <v>0</v>
      </c>
      <c r="CD25" s="241">
        <f t="shared" si="27"/>
        <v>0</v>
      </c>
      <c r="CG25" s="241">
        <f t="shared" si="28"/>
        <v>0</v>
      </c>
      <c r="CJ25" s="241">
        <f t="shared" si="29"/>
        <v>0</v>
      </c>
      <c r="CM25" s="241">
        <f t="shared" si="30"/>
        <v>0</v>
      </c>
      <c r="CP25" s="241">
        <f t="shared" si="31"/>
        <v>0</v>
      </c>
      <c r="CS25" s="241">
        <f t="shared" si="32"/>
        <v>0</v>
      </c>
      <c r="CV25" s="241">
        <f t="shared" si="33"/>
        <v>0</v>
      </c>
      <c r="CY25" s="241">
        <f t="shared" si="34"/>
        <v>0</v>
      </c>
      <c r="DB25" s="241">
        <f t="shared" si="35"/>
        <v>0</v>
      </c>
      <c r="DE25" s="241">
        <f t="shared" si="36"/>
        <v>0</v>
      </c>
      <c r="DH25" s="241">
        <f t="shared" si="37"/>
        <v>0</v>
      </c>
      <c r="DK25" s="241">
        <f t="shared" si="38"/>
        <v>0</v>
      </c>
      <c r="DN25" s="241">
        <f t="shared" si="39"/>
        <v>0</v>
      </c>
      <c r="DQ25" s="241">
        <f t="shared" si="40"/>
        <v>0</v>
      </c>
      <c r="DT25" s="241">
        <f t="shared" si="41"/>
        <v>0</v>
      </c>
      <c r="DW25" s="241">
        <f t="shared" si="42"/>
        <v>0</v>
      </c>
      <c r="DZ25" s="241"/>
      <c r="EA25" s="241"/>
      <c r="EB25" s="261">
        <f t="shared" si="43"/>
        <v>259650000</v>
      </c>
      <c r="EC25" s="261">
        <f t="shared" si="44"/>
        <v>41950000</v>
      </c>
      <c r="ED25" s="241">
        <f t="shared" si="45"/>
        <v>39074.305555555555</v>
      </c>
      <c r="EE25" s="242">
        <f t="shared" si="46"/>
        <v>5.4175813595224338E-2</v>
      </c>
      <c r="EG25" s="261">
        <f t="shared" si="47"/>
        <v>0</v>
      </c>
      <c r="EH25" s="241">
        <f t="shared" si="48"/>
        <v>0</v>
      </c>
      <c r="EI25" s="242">
        <f t="shared" si="49"/>
        <v>0</v>
      </c>
      <c r="EJ25" s="242"/>
      <c r="EK25" s="261">
        <f t="shared" si="50"/>
        <v>217700000</v>
      </c>
      <c r="EL25" s="261">
        <f t="shared" si="51"/>
        <v>0</v>
      </c>
      <c r="EM25" s="261">
        <f t="shared" si="52"/>
        <v>33154.694444444445</v>
      </c>
      <c r="EN25" s="242">
        <f t="shared" si="53"/>
        <v>5.4826320624712911E-2</v>
      </c>
      <c r="EP25" s="241"/>
    </row>
    <row r="26" spans="1:146" x14ac:dyDescent="0.25">
      <c r="A26" s="255">
        <f t="shared" si="54"/>
        <v>45551</v>
      </c>
      <c r="B26" s="241">
        <v>9175000</v>
      </c>
      <c r="C26" s="242">
        <v>5.1500000000000004E-2</v>
      </c>
      <c r="D26" s="241">
        <f t="shared" si="0"/>
        <v>1312.5347222222224</v>
      </c>
      <c r="G26" s="241">
        <f t="shared" si="1"/>
        <v>0</v>
      </c>
      <c r="J26" s="241">
        <f t="shared" si="2"/>
        <v>0</v>
      </c>
      <c r="M26" s="241">
        <f t="shared" si="3"/>
        <v>0</v>
      </c>
      <c r="P26" s="241">
        <f t="shared" si="4"/>
        <v>0</v>
      </c>
      <c r="S26" s="241">
        <f t="shared" si="5"/>
        <v>0</v>
      </c>
      <c r="V26" s="241">
        <f t="shared" si="6"/>
        <v>0</v>
      </c>
      <c r="Y26" s="241">
        <f t="shared" si="7"/>
        <v>0</v>
      </c>
      <c r="AB26" s="241">
        <f t="shared" si="8"/>
        <v>0</v>
      </c>
      <c r="AE26" s="241">
        <v>0</v>
      </c>
      <c r="AH26" s="241">
        <v>0</v>
      </c>
      <c r="AI26" s="256">
        <f>25000000+38675000+50000000</f>
        <v>113675000</v>
      </c>
      <c r="AJ26" s="257">
        <v>5.4699999999999999E-2</v>
      </c>
      <c r="AK26" s="241">
        <f t="shared" si="9"/>
        <v>17272.284722222223</v>
      </c>
      <c r="AL26" s="256">
        <f t="shared" si="10"/>
        <v>50000000</v>
      </c>
      <c r="AM26" s="257">
        <v>5.45E-2</v>
      </c>
      <c r="AN26" s="241">
        <f t="shared" si="11"/>
        <v>7569.4444444444443</v>
      </c>
      <c r="AO26" s="256">
        <f t="shared" si="12"/>
        <v>125000000</v>
      </c>
      <c r="AP26" s="257">
        <v>5.5E-2</v>
      </c>
      <c r="AQ26" s="241">
        <f t="shared" si="13"/>
        <v>19097.222222222223</v>
      </c>
      <c r="AR26" s="256">
        <f>25000000</f>
        <v>25000000</v>
      </c>
      <c r="AS26" s="257">
        <v>5.4699999999999999E-2</v>
      </c>
      <c r="AT26" s="241">
        <f t="shared" si="15"/>
        <v>3798.6111111111113</v>
      </c>
      <c r="AW26" s="241">
        <f t="shared" si="16"/>
        <v>0</v>
      </c>
      <c r="AZ26" s="241">
        <f t="shared" si="17"/>
        <v>0</v>
      </c>
      <c r="BC26" s="241">
        <f t="shared" si="18"/>
        <v>0</v>
      </c>
      <c r="BF26" s="241">
        <f t="shared" si="19"/>
        <v>0</v>
      </c>
      <c r="BI26" s="241">
        <f t="shared" si="20"/>
        <v>0</v>
      </c>
      <c r="BL26" s="241">
        <f t="shared" si="21"/>
        <v>0</v>
      </c>
      <c r="BO26" s="241">
        <f t="shared" si="22"/>
        <v>0</v>
      </c>
      <c r="BR26" s="241">
        <f t="shared" si="23"/>
        <v>0</v>
      </c>
      <c r="BU26" s="241">
        <f t="shared" si="24"/>
        <v>0</v>
      </c>
      <c r="BX26" s="241">
        <f t="shared" si="25"/>
        <v>0</v>
      </c>
      <c r="CA26" s="241">
        <f t="shared" si="26"/>
        <v>0</v>
      </c>
      <c r="CD26" s="241">
        <f t="shared" si="27"/>
        <v>0</v>
      </c>
      <c r="CG26" s="241">
        <f t="shared" si="28"/>
        <v>0</v>
      </c>
      <c r="CJ26" s="241">
        <f t="shared" si="29"/>
        <v>0</v>
      </c>
      <c r="CM26" s="241">
        <f t="shared" si="30"/>
        <v>0</v>
      </c>
      <c r="CP26" s="241">
        <f t="shared" si="31"/>
        <v>0</v>
      </c>
      <c r="CS26" s="241">
        <f t="shared" si="32"/>
        <v>0</v>
      </c>
      <c r="CV26" s="241">
        <f t="shared" si="33"/>
        <v>0</v>
      </c>
      <c r="CY26" s="241">
        <f t="shared" si="34"/>
        <v>0</v>
      </c>
      <c r="DB26" s="241">
        <f t="shared" si="35"/>
        <v>0</v>
      </c>
      <c r="DE26" s="241">
        <f t="shared" si="36"/>
        <v>0</v>
      </c>
      <c r="DH26" s="241">
        <f t="shared" si="37"/>
        <v>0</v>
      </c>
      <c r="DK26" s="241">
        <f t="shared" si="38"/>
        <v>0</v>
      </c>
      <c r="DN26" s="241">
        <f t="shared" si="39"/>
        <v>0</v>
      </c>
      <c r="DQ26" s="241">
        <f t="shared" si="40"/>
        <v>0</v>
      </c>
      <c r="DT26" s="241">
        <f t="shared" si="41"/>
        <v>0</v>
      </c>
      <c r="DW26" s="241">
        <f t="shared" si="42"/>
        <v>0</v>
      </c>
      <c r="DZ26" s="241"/>
      <c r="EA26" s="241"/>
      <c r="EB26" s="261">
        <f t="shared" si="43"/>
        <v>322850000</v>
      </c>
      <c r="EC26" s="261">
        <f t="shared" si="44"/>
        <v>9175000</v>
      </c>
      <c r="ED26" s="241">
        <f t="shared" si="45"/>
        <v>49050.097222222219</v>
      </c>
      <c r="EE26" s="242">
        <f t="shared" si="46"/>
        <v>5.4694238810593147E-2</v>
      </c>
      <c r="EG26" s="261">
        <f t="shared" si="47"/>
        <v>0</v>
      </c>
      <c r="EH26" s="241">
        <f t="shared" si="48"/>
        <v>0</v>
      </c>
      <c r="EI26" s="242">
        <f t="shared" si="49"/>
        <v>0</v>
      </c>
      <c r="EJ26" s="242"/>
      <c r="EK26" s="261">
        <f t="shared" si="50"/>
        <v>313675000</v>
      </c>
      <c r="EL26" s="261">
        <f t="shared" si="51"/>
        <v>0</v>
      </c>
      <c r="EM26" s="261">
        <f t="shared" si="52"/>
        <v>47737.5625</v>
      </c>
      <c r="EN26" s="242">
        <f t="shared" si="53"/>
        <v>5.4787670359448475E-2</v>
      </c>
      <c r="EP26" s="241"/>
    </row>
    <row r="27" spans="1:146" x14ac:dyDescent="0.25">
      <c r="A27" s="255">
        <f t="shared" si="54"/>
        <v>45552</v>
      </c>
      <c r="B27" s="241">
        <v>21400000</v>
      </c>
      <c r="C27" s="242">
        <v>5.1299999999999998E-2</v>
      </c>
      <c r="D27" s="241">
        <f t="shared" si="0"/>
        <v>3049.5</v>
      </c>
      <c r="G27" s="241">
        <f t="shared" si="1"/>
        <v>0</v>
      </c>
      <c r="J27" s="241">
        <f t="shared" si="2"/>
        <v>0</v>
      </c>
      <c r="M27" s="241">
        <f t="shared" si="3"/>
        <v>0</v>
      </c>
      <c r="P27" s="241">
        <f t="shared" si="4"/>
        <v>0</v>
      </c>
      <c r="S27" s="241">
        <f t="shared" si="5"/>
        <v>0</v>
      </c>
      <c r="V27" s="241">
        <f t="shared" si="6"/>
        <v>0</v>
      </c>
      <c r="Y27" s="241">
        <f t="shared" si="7"/>
        <v>0</v>
      </c>
      <c r="AB27" s="241">
        <f t="shared" si="8"/>
        <v>0</v>
      </c>
      <c r="AE27" s="241">
        <v>0</v>
      </c>
      <c r="AH27" s="241">
        <v>0</v>
      </c>
      <c r="AI27" s="256">
        <f>15000000+15925000+50000000+825000+25000000</f>
        <v>106750000</v>
      </c>
      <c r="AJ27" s="257">
        <v>5.4699999999999999E-2</v>
      </c>
      <c r="AK27" s="241">
        <f t="shared" si="9"/>
        <v>16220.069444444445</v>
      </c>
      <c r="AL27" s="256">
        <f t="shared" si="10"/>
        <v>50000000</v>
      </c>
      <c r="AM27" s="257">
        <v>5.45E-2</v>
      </c>
      <c r="AN27" s="241">
        <f t="shared" si="11"/>
        <v>7569.4444444444443</v>
      </c>
      <c r="AO27" s="256">
        <f t="shared" si="12"/>
        <v>125000000</v>
      </c>
      <c r="AP27" s="257">
        <v>5.5E-2</v>
      </c>
      <c r="AQ27" s="241">
        <f t="shared" si="13"/>
        <v>19097.222222222223</v>
      </c>
      <c r="AR27" s="256"/>
      <c r="AS27" s="257"/>
      <c r="AT27" s="241">
        <f t="shared" si="15"/>
        <v>0</v>
      </c>
      <c r="AW27" s="241">
        <f t="shared" si="16"/>
        <v>0</v>
      </c>
      <c r="AZ27" s="241">
        <f t="shared" si="17"/>
        <v>0</v>
      </c>
      <c r="BC27" s="241">
        <f t="shared" si="18"/>
        <v>0</v>
      </c>
      <c r="BF27" s="241">
        <f t="shared" si="19"/>
        <v>0</v>
      </c>
      <c r="BI27" s="241">
        <f t="shared" si="20"/>
        <v>0</v>
      </c>
      <c r="BL27" s="241">
        <f t="shared" si="21"/>
        <v>0</v>
      </c>
      <c r="BO27" s="241">
        <f t="shared" si="22"/>
        <v>0</v>
      </c>
      <c r="BR27" s="241">
        <f t="shared" si="23"/>
        <v>0</v>
      </c>
      <c r="BU27" s="241">
        <f t="shared" si="24"/>
        <v>0</v>
      </c>
      <c r="BX27" s="241">
        <f t="shared" si="25"/>
        <v>0</v>
      </c>
      <c r="CA27" s="241">
        <f t="shared" si="26"/>
        <v>0</v>
      </c>
      <c r="CD27" s="241">
        <f t="shared" si="27"/>
        <v>0</v>
      </c>
      <c r="CG27" s="241">
        <f t="shared" si="28"/>
        <v>0</v>
      </c>
      <c r="CJ27" s="241">
        <f t="shared" si="29"/>
        <v>0</v>
      </c>
      <c r="CM27" s="241">
        <f t="shared" si="30"/>
        <v>0</v>
      </c>
      <c r="CP27" s="241">
        <f t="shared" si="31"/>
        <v>0</v>
      </c>
      <c r="CS27" s="241">
        <f t="shared" si="32"/>
        <v>0</v>
      </c>
      <c r="CV27" s="241">
        <f t="shared" si="33"/>
        <v>0</v>
      </c>
      <c r="CY27" s="241">
        <f t="shared" si="34"/>
        <v>0</v>
      </c>
      <c r="DB27" s="241">
        <f t="shared" si="35"/>
        <v>0</v>
      </c>
      <c r="DE27" s="241">
        <f t="shared" si="36"/>
        <v>0</v>
      </c>
      <c r="DH27" s="241">
        <f t="shared" si="37"/>
        <v>0</v>
      </c>
      <c r="DK27" s="241">
        <f t="shared" si="38"/>
        <v>0</v>
      </c>
      <c r="DN27" s="241">
        <f t="shared" si="39"/>
        <v>0</v>
      </c>
      <c r="DQ27" s="241">
        <f t="shared" si="40"/>
        <v>0</v>
      </c>
      <c r="DT27" s="241">
        <f t="shared" si="41"/>
        <v>0</v>
      </c>
      <c r="DW27" s="241">
        <f t="shared" si="42"/>
        <v>0</v>
      </c>
      <c r="DZ27" s="241"/>
      <c r="EA27" s="241"/>
      <c r="EB27" s="261">
        <f t="shared" si="43"/>
        <v>303150000</v>
      </c>
      <c r="EC27" s="261">
        <f t="shared" si="44"/>
        <v>21400000</v>
      </c>
      <c r="ED27" s="241">
        <f t="shared" si="45"/>
        <v>45936.236111111109</v>
      </c>
      <c r="EE27" s="242">
        <f t="shared" si="46"/>
        <v>5.4550700973115616E-2</v>
      </c>
      <c r="EG27" s="261">
        <f t="shared" si="47"/>
        <v>0</v>
      </c>
      <c r="EH27" s="241">
        <f t="shared" si="48"/>
        <v>0</v>
      </c>
      <c r="EI27" s="242">
        <f t="shared" si="49"/>
        <v>0</v>
      </c>
      <c r="EJ27" s="242"/>
      <c r="EK27" s="261">
        <f t="shared" si="50"/>
        <v>281750000</v>
      </c>
      <c r="EL27" s="261">
        <f t="shared" si="51"/>
        <v>0</v>
      </c>
      <c r="EM27" s="261">
        <f t="shared" si="52"/>
        <v>42886.736111111109</v>
      </c>
      <c r="EN27" s="242">
        <f t="shared" si="53"/>
        <v>5.479760425909494E-2</v>
      </c>
      <c r="EP27" s="241"/>
    </row>
    <row r="28" spans="1:146" x14ac:dyDescent="0.25">
      <c r="A28" s="255">
        <f t="shared" si="54"/>
        <v>45553</v>
      </c>
      <c r="B28" s="241">
        <v>107650000</v>
      </c>
      <c r="C28" s="242">
        <v>5.1299999999999998E-2</v>
      </c>
      <c r="D28" s="241">
        <f t="shared" si="0"/>
        <v>15340.125</v>
      </c>
      <c r="G28" s="241">
        <f t="shared" si="1"/>
        <v>0</v>
      </c>
      <c r="J28" s="241">
        <f t="shared" si="2"/>
        <v>0</v>
      </c>
      <c r="M28" s="241">
        <f t="shared" si="3"/>
        <v>0</v>
      </c>
      <c r="P28" s="241">
        <f t="shared" si="4"/>
        <v>0</v>
      </c>
      <c r="S28" s="241">
        <f t="shared" si="5"/>
        <v>0</v>
      </c>
      <c r="V28" s="241">
        <f t="shared" si="6"/>
        <v>0</v>
      </c>
      <c r="Y28" s="241">
        <f t="shared" si="7"/>
        <v>0</v>
      </c>
      <c r="AB28" s="241">
        <f t="shared" si="8"/>
        <v>0</v>
      </c>
      <c r="AE28" s="241">
        <v>0</v>
      </c>
      <c r="AH28" s="241">
        <v>0</v>
      </c>
      <c r="AI28" s="256">
        <f>4850000</f>
        <v>4850000</v>
      </c>
      <c r="AJ28" s="257">
        <v>5.4699999999999999E-2</v>
      </c>
      <c r="AK28" s="241">
        <f t="shared" si="9"/>
        <v>736.93055555555554</v>
      </c>
      <c r="AL28" s="256">
        <f t="shared" si="10"/>
        <v>50000000</v>
      </c>
      <c r="AM28" s="257">
        <v>5.45E-2</v>
      </c>
      <c r="AN28" s="241">
        <f t="shared" si="11"/>
        <v>7569.4444444444443</v>
      </c>
      <c r="AO28" s="256">
        <f t="shared" si="12"/>
        <v>125000000</v>
      </c>
      <c r="AP28" s="257">
        <v>5.5E-2</v>
      </c>
      <c r="AQ28" s="241">
        <f t="shared" si="13"/>
        <v>19097.222222222223</v>
      </c>
      <c r="AR28" s="256"/>
      <c r="AS28" s="257"/>
      <c r="AT28" s="241">
        <f t="shared" si="15"/>
        <v>0</v>
      </c>
      <c r="AW28" s="241">
        <f t="shared" si="16"/>
        <v>0</v>
      </c>
      <c r="AZ28" s="241">
        <f t="shared" si="17"/>
        <v>0</v>
      </c>
      <c r="BC28" s="241">
        <f t="shared" si="18"/>
        <v>0</v>
      </c>
      <c r="BF28" s="241">
        <f t="shared" si="19"/>
        <v>0</v>
      </c>
      <c r="BI28" s="241">
        <f t="shared" si="20"/>
        <v>0</v>
      </c>
      <c r="BL28" s="241">
        <f t="shared" si="21"/>
        <v>0</v>
      </c>
      <c r="BO28" s="241">
        <f t="shared" si="22"/>
        <v>0</v>
      </c>
      <c r="BR28" s="241">
        <f t="shared" si="23"/>
        <v>0</v>
      </c>
      <c r="BU28" s="241">
        <f t="shared" si="24"/>
        <v>0</v>
      </c>
      <c r="BX28" s="241">
        <f t="shared" si="25"/>
        <v>0</v>
      </c>
      <c r="CA28" s="241">
        <f t="shared" si="26"/>
        <v>0</v>
      </c>
      <c r="CD28" s="241">
        <f t="shared" si="27"/>
        <v>0</v>
      </c>
      <c r="CG28" s="241">
        <f t="shared" si="28"/>
        <v>0</v>
      </c>
      <c r="CJ28" s="241">
        <f t="shared" si="29"/>
        <v>0</v>
      </c>
      <c r="CM28" s="241">
        <f t="shared" si="30"/>
        <v>0</v>
      </c>
      <c r="CP28" s="241">
        <f t="shared" si="31"/>
        <v>0</v>
      </c>
      <c r="CS28" s="241">
        <f t="shared" si="32"/>
        <v>0</v>
      </c>
      <c r="CV28" s="241">
        <f t="shared" si="33"/>
        <v>0</v>
      </c>
      <c r="CY28" s="241">
        <f t="shared" si="34"/>
        <v>0</v>
      </c>
      <c r="DB28" s="241">
        <f t="shared" si="35"/>
        <v>0</v>
      </c>
      <c r="DE28" s="241">
        <f t="shared" si="36"/>
        <v>0</v>
      </c>
      <c r="DH28" s="241">
        <f t="shared" si="37"/>
        <v>0</v>
      </c>
      <c r="DK28" s="241">
        <f t="shared" si="38"/>
        <v>0</v>
      </c>
      <c r="DN28" s="241">
        <f t="shared" si="39"/>
        <v>0</v>
      </c>
      <c r="DQ28" s="241">
        <f t="shared" si="40"/>
        <v>0</v>
      </c>
      <c r="DT28" s="241">
        <f t="shared" si="41"/>
        <v>0</v>
      </c>
      <c r="DW28" s="241">
        <f t="shared" si="42"/>
        <v>0</v>
      </c>
      <c r="DZ28" s="241"/>
      <c r="EA28" s="241"/>
      <c r="EB28" s="261">
        <f t="shared" si="43"/>
        <v>287500000</v>
      </c>
      <c r="EC28" s="261">
        <f t="shared" si="44"/>
        <v>107650000</v>
      </c>
      <c r="ED28" s="241">
        <f t="shared" si="45"/>
        <v>42743.722222222219</v>
      </c>
      <c r="EE28" s="242">
        <f t="shared" si="46"/>
        <v>5.3522573913043471E-2</v>
      </c>
      <c r="EG28" s="261">
        <f t="shared" si="47"/>
        <v>0</v>
      </c>
      <c r="EH28" s="241">
        <f t="shared" si="48"/>
        <v>0</v>
      </c>
      <c r="EI28" s="242">
        <f t="shared" si="49"/>
        <v>0</v>
      </c>
      <c r="EJ28" s="242"/>
      <c r="EK28" s="261">
        <f t="shared" si="50"/>
        <v>179850000</v>
      </c>
      <c r="EL28" s="261">
        <f t="shared" si="51"/>
        <v>0</v>
      </c>
      <c r="EM28" s="261">
        <f t="shared" si="52"/>
        <v>27403.597222222223</v>
      </c>
      <c r="EN28" s="242">
        <f t="shared" si="53"/>
        <v>5.4852905198776752E-2</v>
      </c>
      <c r="EP28" s="241"/>
    </row>
    <row r="29" spans="1:146" x14ac:dyDescent="0.25">
      <c r="A29" s="255">
        <f t="shared" si="54"/>
        <v>45554</v>
      </c>
      <c r="B29" s="241">
        <v>101825000</v>
      </c>
      <c r="C29" s="242">
        <v>5.1299999999999998E-2</v>
      </c>
      <c r="D29" s="241">
        <f t="shared" si="0"/>
        <v>14510.0625</v>
      </c>
      <c r="G29" s="241">
        <f t="shared" si="1"/>
        <v>0</v>
      </c>
      <c r="J29" s="241">
        <f t="shared" si="2"/>
        <v>0</v>
      </c>
      <c r="M29" s="241">
        <f t="shared" si="3"/>
        <v>0</v>
      </c>
      <c r="P29" s="241">
        <f t="shared" si="4"/>
        <v>0</v>
      </c>
      <c r="S29" s="241">
        <f t="shared" si="5"/>
        <v>0</v>
      </c>
      <c r="V29" s="241">
        <f t="shared" si="6"/>
        <v>0</v>
      </c>
      <c r="Y29" s="241">
        <f t="shared" si="7"/>
        <v>0</v>
      </c>
      <c r="AB29" s="241">
        <f t="shared" si="8"/>
        <v>0</v>
      </c>
      <c r="AE29" s="241">
        <v>0</v>
      </c>
      <c r="AH29" s="241">
        <v>0</v>
      </c>
      <c r="AI29" s="256"/>
      <c r="AJ29" s="257"/>
      <c r="AK29" s="241">
        <f t="shared" si="9"/>
        <v>0</v>
      </c>
      <c r="AL29" s="256">
        <f t="shared" si="10"/>
        <v>50000000</v>
      </c>
      <c r="AM29" s="257">
        <v>5.45E-2</v>
      </c>
      <c r="AN29" s="241">
        <f t="shared" si="11"/>
        <v>7569.4444444444443</v>
      </c>
      <c r="AO29" s="256">
        <f t="shared" si="12"/>
        <v>125000000</v>
      </c>
      <c r="AP29" s="257">
        <v>5.5E-2</v>
      </c>
      <c r="AQ29" s="241">
        <f t="shared" si="13"/>
        <v>19097.222222222223</v>
      </c>
      <c r="AR29" s="256"/>
      <c r="AS29" s="257"/>
      <c r="AT29" s="241">
        <f t="shared" si="15"/>
        <v>0</v>
      </c>
      <c r="AW29" s="241">
        <f t="shared" si="16"/>
        <v>0</v>
      </c>
      <c r="AZ29" s="241">
        <f t="shared" si="17"/>
        <v>0</v>
      </c>
      <c r="BC29" s="241">
        <f t="shared" si="18"/>
        <v>0</v>
      </c>
      <c r="BF29" s="241">
        <f t="shared" si="19"/>
        <v>0</v>
      </c>
      <c r="BI29" s="241">
        <f t="shared" si="20"/>
        <v>0</v>
      </c>
      <c r="BL29" s="241">
        <f t="shared" si="21"/>
        <v>0</v>
      </c>
      <c r="BO29" s="241">
        <f t="shared" si="22"/>
        <v>0</v>
      </c>
      <c r="BR29" s="241">
        <f t="shared" si="23"/>
        <v>0</v>
      </c>
      <c r="BU29" s="241">
        <f t="shared" si="24"/>
        <v>0</v>
      </c>
      <c r="BX29" s="241">
        <f t="shared" si="25"/>
        <v>0</v>
      </c>
      <c r="CA29" s="241">
        <f t="shared" si="26"/>
        <v>0</v>
      </c>
      <c r="CD29" s="241">
        <f t="shared" si="27"/>
        <v>0</v>
      </c>
      <c r="CG29" s="241">
        <f t="shared" si="28"/>
        <v>0</v>
      </c>
      <c r="CJ29" s="241">
        <f t="shared" si="29"/>
        <v>0</v>
      </c>
      <c r="CM29" s="241">
        <f t="shared" si="30"/>
        <v>0</v>
      </c>
      <c r="CP29" s="241">
        <f t="shared" si="31"/>
        <v>0</v>
      </c>
      <c r="CS29" s="241">
        <f t="shared" si="32"/>
        <v>0</v>
      </c>
      <c r="CV29" s="241">
        <f t="shared" si="33"/>
        <v>0</v>
      </c>
      <c r="CY29" s="241">
        <f t="shared" si="34"/>
        <v>0</v>
      </c>
      <c r="DB29" s="241">
        <f t="shared" si="35"/>
        <v>0</v>
      </c>
      <c r="DE29" s="241">
        <f t="shared" si="36"/>
        <v>0</v>
      </c>
      <c r="DH29" s="241">
        <f t="shared" si="37"/>
        <v>0</v>
      </c>
      <c r="DK29" s="241">
        <f t="shared" si="38"/>
        <v>0</v>
      </c>
      <c r="DN29" s="241">
        <f t="shared" si="39"/>
        <v>0</v>
      </c>
      <c r="DQ29" s="241">
        <f t="shared" si="40"/>
        <v>0</v>
      </c>
      <c r="DT29" s="241">
        <f t="shared" si="41"/>
        <v>0</v>
      </c>
      <c r="DW29" s="241">
        <f t="shared" si="42"/>
        <v>0</v>
      </c>
      <c r="DZ29" s="241"/>
      <c r="EA29" s="241"/>
      <c r="EB29" s="261">
        <f t="shared" si="43"/>
        <v>276825000</v>
      </c>
      <c r="EC29" s="261">
        <f t="shared" si="44"/>
        <v>101825000</v>
      </c>
      <c r="ED29" s="241">
        <f t="shared" si="45"/>
        <v>41176.729166666672</v>
      </c>
      <c r="EE29" s="242">
        <f t="shared" si="46"/>
        <v>5.3548713085884596E-2</v>
      </c>
      <c r="EG29" s="261">
        <f t="shared" si="47"/>
        <v>0</v>
      </c>
      <c r="EH29" s="241">
        <f t="shared" si="48"/>
        <v>0</v>
      </c>
      <c r="EI29" s="242">
        <f t="shared" si="49"/>
        <v>0</v>
      </c>
      <c r="EJ29" s="242"/>
      <c r="EK29" s="261">
        <f t="shared" si="50"/>
        <v>175000000</v>
      </c>
      <c r="EL29" s="261">
        <f t="shared" si="51"/>
        <v>0</v>
      </c>
      <c r="EM29" s="261">
        <f t="shared" si="52"/>
        <v>26666.666666666668</v>
      </c>
      <c r="EN29" s="242">
        <f t="shared" si="53"/>
        <v>5.4857142857142861E-2</v>
      </c>
      <c r="EP29" s="241"/>
    </row>
    <row r="30" spans="1:146" x14ac:dyDescent="0.25">
      <c r="A30" s="255">
        <f t="shared" si="54"/>
        <v>45555</v>
      </c>
      <c r="B30" s="241">
        <v>76500000</v>
      </c>
      <c r="C30" s="242">
        <v>5.1299999999999998E-2</v>
      </c>
      <c r="D30" s="241">
        <f t="shared" si="0"/>
        <v>10901.25</v>
      </c>
      <c r="G30" s="241">
        <f t="shared" si="1"/>
        <v>0</v>
      </c>
      <c r="J30" s="241">
        <f t="shared" si="2"/>
        <v>0</v>
      </c>
      <c r="M30" s="241">
        <f t="shared" si="3"/>
        <v>0</v>
      </c>
      <c r="P30" s="241">
        <f t="shared" si="4"/>
        <v>0</v>
      </c>
      <c r="S30" s="241">
        <f t="shared" si="5"/>
        <v>0</v>
      </c>
      <c r="V30" s="241">
        <f t="shared" si="6"/>
        <v>0</v>
      </c>
      <c r="Y30" s="241">
        <f t="shared" si="7"/>
        <v>0</v>
      </c>
      <c r="AB30" s="241">
        <f t="shared" si="8"/>
        <v>0</v>
      </c>
      <c r="AE30" s="241">
        <v>0</v>
      </c>
      <c r="AH30" s="241">
        <v>0</v>
      </c>
      <c r="AI30" s="256">
        <f>24025000</f>
        <v>24025000</v>
      </c>
      <c r="AJ30" s="257">
        <v>4.9500000000000002E-2</v>
      </c>
      <c r="AK30" s="241">
        <f t="shared" si="9"/>
        <v>3303.4375</v>
      </c>
      <c r="AL30" s="256">
        <f t="shared" si="10"/>
        <v>50000000</v>
      </c>
      <c r="AM30" s="257">
        <v>5.45E-2</v>
      </c>
      <c r="AN30" s="241">
        <f t="shared" si="11"/>
        <v>7569.4444444444443</v>
      </c>
      <c r="AO30" s="256">
        <f t="shared" si="12"/>
        <v>125000000</v>
      </c>
      <c r="AP30" s="257">
        <v>5.5E-2</v>
      </c>
      <c r="AQ30" s="241">
        <f t="shared" si="13"/>
        <v>19097.222222222223</v>
      </c>
      <c r="AR30" s="256"/>
      <c r="AS30" s="257"/>
      <c r="AT30" s="241">
        <f t="shared" si="15"/>
        <v>0</v>
      </c>
      <c r="AW30" s="241">
        <f t="shared" si="16"/>
        <v>0</v>
      </c>
      <c r="AZ30" s="241">
        <f t="shared" si="17"/>
        <v>0</v>
      </c>
      <c r="BC30" s="241">
        <f t="shared" si="18"/>
        <v>0</v>
      </c>
      <c r="BF30" s="241">
        <f t="shared" si="19"/>
        <v>0</v>
      </c>
      <c r="BI30" s="241">
        <f t="shared" si="20"/>
        <v>0</v>
      </c>
      <c r="BL30" s="241">
        <f t="shared" si="21"/>
        <v>0</v>
      </c>
      <c r="BO30" s="241">
        <f t="shared" si="22"/>
        <v>0</v>
      </c>
      <c r="BR30" s="241">
        <f t="shared" si="23"/>
        <v>0</v>
      </c>
      <c r="BU30" s="241">
        <f t="shared" si="24"/>
        <v>0</v>
      </c>
      <c r="BX30" s="241">
        <f t="shared" si="25"/>
        <v>0</v>
      </c>
      <c r="CA30" s="241">
        <f t="shared" si="26"/>
        <v>0</v>
      </c>
      <c r="CD30" s="241">
        <f t="shared" si="27"/>
        <v>0</v>
      </c>
      <c r="CG30" s="241">
        <f t="shared" si="28"/>
        <v>0</v>
      </c>
      <c r="CJ30" s="241">
        <f t="shared" si="29"/>
        <v>0</v>
      </c>
      <c r="CM30" s="241">
        <f t="shared" si="30"/>
        <v>0</v>
      </c>
      <c r="CP30" s="241">
        <f t="shared" si="31"/>
        <v>0</v>
      </c>
      <c r="CS30" s="241">
        <f t="shared" si="32"/>
        <v>0</v>
      </c>
      <c r="CV30" s="241">
        <f t="shared" si="33"/>
        <v>0</v>
      </c>
      <c r="CY30" s="241">
        <f t="shared" si="34"/>
        <v>0</v>
      </c>
      <c r="DB30" s="241">
        <f t="shared" si="35"/>
        <v>0</v>
      </c>
      <c r="DE30" s="241">
        <f t="shared" si="36"/>
        <v>0</v>
      </c>
      <c r="DH30" s="241">
        <f t="shared" si="37"/>
        <v>0</v>
      </c>
      <c r="DK30" s="241">
        <f t="shared" si="38"/>
        <v>0</v>
      </c>
      <c r="DN30" s="241">
        <f t="shared" si="39"/>
        <v>0</v>
      </c>
      <c r="DQ30" s="241">
        <f t="shared" si="40"/>
        <v>0</v>
      </c>
      <c r="DT30" s="241">
        <f t="shared" si="41"/>
        <v>0</v>
      </c>
      <c r="DW30" s="241">
        <f t="shared" si="42"/>
        <v>0</v>
      </c>
      <c r="DZ30" s="241"/>
      <c r="EA30" s="241"/>
      <c r="EB30" s="261">
        <f t="shared" si="43"/>
        <v>275525000</v>
      </c>
      <c r="EC30" s="261">
        <f t="shared" si="44"/>
        <v>76500000</v>
      </c>
      <c r="ED30" s="241">
        <f t="shared" si="45"/>
        <v>40871.354166666672</v>
      </c>
      <c r="EE30" s="242">
        <f t="shared" si="46"/>
        <v>5.34023682061519E-2</v>
      </c>
      <c r="EG30" s="261">
        <f t="shared" si="47"/>
        <v>0</v>
      </c>
      <c r="EH30" s="241">
        <f t="shared" si="48"/>
        <v>0</v>
      </c>
      <c r="EI30" s="242">
        <f t="shared" si="49"/>
        <v>0</v>
      </c>
      <c r="EJ30" s="242"/>
      <c r="EK30" s="261">
        <f t="shared" si="50"/>
        <v>199025000</v>
      </c>
      <c r="EL30" s="261">
        <f t="shared" si="51"/>
        <v>0</v>
      </c>
      <c r="EM30" s="261">
        <f t="shared" si="52"/>
        <v>29970.104166666668</v>
      </c>
      <c r="EN30" s="242">
        <f t="shared" si="53"/>
        <v>5.4210463509609341E-2</v>
      </c>
      <c r="EP30" s="241"/>
    </row>
    <row r="31" spans="1:146" x14ac:dyDescent="0.25">
      <c r="A31" s="255">
        <f t="shared" si="54"/>
        <v>45556</v>
      </c>
      <c r="B31" s="241">
        <v>76500000</v>
      </c>
      <c r="C31" s="242">
        <v>5.1299999999999998E-2</v>
      </c>
      <c r="D31" s="241">
        <f t="shared" si="0"/>
        <v>10901.25</v>
      </c>
      <c r="G31" s="241">
        <f t="shared" si="1"/>
        <v>0</v>
      </c>
      <c r="J31" s="241">
        <f t="shared" si="2"/>
        <v>0</v>
      </c>
      <c r="M31" s="241">
        <f t="shared" si="3"/>
        <v>0</v>
      </c>
      <c r="P31" s="241">
        <f t="shared" si="4"/>
        <v>0</v>
      </c>
      <c r="S31" s="241">
        <f t="shared" si="5"/>
        <v>0</v>
      </c>
      <c r="V31" s="241">
        <f t="shared" si="6"/>
        <v>0</v>
      </c>
      <c r="Y31" s="241">
        <f t="shared" si="7"/>
        <v>0</v>
      </c>
      <c r="AB31" s="241">
        <f t="shared" si="8"/>
        <v>0</v>
      </c>
      <c r="AE31" s="241">
        <v>0</v>
      </c>
      <c r="AH31" s="241">
        <v>0</v>
      </c>
      <c r="AI31" s="256">
        <f>24025000</f>
        <v>24025000</v>
      </c>
      <c r="AJ31" s="257">
        <v>4.9500000000000002E-2</v>
      </c>
      <c r="AK31" s="241">
        <f t="shared" si="9"/>
        <v>3303.4375</v>
      </c>
      <c r="AL31" s="256">
        <f t="shared" si="10"/>
        <v>50000000</v>
      </c>
      <c r="AM31" s="257">
        <v>5.45E-2</v>
      </c>
      <c r="AN31" s="241">
        <f t="shared" si="11"/>
        <v>7569.4444444444443</v>
      </c>
      <c r="AO31" s="256">
        <f t="shared" si="12"/>
        <v>125000000</v>
      </c>
      <c r="AP31" s="257">
        <v>5.5E-2</v>
      </c>
      <c r="AQ31" s="241">
        <f t="shared" si="13"/>
        <v>19097.222222222223</v>
      </c>
      <c r="AR31" s="256"/>
      <c r="AS31" s="257"/>
      <c r="AT31" s="241">
        <f t="shared" si="15"/>
        <v>0</v>
      </c>
      <c r="AW31" s="241">
        <f t="shared" si="16"/>
        <v>0</v>
      </c>
      <c r="AZ31" s="241">
        <f t="shared" si="17"/>
        <v>0</v>
      </c>
      <c r="BC31" s="241">
        <f t="shared" si="18"/>
        <v>0</v>
      </c>
      <c r="BF31" s="241">
        <f t="shared" si="19"/>
        <v>0</v>
      </c>
      <c r="BI31" s="241">
        <f t="shared" si="20"/>
        <v>0</v>
      </c>
      <c r="BL31" s="241">
        <f t="shared" si="21"/>
        <v>0</v>
      </c>
      <c r="BO31" s="241">
        <f t="shared" si="22"/>
        <v>0</v>
      </c>
      <c r="BR31" s="241">
        <f t="shared" si="23"/>
        <v>0</v>
      </c>
      <c r="BU31" s="241">
        <f t="shared" si="24"/>
        <v>0</v>
      </c>
      <c r="BX31" s="241">
        <f t="shared" si="25"/>
        <v>0</v>
      </c>
      <c r="CA31" s="241">
        <f t="shared" si="26"/>
        <v>0</v>
      </c>
      <c r="CD31" s="241">
        <f t="shared" si="27"/>
        <v>0</v>
      </c>
      <c r="CG31" s="241">
        <f t="shared" si="28"/>
        <v>0</v>
      </c>
      <c r="CJ31" s="241">
        <f t="shared" si="29"/>
        <v>0</v>
      </c>
      <c r="CM31" s="241">
        <f t="shared" si="30"/>
        <v>0</v>
      </c>
      <c r="CP31" s="241">
        <f t="shared" si="31"/>
        <v>0</v>
      </c>
      <c r="CS31" s="241">
        <f t="shared" si="32"/>
        <v>0</v>
      </c>
      <c r="CV31" s="241">
        <f t="shared" si="33"/>
        <v>0</v>
      </c>
      <c r="CY31" s="241">
        <f t="shared" si="34"/>
        <v>0</v>
      </c>
      <c r="DB31" s="241">
        <f t="shared" si="35"/>
        <v>0</v>
      </c>
      <c r="DE31" s="241">
        <f t="shared" si="36"/>
        <v>0</v>
      </c>
      <c r="DH31" s="241">
        <f t="shared" si="37"/>
        <v>0</v>
      </c>
      <c r="DK31" s="241">
        <f t="shared" si="38"/>
        <v>0</v>
      </c>
      <c r="DN31" s="241">
        <f t="shared" si="39"/>
        <v>0</v>
      </c>
      <c r="DQ31" s="241">
        <f t="shared" si="40"/>
        <v>0</v>
      </c>
      <c r="DT31" s="241">
        <f t="shared" si="41"/>
        <v>0</v>
      </c>
      <c r="DW31" s="241">
        <f t="shared" si="42"/>
        <v>0</v>
      </c>
      <c r="DZ31" s="241"/>
      <c r="EA31" s="241"/>
      <c r="EB31" s="261">
        <f t="shared" si="43"/>
        <v>275525000</v>
      </c>
      <c r="EC31" s="261">
        <f t="shared" si="44"/>
        <v>76500000</v>
      </c>
      <c r="ED31" s="241">
        <f t="shared" si="45"/>
        <v>40871.354166666672</v>
      </c>
      <c r="EE31" s="242">
        <f t="shared" si="46"/>
        <v>5.34023682061519E-2</v>
      </c>
      <c r="EG31" s="261">
        <f t="shared" si="47"/>
        <v>0</v>
      </c>
      <c r="EH31" s="241">
        <f t="shared" si="48"/>
        <v>0</v>
      </c>
      <c r="EI31" s="242">
        <f t="shared" si="49"/>
        <v>0</v>
      </c>
      <c r="EJ31" s="242"/>
      <c r="EK31" s="261">
        <f t="shared" si="50"/>
        <v>199025000</v>
      </c>
      <c r="EL31" s="261">
        <f t="shared" si="51"/>
        <v>0</v>
      </c>
      <c r="EM31" s="261">
        <f t="shared" si="52"/>
        <v>29970.104166666668</v>
      </c>
      <c r="EN31" s="242">
        <f t="shared" si="53"/>
        <v>5.4210463509609341E-2</v>
      </c>
      <c r="EP31" s="241"/>
    </row>
    <row r="32" spans="1:146" x14ac:dyDescent="0.25">
      <c r="A32" s="255">
        <f t="shared" si="54"/>
        <v>45557</v>
      </c>
      <c r="B32" s="241">
        <v>76500000</v>
      </c>
      <c r="C32" s="242">
        <v>5.1299999999999998E-2</v>
      </c>
      <c r="D32" s="241">
        <f t="shared" si="0"/>
        <v>10901.25</v>
      </c>
      <c r="G32" s="241">
        <f t="shared" si="1"/>
        <v>0</v>
      </c>
      <c r="J32" s="241">
        <f t="shared" si="2"/>
        <v>0</v>
      </c>
      <c r="M32" s="241">
        <f t="shared" si="3"/>
        <v>0</v>
      </c>
      <c r="P32" s="241">
        <f t="shared" si="4"/>
        <v>0</v>
      </c>
      <c r="S32" s="241">
        <f t="shared" si="5"/>
        <v>0</v>
      </c>
      <c r="V32" s="241">
        <f t="shared" si="6"/>
        <v>0</v>
      </c>
      <c r="Y32" s="241">
        <f t="shared" si="7"/>
        <v>0</v>
      </c>
      <c r="AB32" s="241">
        <f t="shared" si="8"/>
        <v>0</v>
      </c>
      <c r="AE32" s="241">
        <v>0</v>
      </c>
      <c r="AH32" s="241">
        <v>0</v>
      </c>
      <c r="AI32" s="256">
        <f>24025000</f>
        <v>24025000</v>
      </c>
      <c r="AJ32" s="257">
        <v>4.9500000000000002E-2</v>
      </c>
      <c r="AK32" s="241">
        <f t="shared" si="9"/>
        <v>3303.4375</v>
      </c>
      <c r="AL32" s="256">
        <f t="shared" si="10"/>
        <v>50000000</v>
      </c>
      <c r="AM32" s="257">
        <v>5.45E-2</v>
      </c>
      <c r="AN32" s="241">
        <f t="shared" si="11"/>
        <v>7569.4444444444443</v>
      </c>
      <c r="AO32" s="256">
        <f t="shared" si="12"/>
        <v>125000000</v>
      </c>
      <c r="AP32" s="257">
        <v>5.5E-2</v>
      </c>
      <c r="AQ32" s="241">
        <f t="shared" si="13"/>
        <v>19097.222222222223</v>
      </c>
      <c r="AR32" s="256"/>
      <c r="AS32" s="257"/>
      <c r="AT32" s="241">
        <f t="shared" si="15"/>
        <v>0</v>
      </c>
      <c r="AW32" s="241">
        <f t="shared" si="16"/>
        <v>0</v>
      </c>
      <c r="AZ32" s="241">
        <f t="shared" si="17"/>
        <v>0</v>
      </c>
      <c r="BC32" s="241">
        <f t="shared" si="18"/>
        <v>0</v>
      </c>
      <c r="BF32" s="241">
        <f t="shared" si="19"/>
        <v>0</v>
      </c>
      <c r="BI32" s="241">
        <f t="shared" si="20"/>
        <v>0</v>
      </c>
      <c r="BL32" s="241">
        <f t="shared" si="21"/>
        <v>0</v>
      </c>
      <c r="BO32" s="241">
        <f t="shared" si="22"/>
        <v>0</v>
      </c>
      <c r="BR32" s="241">
        <f t="shared" si="23"/>
        <v>0</v>
      </c>
      <c r="BU32" s="241">
        <f t="shared" si="24"/>
        <v>0</v>
      </c>
      <c r="BX32" s="241">
        <f t="shared" si="25"/>
        <v>0</v>
      </c>
      <c r="CA32" s="241">
        <f t="shared" si="26"/>
        <v>0</v>
      </c>
      <c r="CD32" s="241">
        <f t="shared" si="27"/>
        <v>0</v>
      </c>
      <c r="CG32" s="241">
        <f t="shared" si="28"/>
        <v>0</v>
      </c>
      <c r="CJ32" s="241">
        <f t="shared" si="29"/>
        <v>0</v>
      </c>
      <c r="CM32" s="241">
        <f t="shared" si="30"/>
        <v>0</v>
      </c>
      <c r="CP32" s="241">
        <f t="shared" si="31"/>
        <v>0</v>
      </c>
      <c r="CS32" s="241">
        <f t="shared" si="32"/>
        <v>0</v>
      </c>
      <c r="CV32" s="241">
        <f t="shared" si="33"/>
        <v>0</v>
      </c>
      <c r="CY32" s="241">
        <f t="shared" si="34"/>
        <v>0</v>
      </c>
      <c r="DB32" s="241">
        <f t="shared" si="35"/>
        <v>0</v>
      </c>
      <c r="DE32" s="241">
        <f t="shared" si="36"/>
        <v>0</v>
      </c>
      <c r="DH32" s="241">
        <f t="shared" si="37"/>
        <v>0</v>
      </c>
      <c r="DK32" s="241">
        <f t="shared" si="38"/>
        <v>0</v>
      </c>
      <c r="DN32" s="241">
        <f t="shared" si="39"/>
        <v>0</v>
      </c>
      <c r="DQ32" s="241">
        <f t="shared" si="40"/>
        <v>0</v>
      </c>
      <c r="DT32" s="241">
        <f t="shared" si="41"/>
        <v>0</v>
      </c>
      <c r="DW32" s="241">
        <f t="shared" si="42"/>
        <v>0</v>
      </c>
      <c r="DZ32" s="241"/>
      <c r="EA32" s="241"/>
      <c r="EB32" s="261">
        <f t="shared" si="43"/>
        <v>275525000</v>
      </c>
      <c r="EC32" s="261">
        <f t="shared" si="44"/>
        <v>76500000</v>
      </c>
      <c r="ED32" s="241">
        <f t="shared" si="45"/>
        <v>40871.354166666672</v>
      </c>
      <c r="EE32" s="242">
        <f t="shared" si="46"/>
        <v>5.34023682061519E-2</v>
      </c>
      <c r="EG32" s="261">
        <f t="shared" si="47"/>
        <v>0</v>
      </c>
      <c r="EH32" s="241">
        <f t="shared" si="48"/>
        <v>0</v>
      </c>
      <c r="EI32" s="242">
        <f t="shared" si="49"/>
        <v>0</v>
      </c>
      <c r="EJ32" s="242"/>
      <c r="EK32" s="261">
        <f t="shared" si="50"/>
        <v>199025000</v>
      </c>
      <c r="EL32" s="261">
        <f t="shared" si="51"/>
        <v>0</v>
      </c>
      <c r="EM32" s="261">
        <f t="shared" si="52"/>
        <v>29970.104166666668</v>
      </c>
      <c r="EN32" s="242">
        <f t="shared" si="53"/>
        <v>5.4210463509609341E-2</v>
      </c>
      <c r="EP32" s="241"/>
    </row>
    <row r="33" spans="1:146" x14ac:dyDescent="0.25">
      <c r="A33" s="255">
        <f t="shared" si="54"/>
        <v>45558</v>
      </c>
      <c r="B33" s="241">
        <v>71175000</v>
      </c>
      <c r="C33" s="242">
        <v>5.1299999999999998E-2</v>
      </c>
      <c r="D33" s="241">
        <f t="shared" si="0"/>
        <v>10142.4375</v>
      </c>
      <c r="G33" s="241">
        <f t="shared" si="1"/>
        <v>0</v>
      </c>
      <c r="J33" s="241">
        <f t="shared" si="2"/>
        <v>0</v>
      </c>
      <c r="M33" s="241">
        <f t="shared" si="3"/>
        <v>0</v>
      </c>
      <c r="P33" s="241">
        <f t="shared" si="4"/>
        <v>0</v>
      </c>
      <c r="S33" s="241">
        <f t="shared" si="5"/>
        <v>0</v>
      </c>
      <c r="V33" s="241">
        <f t="shared" si="6"/>
        <v>0</v>
      </c>
      <c r="Y33" s="241">
        <f t="shared" si="7"/>
        <v>0</v>
      </c>
      <c r="AB33" s="241">
        <f t="shared" si="8"/>
        <v>0</v>
      </c>
      <c r="AE33" s="241">
        <v>0</v>
      </c>
      <c r="AH33" s="241">
        <v>0</v>
      </c>
      <c r="AI33" s="256">
        <v>25025000</v>
      </c>
      <c r="AJ33" s="257">
        <v>4.9500000000000002E-2</v>
      </c>
      <c r="AK33" s="241">
        <f t="shared" si="9"/>
        <v>3440.9375</v>
      </c>
      <c r="AL33" s="256">
        <f t="shared" si="10"/>
        <v>50000000</v>
      </c>
      <c r="AM33" s="257">
        <v>5.45E-2</v>
      </c>
      <c r="AN33" s="241">
        <f t="shared" si="11"/>
        <v>7569.4444444444443</v>
      </c>
      <c r="AO33" s="256">
        <f t="shared" si="12"/>
        <v>125000000</v>
      </c>
      <c r="AP33" s="257">
        <v>5.5E-2</v>
      </c>
      <c r="AQ33" s="241">
        <f t="shared" si="13"/>
        <v>19097.222222222223</v>
      </c>
      <c r="AR33" s="256"/>
      <c r="AS33" s="257"/>
      <c r="AT33" s="241">
        <f t="shared" si="15"/>
        <v>0</v>
      </c>
      <c r="AW33" s="241">
        <f t="shared" si="16"/>
        <v>0</v>
      </c>
      <c r="AZ33" s="241">
        <f t="shared" si="17"/>
        <v>0</v>
      </c>
      <c r="BC33" s="241">
        <f t="shared" si="18"/>
        <v>0</v>
      </c>
      <c r="BF33" s="241">
        <f t="shared" si="19"/>
        <v>0</v>
      </c>
      <c r="BI33" s="241">
        <f t="shared" si="20"/>
        <v>0</v>
      </c>
      <c r="BL33" s="241">
        <f t="shared" si="21"/>
        <v>0</v>
      </c>
      <c r="BO33" s="241">
        <f t="shared" si="22"/>
        <v>0</v>
      </c>
      <c r="BR33" s="241">
        <f t="shared" si="23"/>
        <v>0</v>
      </c>
      <c r="BU33" s="241">
        <f t="shared" si="24"/>
        <v>0</v>
      </c>
      <c r="BX33" s="241">
        <f t="shared" si="25"/>
        <v>0</v>
      </c>
      <c r="CA33" s="241">
        <f t="shared" si="26"/>
        <v>0</v>
      </c>
      <c r="CD33" s="241">
        <f t="shared" si="27"/>
        <v>0</v>
      </c>
      <c r="CG33" s="241">
        <f t="shared" si="28"/>
        <v>0</v>
      </c>
      <c r="CJ33" s="241">
        <f t="shared" si="29"/>
        <v>0</v>
      </c>
      <c r="CM33" s="241">
        <f t="shared" si="30"/>
        <v>0</v>
      </c>
      <c r="CP33" s="241">
        <f t="shared" si="31"/>
        <v>0</v>
      </c>
      <c r="CS33" s="241">
        <f t="shared" si="32"/>
        <v>0</v>
      </c>
      <c r="CV33" s="241">
        <f t="shared" si="33"/>
        <v>0</v>
      </c>
      <c r="CY33" s="241">
        <f t="shared" si="34"/>
        <v>0</v>
      </c>
      <c r="DB33" s="241">
        <f t="shared" si="35"/>
        <v>0</v>
      </c>
      <c r="DE33" s="241">
        <f t="shared" si="36"/>
        <v>0</v>
      </c>
      <c r="DH33" s="241">
        <f t="shared" si="37"/>
        <v>0</v>
      </c>
      <c r="DK33" s="241">
        <f t="shared" si="38"/>
        <v>0</v>
      </c>
      <c r="DN33" s="241">
        <f t="shared" si="39"/>
        <v>0</v>
      </c>
      <c r="DQ33" s="241">
        <f t="shared" si="40"/>
        <v>0</v>
      </c>
      <c r="DT33" s="241">
        <f t="shared" si="41"/>
        <v>0</v>
      </c>
      <c r="DW33" s="241">
        <f t="shared" si="42"/>
        <v>0</v>
      </c>
      <c r="DZ33" s="241"/>
      <c r="EA33" s="241"/>
      <c r="EB33" s="261">
        <f t="shared" si="43"/>
        <v>271200000</v>
      </c>
      <c r="EC33" s="261">
        <f t="shared" si="44"/>
        <v>71175000</v>
      </c>
      <c r="ED33" s="241">
        <f t="shared" si="45"/>
        <v>40250.041666666672</v>
      </c>
      <c r="EE33" s="242">
        <f t="shared" si="46"/>
        <v>5.3429258849557529E-2</v>
      </c>
      <c r="EG33" s="261">
        <f t="shared" si="47"/>
        <v>0</v>
      </c>
      <c r="EH33" s="241">
        <f t="shared" si="48"/>
        <v>0</v>
      </c>
      <c r="EI33" s="242">
        <f t="shared" si="49"/>
        <v>0</v>
      </c>
      <c r="EJ33" s="242"/>
      <c r="EK33" s="261">
        <f t="shared" si="50"/>
        <v>200025000</v>
      </c>
      <c r="EL33" s="261">
        <f t="shared" si="51"/>
        <v>0</v>
      </c>
      <c r="EM33" s="261">
        <f t="shared" si="52"/>
        <v>30107.604166666668</v>
      </c>
      <c r="EN33" s="242">
        <f t="shared" si="53"/>
        <v>5.4186914135733032E-2</v>
      </c>
      <c r="EP33" s="241"/>
    </row>
    <row r="34" spans="1:146" x14ac:dyDescent="0.25">
      <c r="A34" s="255">
        <f t="shared" si="54"/>
        <v>45559</v>
      </c>
      <c r="B34" s="241">
        <v>0</v>
      </c>
      <c r="C34" s="242">
        <v>4.6900000000000004E-2</v>
      </c>
      <c r="D34" s="241">
        <f t="shared" si="0"/>
        <v>0</v>
      </c>
      <c r="G34" s="241">
        <f t="shared" si="1"/>
        <v>0</v>
      </c>
      <c r="J34" s="241">
        <f t="shared" si="2"/>
        <v>0</v>
      </c>
      <c r="M34" s="241">
        <f t="shared" si="3"/>
        <v>0</v>
      </c>
      <c r="P34" s="241">
        <f t="shared" si="4"/>
        <v>0</v>
      </c>
      <c r="S34" s="241">
        <f t="shared" si="5"/>
        <v>0</v>
      </c>
      <c r="V34" s="241">
        <f t="shared" si="6"/>
        <v>0</v>
      </c>
      <c r="Y34" s="241">
        <f t="shared" si="7"/>
        <v>0</v>
      </c>
      <c r="AB34" s="241">
        <f t="shared" si="8"/>
        <v>0</v>
      </c>
      <c r="AE34" s="241">
        <v>0</v>
      </c>
      <c r="AH34" s="241">
        <v>0</v>
      </c>
      <c r="AI34" s="256"/>
      <c r="AJ34" s="257"/>
      <c r="AK34" s="241">
        <f t="shared" si="9"/>
        <v>0</v>
      </c>
      <c r="AL34" s="256">
        <f t="shared" si="10"/>
        <v>50000000</v>
      </c>
      <c r="AM34" s="257">
        <v>5.45E-2</v>
      </c>
      <c r="AN34" s="241">
        <f t="shared" si="11"/>
        <v>7569.4444444444443</v>
      </c>
      <c r="AO34" s="256">
        <f t="shared" si="12"/>
        <v>125000000</v>
      </c>
      <c r="AP34" s="257">
        <v>5.5E-2</v>
      </c>
      <c r="AQ34" s="241">
        <f t="shared" si="13"/>
        <v>19097.222222222223</v>
      </c>
      <c r="AR34" s="256">
        <f t="shared" ref="AR34:AR40" si="55">100000000+50000000+60000000</f>
        <v>210000000</v>
      </c>
      <c r="AS34" s="257">
        <v>5.0099999999999999E-2</v>
      </c>
      <c r="AT34" s="241">
        <f t="shared" si="15"/>
        <v>29225</v>
      </c>
      <c r="AW34" s="241">
        <f t="shared" si="16"/>
        <v>0</v>
      </c>
      <c r="AZ34" s="241">
        <f t="shared" si="17"/>
        <v>0</v>
      </c>
      <c r="BC34" s="241">
        <f t="shared" si="18"/>
        <v>0</v>
      </c>
      <c r="BF34" s="241">
        <f t="shared" si="19"/>
        <v>0</v>
      </c>
      <c r="BI34" s="241">
        <f t="shared" si="20"/>
        <v>0</v>
      </c>
      <c r="BL34" s="241">
        <f t="shared" si="21"/>
        <v>0</v>
      </c>
      <c r="BO34" s="241">
        <f t="shared" si="22"/>
        <v>0</v>
      </c>
      <c r="BR34" s="241">
        <f t="shared" si="23"/>
        <v>0</v>
      </c>
      <c r="BU34" s="241">
        <f t="shared" si="24"/>
        <v>0</v>
      </c>
      <c r="BX34" s="241">
        <f t="shared" si="25"/>
        <v>0</v>
      </c>
      <c r="CA34" s="241">
        <f t="shared" si="26"/>
        <v>0</v>
      </c>
      <c r="CD34" s="241">
        <f t="shared" si="27"/>
        <v>0</v>
      </c>
      <c r="CG34" s="241">
        <f t="shared" si="28"/>
        <v>0</v>
      </c>
      <c r="CJ34" s="241">
        <f t="shared" si="29"/>
        <v>0</v>
      </c>
      <c r="CM34" s="241">
        <f t="shared" si="30"/>
        <v>0</v>
      </c>
      <c r="CP34" s="241">
        <f t="shared" si="31"/>
        <v>0</v>
      </c>
      <c r="CS34" s="241">
        <f t="shared" si="32"/>
        <v>0</v>
      </c>
      <c r="CV34" s="241">
        <f t="shared" si="33"/>
        <v>0</v>
      </c>
      <c r="CY34" s="241">
        <f t="shared" si="34"/>
        <v>0</v>
      </c>
      <c r="DB34" s="241">
        <f t="shared" si="35"/>
        <v>0</v>
      </c>
      <c r="DE34" s="241">
        <f t="shared" si="36"/>
        <v>0</v>
      </c>
      <c r="DH34" s="241">
        <f t="shared" si="37"/>
        <v>0</v>
      </c>
      <c r="DK34" s="241">
        <f t="shared" si="38"/>
        <v>0</v>
      </c>
      <c r="DN34" s="241">
        <f t="shared" si="39"/>
        <v>0</v>
      </c>
      <c r="DQ34" s="241">
        <f t="shared" si="40"/>
        <v>0</v>
      </c>
      <c r="DT34" s="241">
        <f t="shared" si="41"/>
        <v>0</v>
      </c>
      <c r="DW34" s="241">
        <f t="shared" si="42"/>
        <v>0</v>
      </c>
      <c r="DZ34" s="241"/>
      <c r="EA34" s="241"/>
      <c r="EB34" s="261">
        <f t="shared" si="43"/>
        <v>385000000</v>
      </c>
      <c r="EC34" s="261">
        <f t="shared" si="44"/>
        <v>0</v>
      </c>
      <c r="ED34" s="241">
        <f t="shared" si="45"/>
        <v>55891.666666666672</v>
      </c>
      <c r="EE34" s="242">
        <f t="shared" si="46"/>
        <v>5.2262337662337663E-2</v>
      </c>
      <c r="EG34" s="261">
        <f t="shared" si="47"/>
        <v>0</v>
      </c>
      <c r="EH34" s="241">
        <f t="shared" si="48"/>
        <v>0</v>
      </c>
      <c r="EI34" s="242">
        <f t="shared" si="49"/>
        <v>0</v>
      </c>
      <c r="EJ34" s="242"/>
      <c r="EK34" s="261">
        <f t="shared" si="50"/>
        <v>385000000</v>
      </c>
      <c r="EL34" s="261">
        <f t="shared" si="51"/>
        <v>0</v>
      </c>
      <c r="EM34" s="261">
        <f t="shared" si="52"/>
        <v>55891.666666666664</v>
      </c>
      <c r="EN34" s="242">
        <f t="shared" si="53"/>
        <v>5.2262337662337663E-2</v>
      </c>
      <c r="EP34" s="241"/>
    </row>
    <row r="35" spans="1:146" x14ac:dyDescent="0.25">
      <c r="A35" s="255">
        <f t="shared" si="54"/>
        <v>45560</v>
      </c>
      <c r="B35" s="241">
        <v>0</v>
      </c>
      <c r="C35" s="242">
        <v>4.7699999999999992E-2</v>
      </c>
      <c r="D35" s="241">
        <f t="shared" si="0"/>
        <v>0</v>
      </c>
      <c r="G35" s="241">
        <f t="shared" si="1"/>
        <v>0</v>
      </c>
      <c r="J35" s="241">
        <f t="shared" si="2"/>
        <v>0</v>
      </c>
      <c r="M35" s="241">
        <f t="shared" si="3"/>
        <v>0</v>
      </c>
      <c r="P35" s="241">
        <f t="shared" si="4"/>
        <v>0</v>
      </c>
      <c r="S35" s="241">
        <f t="shared" si="5"/>
        <v>0</v>
      </c>
      <c r="V35" s="241">
        <f t="shared" si="6"/>
        <v>0</v>
      </c>
      <c r="Y35" s="241">
        <f t="shared" si="7"/>
        <v>0</v>
      </c>
      <c r="AB35" s="241">
        <f t="shared" si="8"/>
        <v>0</v>
      </c>
      <c r="AE35" s="241">
        <v>0</v>
      </c>
      <c r="AH35" s="241">
        <v>0</v>
      </c>
      <c r="AI35" s="256"/>
      <c r="AJ35" s="257"/>
      <c r="AK35" s="241">
        <f t="shared" si="9"/>
        <v>0</v>
      </c>
      <c r="AL35" s="256">
        <f t="shared" si="10"/>
        <v>50000000</v>
      </c>
      <c r="AM35" s="257">
        <v>5.45E-2</v>
      </c>
      <c r="AN35" s="241">
        <f t="shared" si="11"/>
        <v>7569.4444444444443</v>
      </c>
      <c r="AO35" s="256">
        <f t="shared" si="12"/>
        <v>125000000</v>
      </c>
      <c r="AP35" s="257">
        <v>5.5E-2</v>
      </c>
      <c r="AQ35" s="241">
        <f t="shared" si="13"/>
        <v>19097.222222222223</v>
      </c>
      <c r="AR35" s="256">
        <f t="shared" si="55"/>
        <v>210000000</v>
      </c>
      <c r="AS35" s="257">
        <v>5.0099999999999999E-2</v>
      </c>
      <c r="AT35" s="241">
        <f t="shared" si="15"/>
        <v>29225</v>
      </c>
      <c r="AW35" s="241">
        <f t="shared" si="16"/>
        <v>0</v>
      </c>
      <c r="AZ35" s="241">
        <f t="shared" si="17"/>
        <v>0</v>
      </c>
      <c r="BC35" s="241">
        <f t="shared" si="18"/>
        <v>0</v>
      </c>
      <c r="BF35" s="241">
        <f t="shared" si="19"/>
        <v>0</v>
      </c>
      <c r="BI35" s="241">
        <f t="shared" si="20"/>
        <v>0</v>
      </c>
      <c r="BL35" s="241">
        <f t="shared" si="21"/>
        <v>0</v>
      </c>
      <c r="BO35" s="241">
        <f t="shared" si="22"/>
        <v>0</v>
      </c>
      <c r="BR35" s="241">
        <f t="shared" si="23"/>
        <v>0</v>
      </c>
      <c r="BU35" s="241">
        <f t="shared" si="24"/>
        <v>0</v>
      </c>
      <c r="BX35" s="241">
        <f t="shared" si="25"/>
        <v>0</v>
      </c>
      <c r="CA35" s="241">
        <f t="shared" si="26"/>
        <v>0</v>
      </c>
      <c r="CD35" s="241">
        <f t="shared" si="27"/>
        <v>0</v>
      </c>
      <c r="CG35" s="241">
        <f t="shared" si="28"/>
        <v>0</v>
      </c>
      <c r="CJ35" s="241">
        <f t="shared" si="29"/>
        <v>0</v>
      </c>
      <c r="CM35" s="241">
        <f t="shared" si="30"/>
        <v>0</v>
      </c>
      <c r="CP35" s="241">
        <f t="shared" si="31"/>
        <v>0</v>
      </c>
      <c r="CS35" s="241">
        <f t="shared" si="32"/>
        <v>0</v>
      </c>
      <c r="CV35" s="241">
        <f t="shared" si="33"/>
        <v>0</v>
      </c>
      <c r="CY35" s="241">
        <f t="shared" si="34"/>
        <v>0</v>
      </c>
      <c r="DB35" s="241">
        <f t="shared" si="35"/>
        <v>0</v>
      </c>
      <c r="DE35" s="241">
        <f t="shared" si="36"/>
        <v>0</v>
      </c>
      <c r="DH35" s="241">
        <f t="shared" si="37"/>
        <v>0</v>
      </c>
      <c r="DK35" s="241">
        <f t="shared" si="38"/>
        <v>0</v>
      </c>
      <c r="DN35" s="241">
        <f t="shared" si="39"/>
        <v>0</v>
      </c>
      <c r="DQ35" s="241">
        <f t="shared" si="40"/>
        <v>0</v>
      </c>
      <c r="DT35" s="241">
        <f t="shared" si="41"/>
        <v>0</v>
      </c>
      <c r="DW35" s="241">
        <f t="shared" si="42"/>
        <v>0</v>
      </c>
      <c r="DZ35" s="241"/>
      <c r="EA35" s="241"/>
      <c r="EB35" s="261">
        <f t="shared" si="43"/>
        <v>385000000</v>
      </c>
      <c r="EC35" s="261">
        <f t="shared" si="44"/>
        <v>0</v>
      </c>
      <c r="ED35" s="241">
        <f t="shared" si="45"/>
        <v>55891.666666666672</v>
      </c>
      <c r="EE35" s="242">
        <f t="shared" si="46"/>
        <v>5.2262337662337663E-2</v>
      </c>
      <c r="EG35" s="261">
        <f t="shared" si="47"/>
        <v>0</v>
      </c>
      <c r="EH35" s="241">
        <f t="shared" si="48"/>
        <v>0</v>
      </c>
      <c r="EI35" s="242">
        <f t="shared" si="49"/>
        <v>0</v>
      </c>
      <c r="EJ35" s="242"/>
      <c r="EK35" s="261">
        <f t="shared" si="50"/>
        <v>385000000</v>
      </c>
      <c r="EL35" s="261">
        <f t="shared" si="51"/>
        <v>0</v>
      </c>
      <c r="EM35" s="261">
        <f t="shared" si="52"/>
        <v>55891.666666666664</v>
      </c>
      <c r="EN35" s="242">
        <f t="shared" si="53"/>
        <v>5.2262337662337663E-2</v>
      </c>
      <c r="EP35" s="241"/>
    </row>
    <row r="36" spans="1:146" x14ac:dyDescent="0.25">
      <c r="A36" s="255">
        <f t="shared" si="54"/>
        <v>45561</v>
      </c>
      <c r="B36" s="241">
        <v>40975000</v>
      </c>
      <c r="C36" s="242">
        <v>4.7899999999999998E-2</v>
      </c>
      <c r="D36" s="241">
        <f t="shared" si="0"/>
        <v>5451.9513888888887</v>
      </c>
      <c r="G36" s="241">
        <f t="shared" si="1"/>
        <v>0</v>
      </c>
      <c r="J36" s="241">
        <f t="shared" si="2"/>
        <v>0</v>
      </c>
      <c r="M36" s="241">
        <f t="shared" si="3"/>
        <v>0</v>
      </c>
      <c r="P36" s="241">
        <f t="shared" si="4"/>
        <v>0</v>
      </c>
      <c r="S36" s="241">
        <f t="shared" si="5"/>
        <v>0</v>
      </c>
      <c r="V36" s="241">
        <f t="shared" si="6"/>
        <v>0</v>
      </c>
      <c r="Y36" s="241">
        <f t="shared" si="7"/>
        <v>0</v>
      </c>
      <c r="AB36" s="241">
        <f t="shared" si="8"/>
        <v>0</v>
      </c>
      <c r="AE36" s="241">
        <v>0</v>
      </c>
      <c r="AH36" s="241">
        <v>0</v>
      </c>
      <c r="AI36" s="256">
        <f>40000000+75000000+70000000+42075000</f>
        <v>227075000</v>
      </c>
      <c r="AJ36" s="257">
        <v>4.9500000000000002E-2</v>
      </c>
      <c r="AK36" s="241">
        <f t="shared" si="9"/>
        <v>31222.8125</v>
      </c>
      <c r="AL36" s="256">
        <f t="shared" si="10"/>
        <v>50000000</v>
      </c>
      <c r="AM36" s="257">
        <v>5.45E-2</v>
      </c>
      <c r="AN36" s="241">
        <f t="shared" si="11"/>
        <v>7569.4444444444443</v>
      </c>
      <c r="AO36" s="256"/>
      <c r="AP36" s="257"/>
      <c r="AQ36" s="241">
        <f t="shared" si="13"/>
        <v>0</v>
      </c>
      <c r="AR36" s="256">
        <f t="shared" si="55"/>
        <v>210000000</v>
      </c>
      <c r="AS36" s="257">
        <v>5.0099999999999999E-2</v>
      </c>
      <c r="AT36" s="241">
        <f t="shared" si="15"/>
        <v>29225</v>
      </c>
      <c r="AW36" s="241">
        <f t="shared" si="16"/>
        <v>0</v>
      </c>
      <c r="AZ36" s="241">
        <f t="shared" si="17"/>
        <v>0</v>
      </c>
      <c r="BC36" s="241">
        <f t="shared" si="18"/>
        <v>0</v>
      </c>
      <c r="BF36" s="241">
        <f t="shared" si="19"/>
        <v>0</v>
      </c>
      <c r="BI36" s="241">
        <f t="shared" si="20"/>
        <v>0</v>
      </c>
      <c r="BL36" s="241">
        <f t="shared" si="21"/>
        <v>0</v>
      </c>
      <c r="BO36" s="241">
        <f t="shared" si="22"/>
        <v>0</v>
      </c>
      <c r="BR36" s="241">
        <f t="shared" si="23"/>
        <v>0</v>
      </c>
      <c r="BU36" s="241">
        <f t="shared" si="24"/>
        <v>0</v>
      </c>
      <c r="BX36" s="241">
        <f t="shared" si="25"/>
        <v>0</v>
      </c>
      <c r="CA36" s="241">
        <f t="shared" si="26"/>
        <v>0</v>
      </c>
      <c r="CD36" s="241">
        <f t="shared" si="27"/>
        <v>0</v>
      </c>
      <c r="CG36" s="241">
        <f t="shared" si="28"/>
        <v>0</v>
      </c>
      <c r="CJ36" s="241">
        <f t="shared" si="29"/>
        <v>0</v>
      </c>
      <c r="CM36" s="241">
        <f t="shared" si="30"/>
        <v>0</v>
      </c>
      <c r="CP36" s="241">
        <f t="shared" si="31"/>
        <v>0</v>
      </c>
      <c r="CS36" s="241">
        <f t="shared" si="32"/>
        <v>0</v>
      </c>
      <c r="CV36" s="241">
        <f t="shared" si="33"/>
        <v>0</v>
      </c>
      <c r="CY36" s="241">
        <f t="shared" si="34"/>
        <v>0</v>
      </c>
      <c r="DB36" s="241">
        <f t="shared" si="35"/>
        <v>0</v>
      </c>
      <c r="DE36" s="241">
        <f t="shared" si="36"/>
        <v>0</v>
      </c>
      <c r="DH36" s="241">
        <f t="shared" si="37"/>
        <v>0</v>
      </c>
      <c r="DK36" s="241">
        <f t="shared" si="38"/>
        <v>0</v>
      </c>
      <c r="DN36" s="241">
        <f t="shared" si="39"/>
        <v>0</v>
      </c>
      <c r="DQ36" s="241">
        <f t="shared" si="40"/>
        <v>0</v>
      </c>
      <c r="DT36" s="241">
        <f t="shared" si="41"/>
        <v>0</v>
      </c>
      <c r="DW36" s="241">
        <f t="shared" si="42"/>
        <v>0</v>
      </c>
      <c r="DZ36" s="241"/>
      <c r="EA36" s="241"/>
      <c r="EB36" s="261">
        <f t="shared" si="43"/>
        <v>528050000</v>
      </c>
      <c r="EC36" s="261">
        <f t="shared" si="44"/>
        <v>40975000</v>
      </c>
      <c r="ED36" s="241">
        <f t="shared" si="45"/>
        <v>73469.208333333343</v>
      </c>
      <c r="EE36" s="242">
        <f t="shared" si="46"/>
        <v>5.0087898873212765E-2</v>
      </c>
      <c r="EG36" s="261">
        <f t="shared" si="47"/>
        <v>0</v>
      </c>
      <c r="EH36" s="241">
        <f t="shared" si="48"/>
        <v>0</v>
      </c>
      <c r="EI36" s="242">
        <f t="shared" si="49"/>
        <v>0</v>
      </c>
      <c r="EJ36" s="242"/>
      <c r="EK36" s="261">
        <f t="shared" si="50"/>
        <v>487075000</v>
      </c>
      <c r="EL36" s="261">
        <f t="shared" si="51"/>
        <v>0</v>
      </c>
      <c r="EM36" s="261">
        <f t="shared" si="52"/>
        <v>68017.256944444438</v>
      </c>
      <c r="EN36" s="242">
        <f t="shared" si="53"/>
        <v>5.0271955037725191E-2</v>
      </c>
      <c r="EP36" s="241"/>
    </row>
    <row r="37" spans="1:146" x14ac:dyDescent="0.25">
      <c r="A37" s="255">
        <f t="shared" si="54"/>
        <v>45562</v>
      </c>
      <c r="B37" s="241">
        <v>41775000</v>
      </c>
      <c r="C37" s="242">
        <v>4.7899999999999998E-2</v>
      </c>
      <c r="D37" s="241">
        <f t="shared" si="0"/>
        <v>5558.395833333333</v>
      </c>
      <c r="G37" s="241">
        <f t="shared" si="1"/>
        <v>0</v>
      </c>
      <c r="J37" s="241">
        <f t="shared" si="2"/>
        <v>0</v>
      </c>
      <c r="M37" s="241">
        <f t="shared" si="3"/>
        <v>0</v>
      </c>
      <c r="P37" s="241">
        <f t="shared" si="4"/>
        <v>0</v>
      </c>
      <c r="S37" s="241">
        <f t="shared" si="5"/>
        <v>0</v>
      </c>
      <c r="V37" s="241">
        <f t="shared" si="6"/>
        <v>0</v>
      </c>
      <c r="Y37" s="241">
        <f t="shared" si="7"/>
        <v>0</v>
      </c>
      <c r="AB37" s="241">
        <f t="shared" si="8"/>
        <v>0</v>
      </c>
      <c r="AE37" s="241">
        <v>0</v>
      </c>
      <c r="AH37" s="241">
        <v>0</v>
      </c>
      <c r="AI37" s="256">
        <f>40000000+32525000</f>
        <v>72525000</v>
      </c>
      <c r="AJ37" s="257">
        <v>4.9500000000000002E-2</v>
      </c>
      <c r="AK37" s="241">
        <f t="shared" si="9"/>
        <v>9972.1875</v>
      </c>
      <c r="AL37" s="256">
        <f t="shared" si="10"/>
        <v>50000000</v>
      </c>
      <c r="AM37" s="257">
        <v>5.45E-2</v>
      </c>
      <c r="AN37" s="241">
        <f t="shared" si="11"/>
        <v>7569.4444444444443</v>
      </c>
      <c r="AO37" s="256">
        <f>25000000+80000000+70000000</f>
        <v>175000000</v>
      </c>
      <c r="AP37" s="257">
        <v>4.9700000000000001E-2</v>
      </c>
      <c r="AQ37" s="241">
        <f t="shared" si="13"/>
        <v>24159.722222222223</v>
      </c>
      <c r="AR37" s="256">
        <f t="shared" si="55"/>
        <v>210000000</v>
      </c>
      <c r="AS37" s="257">
        <v>5.0099999999999999E-2</v>
      </c>
      <c r="AT37" s="241">
        <f t="shared" si="15"/>
        <v>29225</v>
      </c>
      <c r="AW37" s="241">
        <f t="shared" si="16"/>
        <v>0</v>
      </c>
      <c r="AZ37" s="241">
        <f t="shared" si="17"/>
        <v>0</v>
      </c>
      <c r="BC37" s="241">
        <f t="shared" si="18"/>
        <v>0</v>
      </c>
      <c r="BF37" s="241">
        <f t="shared" si="19"/>
        <v>0</v>
      </c>
      <c r="BI37" s="241">
        <f t="shared" si="20"/>
        <v>0</v>
      </c>
      <c r="BL37" s="241">
        <f t="shared" si="21"/>
        <v>0</v>
      </c>
      <c r="BO37" s="241">
        <f t="shared" si="22"/>
        <v>0</v>
      </c>
      <c r="BR37" s="241">
        <f t="shared" si="23"/>
        <v>0</v>
      </c>
      <c r="BU37" s="241">
        <f t="shared" si="24"/>
        <v>0</v>
      </c>
      <c r="BX37" s="241">
        <f t="shared" si="25"/>
        <v>0</v>
      </c>
      <c r="CA37" s="241">
        <f t="shared" si="26"/>
        <v>0</v>
      </c>
      <c r="CD37" s="241">
        <f t="shared" si="27"/>
        <v>0</v>
      </c>
      <c r="CG37" s="241">
        <f t="shared" si="28"/>
        <v>0</v>
      </c>
      <c r="CJ37" s="241">
        <f t="shared" si="29"/>
        <v>0</v>
      </c>
      <c r="CM37" s="241">
        <f t="shared" si="30"/>
        <v>0</v>
      </c>
      <c r="CP37" s="241">
        <f t="shared" si="31"/>
        <v>0</v>
      </c>
      <c r="CS37" s="241">
        <f t="shared" si="32"/>
        <v>0</v>
      </c>
      <c r="CV37" s="241">
        <f t="shared" si="33"/>
        <v>0</v>
      </c>
      <c r="CY37" s="241">
        <f t="shared" si="34"/>
        <v>0</v>
      </c>
      <c r="DB37" s="241">
        <f t="shared" si="35"/>
        <v>0</v>
      </c>
      <c r="DE37" s="241">
        <f t="shared" si="36"/>
        <v>0</v>
      </c>
      <c r="DH37" s="241">
        <f t="shared" si="37"/>
        <v>0</v>
      </c>
      <c r="DK37" s="241">
        <f t="shared" si="38"/>
        <v>0</v>
      </c>
      <c r="DN37" s="241">
        <f t="shared" si="39"/>
        <v>0</v>
      </c>
      <c r="DQ37" s="241">
        <f t="shared" si="40"/>
        <v>0</v>
      </c>
      <c r="DT37" s="241">
        <f t="shared" si="41"/>
        <v>0</v>
      </c>
      <c r="DW37" s="241">
        <f t="shared" si="42"/>
        <v>0</v>
      </c>
      <c r="DZ37" s="241"/>
      <c r="EA37" s="241"/>
      <c r="EB37" s="261">
        <f t="shared" si="43"/>
        <v>549300000</v>
      </c>
      <c r="EC37" s="261">
        <f t="shared" si="44"/>
        <v>41775000</v>
      </c>
      <c r="ED37" s="241">
        <f t="shared" si="45"/>
        <v>76484.75</v>
      </c>
      <c r="EE37" s="242">
        <f t="shared" si="46"/>
        <v>5.0126542872747128E-2</v>
      </c>
      <c r="EG37" s="261">
        <f t="shared" si="47"/>
        <v>0</v>
      </c>
      <c r="EH37" s="241">
        <f t="shared" si="48"/>
        <v>0</v>
      </c>
      <c r="EI37" s="242">
        <f t="shared" si="49"/>
        <v>0</v>
      </c>
      <c r="EJ37" s="242"/>
      <c r="EK37" s="261">
        <f t="shared" si="50"/>
        <v>507525000</v>
      </c>
      <c r="EL37" s="261">
        <f t="shared" si="51"/>
        <v>0</v>
      </c>
      <c r="EM37" s="261">
        <f t="shared" si="52"/>
        <v>70926.354166666657</v>
      </c>
      <c r="EN37" s="242">
        <f t="shared" si="53"/>
        <v>5.0309812324516034E-2</v>
      </c>
      <c r="EP37" s="241"/>
    </row>
    <row r="38" spans="1:146" x14ac:dyDescent="0.25">
      <c r="A38" s="255">
        <f t="shared" si="54"/>
        <v>45563</v>
      </c>
      <c r="B38" s="241">
        <v>41775000</v>
      </c>
      <c r="C38" s="242">
        <v>4.7899999999999998E-2</v>
      </c>
      <c r="D38" s="241">
        <f t="shared" si="0"/>
        <v>5558.395833333333</v>
      </c>
      <c r="G38" s="241">
        <f t="shared" si="1"/>
        <v>0</v>
      </c>
      <c r="J38" s="241">
        <f t="shared" si="2"/>
        <v>0</v>
      </c>
      <c r="M38" s="241">
        <f t="shared" si="3"/>
        <v>0</v>
      </c>
      <c r="P38" s="241">
        <f t="shared" si="4"/>
        <v>0</v>
      </c>
      <c r="S38" s="241">
        <f t="shared" si="5"/>
        <v>0</v>
      </c>
      <c r="V38" s="241">
        <f t="shared" si="6"/>
        <v>0</v>
      </c>
      <c r="Y38" s="241">
        <f t="shared" si="7"/>
        <v>0</v>
      </c>
      <c r="AB38" s="241">
        <f t="shared" si="8"/>
        <v>0</v>
      </c>
      <c r="AE38" s="241">
        <v>0</v>
      </c>
      <c r="AH38" s="241">
        <v>0</v>
      </c>
      <c r="AI38" s="256">
        <f>40000000+32525000</f>
        <v>72525000</v>
      </c>
      <c r="AJ38" s="257">
        <v>4.9500000000000002E-2</v>
      </c>
      <c r="AK38" s="241">
        <f t="shared" si="9"/>
        <v>9972.1875</v>
      </c>
      <c r="AL38" s="256">
        <f t="shared" si="10"/>
        <v>50000000</v>
      </c>
      <c r="AM38" s="257">
        <v>5.45E-2</v>
      </c>
      <c r="AN38" s="241">
        <f t="shared" si="11"/>
        <v>7569.4444444444443</v>
      </c>
      <c r="AO38" s="256">
        <f>25000000+80000000+70000000</f>
        <v>175000000</v>
      </c>
      <c r="AP38" s="257">
        <v>4.9700000000000001E-2</v>
      </c>
      <c r="AQ38" s="241">
        <f t="shared" si="13"/>
        <v>24159.722222222223</v>
      </c>
      <c r="AR38" s="256">
        <f t="shared" si="55"/>
        <v>210000000</v>
      </c>
      <c r="AS38" s="257">
        <v>5.0099999999999999E-2</v>
      </c>
      <c r="AT38" s="241">
        <f t="shared" si="15"/>
        <v>29225</v>
      </c>
      <c r="AW38" s="241">
        <f t="shared" si="16"/>
        <v>0</v>
      </c>
      <c r="AZ38" s="241">
        <f t="shared" si="17"/>
        <v>0</v>
      </c>
      <c r="BC38" s="241">
        <f t="shared" si="18"/>
        <v>0</v>
      </c>
      <c r="BF38" s="241">
        <f t="shared" si="19"/>
        <v>0</v>
      </c>
      <c r="BI38" s="241">
        <f t="shared" si="20"/>
        <v>0</v>
      </c>
      <c r="BL38" s="241">
        <f t="shared" si="21"/>
        <v>0</v>
      </c>
      <c r="BO38" s="241">
        <f t="shared" si="22"/>
        <v>0</v>
      </c>
      <c r="BR38" s="241">
        <f t="shared" si="23"/>
        <v>0</v>
      </c>
      <c r="BU38" s="241">
        <f t="shared" si="24"/>
        <v>0</v>
      </c>
      <c r="BX38" s="241">
        <f t="shared" si="25"/>
        <v>0</v>
      </c>
      <c r="CA38" s="241">
        <f t="shared" si="26"/>
        <v>0</v>
      </c>
      <c r="CD38" s="241">
        <f t="shared" si="27"/>
        <v>0</v>
      </c>
      <c r="CG38" s="241">
        <f t="shared" si="28"/>
        <v>0</v>
      </c>
      <c r="CJ38" s="241">
        <f t="shared" si="29"/>
        <v>0</v>
      </c>
      <c r="CM38" s="241">
        <f t="shared" si="30"/>
        <v>0</v>
      </c>
      <c r="CP38" s="241">
        <f t="shared" si="31"/>
        <v>0</v>
      </c>
      <c r="CS38" s="241">
        <f t="shared" si="32"/>
        <v>0</v>
      </c>
      <c r="CV38" s="241">
        <f t="shared" si="33"/>
        <v>0</v>
      </c>
      <c r="CY38" s="241">
        <f t="shared" si="34"/>
        <v>0</v>
      </c>
      <c r="DB38" s="241">
        <f t="shared" si="35"/>
        <v>0</v>
      </c>
      <c r="DE38" s="241">
        <f t="shared" si="36"/>
        <v>0</v>
      </c>
      <c r="DH38" s="241">
        <f t="shared" si="37"/>
        <v>0</v>
      </c>
      <c r="DK38" s="241">
        <f t="shared" si="38"/>
        <v>0</v>
      </c>
      <c r="DN38" s="241">
        <f t="shared" si="39"/>
        <v>0</v>
      </c>
      <c r="DQ38" s="241">
        <f t="shared" si="40"/>
        <v>0</v>
      </c>
      <c r="DT38" s="241">
        <f t="shared" si="41"/>
        <v>0</v>
      </c>
      <c r="DW38" s="241">
        <f t="shared" si="42"/>
        <v>0</v>
      </c>
      <c r="DZ38" s="241"/>
      <c r="EA38" s="241"/>
      <c r="EB38" s="261">
        <f t="shared" si="43"/>
        <v>549300000</v>
      </c>
      <c r="EC38" s="261">
        <f t="shared" si="44"/>
        <v>41775000</v>
      </c>
      <c r="ED38" s="241">
        <f t="shared" si="45"/>
        <v>76484.75</v>
      </c>
      <c r="EE38" s="242">
        <f t="shared" si="46"/>
        <v>5.0126542872747128E-2</v>
      </c>
      <c r="EG38" s="261">
        <f t="shared" si="47"/>
        <v>0</v>
      </c>
      <c r="EH38" s="241">
        <f t="shared" si="48"/>
        <v>0</v>
      </c>
      <c r="EI38" s="242">
        <f t="shared" si="49"/>
        <v>0</v>
      </c>
      <c r="EJ38" s="242"/>
      <c r="EK38" s="261">
        <f t="shared" si="50"/>
        <v>507525000</v>
      </c>
      <c r="EL38" s="261">
        <f t="shared" si="51"/>
        <v>0</v>
      </c>
      <c r="EM38" s="261">
        <f t="shared" si="52"/>
        <v>70926.354166666657</v>
      </c>
      <c r="EN38" s="242">
        <f t="shared" si="53"/>
        <v>5.0309812324516034E-2</v>
      </c>
      <c r="EP38" s="241"/>
    </row>
    <row r="39" spans="1:146" x14ac:dyDescent="0.25">
      <c r="A39" s="255">
        <f t="shared" si="54"/>
        <v>45564</v>
      </c>
      <c r="B39" s="241">
        <v>41775000</v>
      </c>
      <c r="C39" s="242">
        <v>4.7899999999999998E-2</v>
      </c>
      <c r="D39" s="241">
        <f t="shared" si="0"/>
        <v>5558.395833333333</v>
      </c>
      <c r="G39" s="241">
        <f t="shared" si="1"/>
        <v>0</v>
      </c>
      <c r="J39" s="241">
        <f t="shared" si="2"/>
        <v>0</v>
      </c>
      <c r="M39" s="241">
        <f t="shared" si="3"/>
        <v>0</v>
      </c>
      <c r="P39" s="241">
        <f t="shared" si="4"/>
        <v>0</v>
      </c>
      <c r="S39" s="241">
        <f t="shared" si="5"/>
        <v>0</v>
      </c>
      <c r="V39" s="241">
        <f t="shared" si="6"/>
        <v>0</v>
      </c>
      <c r="Y39" s="241">
        <f t="shared" si="7"/>
        <v>0</v>
      </c>
      <c r="AB39" s="241">
        <f t="shared" si="8"/>
        <v>0</v>
      </c>
      <c r="AE39" s="241">
        <v>0</v>
      </c>
      <c r="AH39" s="241">
        <v>0</v>
      </c>
      <c r="AI39" s="256">
        <f>40000000+32525000</f>
        <v>72525000</v>
      </c>
      <c r="AJ39" s="257">
        <v>4.9500000000000002E-2</v>
      </c>
      <c r="AK39" s="241">
        <f t="shared" si="9"/>
        <v>9972.1875</v>
      </c>
      <c r="AL39" s="256">
        <f t="shared" si="10"/>
        <v>50000000</v>
      </c>
      <c r="AM39" s="257">
        <v>5.45E-2</v>
      </c>
      <c r="AN39" s="241">
        <f t="shared" si="11"/>
        <v>7569.4444444444443</v>
      </c>
      <c r="AO39" s="256">
        <f>25000000+80000000+70000000</f>
        <v>175000000</v>
      </c>
      <c r="AP39" s="257">
        <v>4.9700000000000001E-2</v>
      </c>
      <c r="AQ39" s="241">
        <f t="shared" si="13"/>
        <v>24159.722222222223</v>
      </c>
      <c r="AR39" s="256">
        <f t="shared" si="55"/>
        <v>210000000</v>
      </c>
      <c r="AS39" s="257">
        <v>5.0099999999999999E-2</v>
      </c>
      <c r="AT39" s="241">
        <f t="shared" si="15"/>
        <v>29225</v>
      </c>
      <c r="AW39" s="241">
        <f t="shared" si="16"/>
        <v>0</v>
      </c>
      <c r="AZ39" s="241">
        <f t="shared" si="17"/>
        <v>0</v>
      </c>
      <c r="BC39" s="241">
        <f t="shared" si="18"/>
        <v>0</v>
      </c>
      <c r="BF39" s="241">
        <f t="shared" si="19"/>
        <v>0</v>
      </c>
      <c r="BI39" s="241">
        <f t="shared" si="20"/>
        <v>0</v>
      </c>
      <c r="BL39" s="241">
        <f t="shared" si="21"/>
        <v>0</v>
      </c>
      <c r="BO39" s="241">
        <f t="shared" si="22"/>
        <v>0</v>
      </c>
      <c r="BR39" s="241">
        <f t="shared" si="23"/>
        <v>0</v>
      </c>
      <c r="BU39" s="241">
        <f t="shared" si="24"/>
        <v>0</v>
      </c>
      <c r="BX39" s="241">
        <f t="shared" si="25"/>
        <v>0</v>
      </c>
      <c r="CA39" s="241">
        <f t="shared" si="26"/>
        <v>0</v>
      </c>
      <c r="CD39" s="241">
        <f t="shared" si="27"/>
        <v>0</v>
      </c>
      <c r="CG39" s="241">
        <f t="shared" si="28"/>
        <v>0</v>
      </c>
      <c r="CJ39" s="241">
        <f t="shared" si="29"/>
        <v>0</v>
      </c>
      <c r="CM39" s="241">
        <f t="shared" si="30"/>
        <v>0</v>
      </c>
      <c r="CP39" s="241">
        <f t="shared" si="31"/>
        <v>0</v>
      </c>
      <c r="CS39" s="241">
        <f t="shared" si="32"/>
        <v>0</v>
      </c>
      <c r="CV39" s="241">
        <f t="shared" si="33"/>
        <v>0</v>
      </c>
      <c r="CY39" s="241">
        <f t="shared" si="34"/>
        <v>0</v>
      </c>
      <c r="DB39" s="241">
        <f t="shared" si="35"/>
        <v>0</v>
      </c>
      <c r="DE39" s="241">
        <f t="shared" si="36"/>
        <v>0</v>
      </c>
      <c r="DH39" s="241">
        <f t="shared" si="37"/>
        <v>0</v>
      </c>
      <c r="DK39" s="241">
        <f t="shared" si="38"/>
        <v>0</v>
      </c>
      <c r="DN39" s="241">
        <f t="shared" si="39"/>
        <v>0</v>
      </c>
      <c r="DQ39" s="241">
        <f t="shared" si="40"/>
        <v>0</v>
      </c>
      <c r="DT39" s="241">
        <f t="shared" si="41"/>
        <v>0</v>
      </c>
      <c r="DW39" s="241">
        <f t="shared" si="42"/>
        <v>0</v>
      </c>
      <c r="DZ39" s="241"/>
      <c r="EA39" s="241"/>
      <c r="EB39" s="261">
        <f t="shared" si="43"/>
        <v>549300000</v>
      </c>
      <c r="EC39" s="261">
        <f t="shared" si="44"/>
        <v>41775000</v>
      </c>
      <c r="ED39" s="241">
        <f t="shared" si="45"/>
        <v>76484.75</v>
      </c>
      <c r="EE39" s="242">
        <f t="shared" si="46"/>
        <v>5.0126542872747128E-2</v>
      </c>
      <c r="EG39" s="261">
        <f t="shared" si="47"/>
        <v>0</v>
      </c>
      <c r="EH39" s="241">
        <f t="shared" si="48"/>
        <v>0</v>
      </c>
      <c r="EI39" s="242">
        <f t="shared" si="49"/>
        <v>0</v>
      </c>
      <c r="EJ39" s="242"/>
      <c r="EK39" s="261">
        <f t="shared" si="50"/>
        <v>507525000</v>
      </c>
      <c r="EL39" s="261">
        <f t="shared" si="51"/>
        <v>0</v>
      </c>
      <c r="EM39" s="261">
        <f t="shared" si="52"/>
        <v>70926.354166666657</v>
      </c>
      <c r="EN39" s="242">
        <f t="shared" si="53"/>
        <v>5.0309812324516034E-2</v>
      </c>
      <c r="EP39" s="241"/>
    </row>
    <row r="40" spans="1:146" x14ac:dyDescent="0.25">
      <c r="A40" s="255">
        <f t="shared" si="54"/>
        <v>45565</v>
      </c>
      <c r="B40" s="241">
        <v>7425000</v>
      </c>
      <c r="C40" s="242">
        <v>4.8499999999999995E-2</v>
      </c>
      <c r="D40" s="241">
        <f t="shared" si="0"/>
        <v>1000.3124999999999</v>
      </c>
      <c r="G40" s="241">
        <f t="shared" si="1"/>
        <v>0</v>
      </c>
      <c r="J40" s="241">
        <f t="shared" si="2"/>
        <v>0</v>
      </c>
      <c r="M40" s="241">
        <f t="shared" si="3"/>
        <v>0</v>
      </c>
      <c r="P40" s="241">
        <f t="shared" si="4"/>
        <v>0</v>
      </c>
      <c r="S40" s="241">
        <f t="shared" si="5"/>
        <v>0</v>
      </c>
      <c r="V40" s="241">
        <f t="shared" si="6"/>
        <v>0</v>
      </c>
      <c r="Y40" s="241">
        <f t="shared" si="7"/>
        <v>0</v>
      </c>
      <c r="AB40" s="241">
        <f t="shared" si="8"/>
        <v>0</v>
      </c>
      <c r="AE40" s="241">
        <v>0</v>
      </c>
      <c r="AH40" s="241">
        <v>0</v>
      </c>
      <c r="AI40" s="256">
        <f>40950000+45000000+55000000</f>
        <v>140950000</v>
      </c>
      <c r="AJ40" s="257">
        <v>4.9500000000000002E-2</v>
      </c>
      <c r="AK40" s="241">
        <f t="shared" si="9"/>
        <v>19380.625</v>
      </c>
      <c r="AL40" s="256">
        <f t="shared" si="10"/>
        <v>50000000</v>
      </c>
      <c r="AM40" s="257">
        <v>5.45E-2</v>
      </c>
      <c r="AN40" s="241">
        <f t="shared" si="11"/>
        <v>7569.4444444444443</v>
      </c>
      <c r="AO40" s="256">
        <f>25000000+80000000+70000000</f>
        <v>175000000</v>
      </c>
      <c r="AP40" s="257">
        <v>4.9700000000000001E-2</v>
      </c>
      <c r="AQ40" s="241">
        <f t="shared" si="13"/>
        <v>24159.722222222223</v>
      </c>
      <c r="AR40" s="256">
        <f t="shared" si="55"/>
        <v>210000000</v>
      </c>
      <c r="AS40" s="257">
        <v>5.0099999999999999E-2</v>
      </c>
      <c r="AT40" s="241">
        <f t="shared" si="15"/>
        <v>29225</v>
      </c>
      <c r="AW40" s="241">
        <f t="shared" si="16"/>
        <v>0</v>
      </c>
      <c r="AZ40" s="241">
        <f t="shared" si="17"/>
        <v>0</v>
      </c>
      <c r="BC40" s="241">
        <f t="shared" si="18"/>
        <v>0</v>
      </c>
      <c r="BF40" s="241">
        <f t="shared" si="19"/>
        <v>0</v>
      </c>
      <c r="BI40" s="241">
        <f t="shared" si="20"/>
        <v>0</v>
      </c>
      <c r="BL40" s="241">
        <f t="shared" si="21"/>
        <v>0</v>
      </c>
      <c r="BO40" s="241">
        <f t="shared" si="22"/>
        <v>0</v>
      </c>
      <c r="BR40" s="241">
        <f t="shared" si="23"/>
        <v>0</v>
      </c>
      <c r="BU40" s="241">
        <f t="shared" si="24"/>
        <v>0</v>
      </c>
      <c r="BX40" s="241">
        <f t="shared" si="25"/>
        <v>0</v>
      </c>
      <c r="CA40" s="241">
        <f t="shared" si="26"/>
        <v>0</v>
      </c>
      <c r="CD40" s="241">
        <f t="shared" si="27"/>
        <v>0</v>
      </c>
      <c r="CG40" s="241">
        <f t="shared" si="28"/>
        <v>0</v>
      </c>
      <c r="CJ40" s="241">
        <f t="shared" si="29"/>
        <v>0</v>
      </c>
      <c r="CM40" s="241">
        <f t="shared" si="30"/>
        <v>0</v>
      </c>
      <c r="CP40" s="241">
        <f t="shared" si="31"/>
        <v>0</v>
      </c>
      <c r="CS40" s="241">
        <f t="shared" si="32"/>
        <v>0</v>
      </c>
      <c r="CV40" s="241">
        <f t="shared" si="33"/>
        <v>0</v>
      </c>
      <c r="CY40" s="241">
        <f t="shared" si="34"/>
        <v>0</v>
      </c>
      <c r="DB40" s="241">
        <f t="shared" si="35"/>
        <v>0</v>
      </c>
      <c r="DE40" s="241">
        <f t="shared" si="36"/>
        <v>0</v>
      </c>
      <c r="DH40" s="241">
        <f t="shared" si="37"/>
        <v>0</v>
      </c>
      <c r="DK40" s="241">
        <f t="shared" si="38"/>
        <v>0</v>
      </c>
      <c r="DN40" s="241">
        <f t="shared" si="39"/>
        <v>0</v>
      </c>
      <c r="DQ40" s="241">
        <f t="shared" si="40"/>
        <v>0</v>
      </c>
      <c r="DT40" s="241">
        <f t="shared" si="41"/>
        <v>0</v>
      </c>
      <c r="DW40" s="241">
        <f t="shared" si="42"/>
        <v>0</v>
      </c>
      <c r="DZ40" s="241"/>
      <c r="EA40" s="241"/>
      <c r="EB40" s="261">
        <f t="shared" si="43"/>
        <v>583375000</v>
      </c>
      <c r="EC40" s="261">
        <f t="shared" si="44"/>
        <v>7425000</v>
      </c>
      <c r="ED40" s="241">
        <f t="shared" si="45"/>
        <v>81335.104166666672</v>
      </c>
      <c r="EE40" s="242">
        <f t="shared" si="46"/>
        <v>5.0191793443325486E-2</v>
      </c>
      <c r="EG40" s="261">
        <f t="shared" si="47"/>
        <v>0</v>
      </c>
      <c r="EH40" s="241">
        <f t="shared" si="48"/>
        <v>0</v>
      </c>
      <c r="EI40" s="242">
        <f t="shared" si="49"/>
        <v>0</v>
      </c>
      <c r="EJ40" s="242"/>
      <c r="EK40" s="261">
        <f t="shared" si="50"/>
        <v>575950000</v>
      </c>
      <c r="EL40" s="261">
        <f t="shared" si="51"/>
        <v>0</v>
      </c>
      <c r="EM40" s="261">
        <f t="shared" si="52"/>
        <v>80334.791666666657</v>
      </c>
      <c r="EN40" s="242">
        <f t="shared" si="53"/>
        <v>5.0213603611424594E-2</v>
      </c>
      <c r="EP40" s="241"/>
    </row>
    <row r="41" spans="1:146" x14ac:dyDescent="0.25">
      <c r="A41" s="276" t="s">
        <v>35</v>
      </c>
      <c r="D41" s="258">
        <f>SUM(D11:D40)</f>
        <v>147709.55297222224</v>
      </c>
      <c r="G41" s="258">
        <f>SUM(G11:G40)</f>
        <v>0</v>
      </c>
      <c r="J41" s="258">
        <f>SUM(J11:J40)</f>
        <v>0</v>
      </c>
      <c r="M41" s="258">
        <f>SUM(M11:M40)</f>
        <v>0</v>
      </c>
      <c r="P41" s="258">
        <f>SUM(P11:P40)</f>
        <v>0</v>
      </c>
      <c r="S41" s="258">
        <f>SUM(S11:S40)</f>
        <v>0</v>
      </c>
      <c r="V41" s="258">
        <f>SUM(V11:V40)</f>
        <v>0</v>
      </c>
      <c r="Y41" s="258">
        <f>SUM(Y11:Y40)</f>
        <v>0</v>
      </c>
      <c r="AB41" s="258">
        <f>SUM(AB11:AB40)</f>
        <v>0</v>
      </c>
      <c r="AE41" s="258">
        <f>SUM(AE11:AE40)</f>
        <v>0</v>
      </c>
      <c r="AH41" s="258">
        <f>SUM(AH11:AH40)</f>
        <v>0</v>
      </c>
      <c r="AK41" s="258">
        <f>SUM(AK11:AK40)</f>
        <v>275433.46527777775</v>
      </c>
      <c r="AN41" s="258">
        <f>SUM(AN11:AN40)</f>
        <v>227083.3333333332</v>
      </c>
      <c r="AQ41" s="258">
        <f>SUM(AQ11:AQ40)</f>
        <v>574069.44444444485</v>
      </c>
      <c r="AT41" s="258">
        <f>SUM(AT11:AT40)</f>
        <v>275769.44444444444</v>
      </c>
      <c r="AW41" s="258">
        <f>SUM(AW11:AW40)</f>
        <v>0</v>
      </c>
      <c r="AZ41" s="258">
        <f>SUM(AZ11:AZ40)</f>
        <v>0</v>
      </c>
      <c r="BC41" s="258">
        <f>SUM(BC11:BC40)</f>
        <v>0</v>
      </c>
      <c r="BF41" s="258">
        <f>SUM(BF11:BF40)</f>
        <v>0</v>
      </c>
      <c r="BI41" s="258">
        <f>SUM(BI11:BI40)</f>
        <v>0</v>
      </c>
      <c r="BL41" s="258">
        <f>SUM(BL11:BL40)</f>
        <v>0</v>
      </c>
      <c r="BO41" s="258">
        <f>SUM(BO11:BO40)</f>
        <v>0</v>
      </c>
      <c r="BR41" s="258">
        <f>SUM(BR11:BR40)</f>
        <v>0</v>
      </c>
      <c r="BU41" s="258">
        <f>SUM(BU11:BU40)</f>
        <v>0</v>
      </c>
      <c r="BX41" s="258">
        <f>SUM(BX11:BX40)</f>
        <v>0</v>
      </c>
      <c r="CA41" s="258">
        <f>SUM(CA11:CA40)</f>
        <v>0</v>
      </c>
      <c r="CD41" s="258">
        <f>SUM(CD11:CD40)</f>
        <v>0</v>
      </c>
      <c r="CG41" s="258">
        <f>SUM(CG11:CG40)</f>
        <v>0</v>
      </c>
      <c r="CJ41" s="258">
        <f>SUM(CJ11:CJ40)</f>
        <v>0</v>
      </c>
      <c r="CM41" s="258">
        <f>SUM(CM11:CM40)</f>
        <v>0</v>
      </c>
      <c r="CP41" s="258">
        <f>SUM(CP11:CP40)</f>
        <v>0</v>
      </c>
      <c r="CS41" s="258">
        <f>SUM(CS11:CS40)</f>
        <v>0</v>
      </c>
      <c r="CV41" s="258">
        <f>SUM(CV11:CV40)</f>
        <v>0</v>
      </c>
      <c r="CY41" s="258">
        <f>SUM(CY11:CY40)</f>
        <v>0</v>
      </c>
      <c r="DB41" s="258">
        <f>SUM(DB11:DB40)</f>
        <v>0</v>
      </c>
      <c r="DE41" s="258">
        <f>SUM(DE11:DE40)</f>
        <v>0</v>
      </c>
      <c r="DH41" s="258">
        <f>SUM(DH11:DH40)</f>
        <v>0</v>
      </c>
      <c r="DK41" s="258">
        <f>SUM(DK11:DK40)</f>
        <v>0</v>
      </c>
      <c r="DN41" s="258">
        <f>SUM(DN11:DN40)</f>
        <v>0</v>
      </c>
      <c r="DQ41" s="258">
        <f>SUM(DQ11:DQ40)</f>
        <v>0</v>
      </c>
      <c r="DT41" s="258">
        <f>SUM(DT11:DT40)</f>
        <v>0</v>
      </c>
      <c r="DW41" s="258">
        <f>SUM(DW11:DW40)</f>
        <v>0</v>
      </c>
      <c r="DZ41" s="241"/>
      <c r="EA41" s="241"/>
      <c r="EB41" s="241"/>
      <c r="EC41" s="241"/>
      <c r="ED41" s="258">
        <f>SUM(ED11:ED40)</f>
        <v>1500065.240472222</v>
      </c>
      <c r="EE41" s="242"/>
      <c r="EG41" s="241"/>
      <c r="EH41" s="258">
        <f>SUM(EH11:EH40)</f>
        <v>0</v>
      </c>
      <c r="EI41" s="242"/>
      <c r="EJ41" s="242"/>
      <c r="EK41" s="241"/>
      <c r="EL41" s="241"/>
      <c r="EM41" s="258">
        <f>SUM(EM11:EM40)</f>
        <v>1352355.6875000002</v>
      </c>
      <c r="EN41" s="242"/>
    </row>
    <row r="43" spans="1:146" x14ac:dyDescent="0.25">
      <c r="EM43" s="259">
        <v>1352355.68</v>
      </c>
    </row>
    <row r="44" spans="1:146" x14ac:dyDescent="0.25">
      <c r="EM44" s="259">
        <f>EM41-EM43</f>
        <v>7.5000002980232239E-3</v>
      </c>
    </row>
    <row r="45" spans="1:146" x14ac:dyDescent="0.25">
      <c r="EM45" s="241"/>
    </row>
    <row r="47" spans="1:146" x14ac:dyDescent="0.25">
      <c r="EM47" s="241"/>
    </row>
  </sheetData>
  <pageMargins left="0.7" right="0.7" top="0.75" bottom="0.75" header="0.3" footer="0.3"/>
  <pageSetup scale="63" orientation="portrait" r:id="rId1"/>
  <headerFooter>
    <oddFooter>&amp;CSchedule RL-1</oddFooter>
  </headerFooter>
  <colBreaks count="5" manualBreakCount="5">
    <brk id="7" max="1048575" man="1"/>
    <brk id="43" max="1048575" man="1"/>
    <brk id="52" max="43" man="1"/>
    <brk id="64" max="1048575" man="1"/>
    <brk id="130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/>
  <dimension ref="A1:EQ48"/>
  <sheetViews>
    <sheetView zoomScaleNormal="100" workbookViewId="0">
      <selection activeCell="B1" sqref="B1"/>
    </sheetView>
  </sheetViews>
  <sheetFormatPr defaultRowHeight="15" x14ac:dyDescent="0.25"/>
  <cols>
    <col min="1" max="1" width="14.5703125" style="175" bestFit="1" customWidth="1"/>
    <col min="2" max="2" width="17.28515625" style="241" customWidth="1"/>
    <col min="3" max="3" width="15.42578125" style="242" bestFit="1" customWidth="1"/>
    <col min="4" max="4" width="15.42578125" style="175" bestFit="1" customWidth="1"/>
    <col min="5" max="5" width="15.5703125" style="241" bestFit="1" customWidth="1"/>
    <col min="6" max="6" width="12.28515625" style="242" bestFit="1" customWidth="1"/>
    <col min="7" max="7" width="18" style="175" customWidth="1"/>
    <col min="8" max="8" width="15.42578125" style="241" hidden="1" customWidth="1"/>
    <col min="9" max="9" width="10.28515625" style="242" hidden="1" customWidth="1"/>
    <col min="10" max="10" width="13.42578125" style="175" hidden="1" customWidth="1"/>
    <col min="11" max="11" width="14.42578125" style="241" hidden="1" customWidth="1"/>
    <col min="12" max="12" width="10.28515625" style="242" hidden="1" customWidth="1"/>
    <col min="13" max="13" width="11.7109375" style="175" hidden="1" customWidth="1"/>
    <col min="14" max="14" width="14.42578125" style="241" hidden="1" customWidth="1"/>
    <col min="15" max="15" width="10.28515625" style="242" hidden="1" customWidth="1"/>
    <col min="16" max="16" width="11.7109375" style="175" hidden="1" customWidth="1"/>
    <col min="17" max="17" width="15.42578125" style="241" hidden="1" customWidth="1"/>
    <col min="18" max="18" width="10.28515625" style="242" hidden="1" customWidth="1"/>
    <col min="19" max="19" width="11.7109375" style="175" hidden="1" customWidth="1"/>
    <col min="20" max="20" width="15.42578125" style="241" hidden="1" customWidth="1"/>
    <col min="21" max="21" width="10.28515625" style="242" hidden="1" customWidth="1"/>
    <col min="22" max="22" width="11.7109375" style="175" hidden="1" customWidth="1"/>
    <col min="23" max="23" width="15.42578125" style="241" hidden="1" customWidth="1"/>
    <col min="24" max="24" width="10.28515625" style="242" hidden="1" customWidth="1"/>
    <col min="25" max="25" width="11.7109375" style="175" hidden="1" customWidth="1"/>
    <col min="26" max="26" width="15.42578125" style="241" hidden="1" customWidth="1"/>
    <col min="27" max="27" width="10.28515625" style="242" hidden="1" customWidth="1"/>
    <col min="28" max="28" width="11.7109375" style="175" hidden="1" customWidth="1"/>
    <col min="29" max="29" width="15.42578125" style="241" hidden="1" customWidth="1"/>
    <col min="30" max="30" width="10.28515625" style="242" hidden="1" customWidth="1"/>
    <col min="31" max="31" width="11.7109375" style="175" hidden="1" customWidth="1"/>
    <col min="32" max="32" width="14.42578125" style="241" hidden="1" customWidth="1"/>
    <col min="33" max="33" width="10.28515625" style="242" hidden="1" customWidth="1"/>
    <col min="34" max="34" width="10.7109375" style="175" hidden="1" customWidth="1"/>
    <col min="35" max="35" width="14.42578125" style="241" customWidth="1"/>
    <col min="36" max="36" width="12.7109375" style="242" customWidth="1"/>
    <col min="37" max="37" width="13.7109375" style="175" bestFit="1" customWidth="1"/>
    <col min="38" max="38" width="14.42578125" style="241" customWidth="1"/>
    <col min="39" max="39" width="12.42578125" style="242" customWidth="1"/>
    <col min="40" max="40" width="13.28515625" style="175" bestFit="1" customWidth="1"/>
    <col min="41" max="41" width="15.42578125" style="241" bestFit="1" customWidth="1"/>
    <col min="42" max="42" width="12.28515625" style="242" bestFit="1" customWidth="1"/>
    <col min="43" max="43" width="13.7109375" style="175" bestFit="1" customWidth="1"/>
    <col min="44" max="44" width="15.42578125" style="241" bestFit="1" customWidth="1"/>
    <col min="45" max="45" width="12" style="242" customWidth="1"/>
    <col min="46" max="46" width="11.7109375" style="175" bestFit="1" customWidth="1"/>
    <col min="47" max="47" width="18" style="241" customWidth="1"/>
    <col min="48" max="48" width="12" style="242" customWidth="1"/>
    <col min="49" max="49" width="12.5703125" style="175" bestFit="1" customWidth="1"/>
    <col min="50" max="50" width="14.42578125" style="241" customWidth="1"/>
    <col min="51" max="51" width="10.28515625" style="242" customWidth="1"/>
    <col min="52" max="52" width="10.7109375" style="175" customWidth="1"/>
    <col min="53" max="53" width="14.42578125" style="241" customWidth="1"/>
    <col min="54" max="54" width="10.28515625" style="242" customWidth="1"/>
    <col min="55" max="55" width="10.7109375" style="175" customWidth="1"/>
    <col min="56" max="56" width="14.42578125" style="241" customWidth="1"/>
    <col min="57" max="57" width="10.28515625" style="242" customWidth="1"/>
    <col min="58" max="58" width="10.7109375" style="175" customWidth="1"/>
    <col min="59" max="59" width="14.42578125" style="241" customWidth="1"/>
    <col min="60" max="60" width="10.28515625" style="242" customWidth="1"/>
    <col min="61" max="61" width="10.7109375" style="175" customWidth="1"/>
    <col min="62" max="62" width="14.42578125" style="241" customWidth="1"/>
    <col min="63" max="63" width="10.28515625" style="242" customWidth="1"/>
    <col min="64" max="64" width="10.7109375" style="175" customWidth="1"/>
    <col min="65" max="65" width="14.42578125" style="241" hidden="1" customWidth="1"/>
    <col min="66" max="66" width="10.28515625" style="242" hidden="1" customWidth="1"/>
    <col min="67" max="67" width="10.7109375" style="175" hidden="1" customWidth="1"/>
    <col min="68" max="68" width="14.42578125" style="241" hidden="1" customWidth="1"/>
    <col min="69" max="69" width="10.28515625" style="242" hidden="1" customWidth="1"/>
    <col min="70" max="70" width="10.7109375" style="175" hidden="1" customWidth="1"/>
    <col min="71" max="71" width="14.42578125" style="241" hidden="1" customWidth="1"/>
    <col min="72" max="72" width="10.28515625" style="242" hidden="1" customWidth="1"/>
    <col min="73" max="73" width="10.7109375" style="175" hidden="1" customWidth="1"/>
    <col min="74" max="74" width="14.42578125" style="241" hidden="1" customWidth="1"/>
    <col min="75" max="75" width="10.28515625" style="242" hidden="1" customWidth="1"/>
    <col min="76" max="76" width="10.7109375" style="175" hidden="1" customWidth="1"/>
    <col min="77" max="77" width="14.42578125" style="241" hidden="1" customWidth="1"/>
    <col min="78" max="78" width="10.28515625" style="242" hidden="1" customWidth="1"/>
    <col min="79" max="79" width="10.7109375" style="175" hidden="1" customWidth="1"/>
    <col min="80" max="80" width="14.42578125" style="241" hidden="1" customWidth="1"/>
    <col min="81" max="81" width="10.28515625" style="242" hidden="1" customWidth="1"/>
    <col min="82" max="82" width="10.7109375" style="175" hidden="1" customWidth="1"/>
    <col min="83" max="83" width="14.42578125" style="241" hidden="1" customWidth="1"/>
    <col min="84" max="84" width="10.28515625" style="242" hidden="1" customWidth="1"/>
    <col min="85" max="85" width="10.7109375" style="175" hidden="1" customWidth="1"/>
    <col min="86" max="86" width="14.42578125" style="241" hidden="1" customWidth="1"/>
    <col min="87" max="87" width="10.28515625" style="242" hidden="1" customWidth="1"/>
    <col min="88" max="88" width="10.7109375" style="175" hidden="1" customWidth="1"/>
    <col min="89" max="89" width="14.42578125" style="241" hidden="1" customWidth="1"/>
    <col min="90" max="90" width="10.28515625" style="242" hidden="1" customWidth="1"/>
    <col min="91" max="91" width="10.7109375" style="175" hidden="1" customWidth="1"/>
    <col min="92" max="92" width="14.42578125" style="241" hidden="1" customWidth="1"/>
    <col min="93" max="93" width="10.28515625" style="242" hidden="1" customWidth="1"/>
    <col min="94" max="94" width="10.7109375" style="175" hidden="1" customWidth="1"/>
    <col min="95" max="95" width="14.42578125" style="241" hidden="1" customWidth="1"/>
    <col min="96" max="96" width="10.28515625" style="242" hidden="1" customWidth="1"/>
    <col min="97" max="97" width="10.7109375" style="175" hidden="1" customWidth="1"/>
    <col min="98" max="98" width="14.42578125" style="241" hidden="1" customWidth="1"/>
    <col min="99" max="99" width="10.28515625" style="242" hidden="1" customWidth="1"/>
    <col min="100" max="100" width="10.7109375" style="175" hidden="1" customWidth="1"/>
    <col min="101" max="101" width="14.42578125" style="241" hidden="1" customWidth="1"/>
    <col min="102" max="102" width="10.28515625" style="242" hidden="1" customWidth="1"/>
    <col min="103" max="103" width="10.7109375" style="175" hidden="1" customWidth="1"/>
    <col min="104" max="104" width="14.42578125" style="241" hidden="1" customWidth="1"/>
    <col min="105" max="105" width="10.28515625" style="242" hidden="1" customWidth="1"/>
    <col min="106" max="106" width="10.7109375" style="175" hidden="1" customWidth="1"/>
    <col min="107" max="107" width="14.42578125" style="241" hidden="1" customWidth="1"/>
    <col min="108" max="108" width="10.28515625" style="242" hidden="1" customWidth="1"/>
    <col min="109" max="109" width="10.7109375" style="175" hidden="1" customWidth="1"/>
    <col min="110" max="110" width="14.42578125" style="241" hidden="1" customWidth="1"/>
    <col min="111" max="111" width="10.28515625" style="242" hidden="1" customWidth="1"/>
    <col min="112" max="112" width="10.7109375" style="175" hidden="1" customWidth="1"/>
    <col min="113" max="113" width="14.42578125" style="241" hidden="1" customWidth="1"/>
    <col min="114" max="114" width="10.28515625" style="242" hidden="1" customWidth="1"/>
    <col min="115" max="115" width="10.7109375" style="175" hidden="1" customWidth="1"/>
    <col min="116" max="116" width="14.42578125" style="241" hidden="1" customWidth="1"/>
    <col min="117" max="117" width="10.28515625" style="242" hidden="1" customWidth="1"/>
    <col min="118" max="118" width="10.7109375" style="175" hidden="1" customWidth="1"/>
    <col min="119" max="119" width="14.42578125" style="241" hidden="1" customWidth="1"/>
    <col min="120" max="120" width="10.28515625" style="242" hidden="1" customWidth="1"/>
    <col min="121" max="121" width="10.7109375" style="175" hidden="1" customWidth="1"/>
    <col min="122" max="122" width="14.42578125" style="241" hidden="1" customWidth="1"/>
    <col min="123" max="123" width="10.28515625" style="242" hidden="1" customWidth="1"/>
    <col min="124" max="124" width="10.7109375" style="175" hidden="1" customWidth="1"/>
    <col min="125" max="125" width="14.42578125" style="241" hidden="1" customWidth="1"/>
    <col min="126" max="126" width="10.28515625" style="242" hidden="1" customWidth="1"/>
    <col min="127" max="127" width="10.7109375" style="175" hidden="1" customWidth="1"/>
    <col min="128" max="128" width="14.42578125" style="241" hidden="1" customWidth="1"/>
    <col min="129" max="129" width="10.28515625" style="242" hidden="1" customWidth="1"/>
    <col min="130" max="130" width="10.7109375" style="175" hidden="1" customWidth="1"/>
    <col min="131" max="131" width="2.7109375" style="175" customWidth="1"/>
    <col min="132" max="132" width="18.7109375" style="175" customWidth="1"/>
    <col min="133" max="133" width="15.42578125" style="175" hidden="1" customWidth="1"/>
    <col min="134" max="134" width="14.42578125" style="175" bestFit="1" customWidth="1"/>
    <col min="135" max="135" width="21.28515625" style="175" customWidth="1"/>
    <col min="136" max="136" width="2.7109375" style="175" customWidth="1"/>
    <col min="137" max="137" width="15.42578125" style="175" hidden="1" customWidth="1"/>
    <col min="138" max="138" width="14.42578125" style="175" hidden="1" customWidth="1"/>
    <col min="139" max="139" width="12.42578125" style="175" hidden="1" customWidth="1"/>
    <col min="140" max="140" width="2.7109375" style="175" hidden="1" customWidth="1"/>
    <col min="141" max="141" width="18.7109375" style="175" customWidth="1"/>
    <col min="142" max="142" width="15.42578125" style="175" hidden="1" customWidth="1"/>
    <col min="143" max="143" width="14.42578125" style="175" bestFit="1" customWidth="1"/>
    <col min="144" max="144" width="18" style="175" customWidth="1"/>
    <col min="145" max="145" width="42.85546875" style="175" bestFit="1" customWidth="1"/>
    <col min="146" max="146" width="19.42578125" style="175" bestFit="1" customWidth="1"/>
    <col min="147" max="147" width="23.140625" style="175" bestFit="1" customWidth="1"/>
    <col min="148" max="16384" width="9.140625" style="175"/>
  </cols>
  <sheetData>
    <row r="1" spans="1:147" s="202" customFormat="1" x14ac:dyDescent="0.25">
      <c r="A1" s="260" t="s">
        <v>0</v>
      </c>
      <c r="B1" s="261"/>
      <c r="C1" s="262"/>
      <c r="E1" s="261"/>
      <c r="F1" s="262"/>
      <c r="H1" s="261"/>
      <c r="I1" s="262"/>
      <c r="K1" s="261"/>
      <c r="L1" s="262"/>
      <c r="N1" s="261"/>
      <c r="O1" s="262"/>
      <c r="Q1" s="261"/>
      <c r="R1" s="262"/>
      <c r="T1" s="261"/>
      <c r="U1" s="262"/>
      <c r="W1" s="261"/>
      <c r="X1" s="262"/>
      <c r="Z1" s="261"/>
      <c r="AA1" s="262"/>
      <c r="AC1" s="261"/>
      <c r="AD1" s="262"/>
      <c r="AF1" s="261"/>
      <c r="AG1" s="262"/>
      <c r="AI1" s="261"/>
      <c r="AJ1" s="262"/>
      <c r="AL1" s="261"/>
      <c r="AM1" s="262"/>
      <c r="AO1" s="261"/>
      <c r="AP1" s="262"/>
      <c r="AR1" s="261"/>
      <c r="AS1" s="262"/>
      <c r="AU1" s="261"/>
      <c r="AV1" s="262"/>
      <c r="AX1" s="261"/>
      <c r="AY1" s="262"/>
      <c r="BA1" s="261"/>
      <c r="BB1" s="262"/>
      <c r="BD1" s="261"/>
      <c r="BE1" s="262"/>
      <c r="BG1" s="261"/>
      <c r="BH1" s="262"/>
      <c r="BJ1" s="261"/>
      <c r="BK1" s="262"/>
      <c r="BM1" s="261"/>
      <c r="BN1" s="262"/>
      <c r="BP1" s="261"/>
      <c r="BQ1" s="262"/>
      <c r="BS1" s="261"/>
      <c r="BT1" s="262"/>
      <c r="BV1" s="261"/>
      <c r="BW1" s="262"/>
      <c r="BY1" s="261"/>
      <c r="BZ1" s="262"/>
      <c r="CB1" s="261"/>
      <c r="CC1" s="262"/>
      <c r="CE1" s="261"/>
      <c r="CF1" s="262"/>
      <c r="CH1" s="261"/>
      <c r="CI1" s="262"/>
      <c r="CK1" s="261"/>
      <c r="CL1" s="262"/>
      <c r="CN1" s="261"/>
      <c r="CO1" s="262"/>
      <c r="CQ1" s="261"/>
      <c r="CR1" s="262"/>
      <c r="CT1" s="261"/>
      <c r="CU1" s="262"/>
      <c r="CW1" s="261"/>
      <c r="CX1" s="262"/>
      <c r="CZ1" s="261"/>
      <c r="DA1" s="262"/>
      <c r="DC1" s="261"/>
      <c r="DD1" s="262"/>
      <c r="DF1" s="261"/>
      <c r="DG1" s="262"/>
      <c r="DI1" s="261"/>
      <c r="DJ1" s="262"/>
      <c r="DL1" s="261"/>
      <c r="DM1" s="262"/>
      <c r="DO1" s="261"/>
      <c r="DP1" s="262"/>
      <c r="DR1" s="261"/>
      <c r="DS1" s="262"/>
      <c r="DU1" s="261"/>
      <c r="DV1" s="262"/>
      <c r="DX1" s="261"/>
      <c r="DY1" s="262"/>
      <c r="DZ1" s="263"/>
      <c r="ED1" s="191"/>
      <c r="EE1" s="264" t="s">
        <v>37</v>
      </c>
      <c r="EI1" s="191" t="s">
        <v>38</v>
      </c>
      <c r="EM1" s="191"/>
      <c r="EN1" s="191" t="s">
        <v>39</v>
      </c>
      <c r="EO1" s="260" t="s">
        <v>40</v>
      </c>
      <c r="EP1" s="260" t="s">
        <v>41</v>
      </c>
      <c r="EQ1" s="260" t="s">
        <v>42</v>
      </c>
    </row>
    <row r="2" spans="1:147" s="202" customFormat="1" ht="15.75" thickBot="1" x14ac:dyDescent="0.3">
      <c r="A2" s="260" t="s">
        <v>43</v>
      </c>
      <c r="B2" s="261"/>
      <c r="C2" s="262"/>
      <c r="E2" s="263"/>
      <c r="F2" s="262"/>
      <c r="G2" s="191"/>
      <c r="H2" s="261"/>
      <c r="I2" s="262"/>
      <c r="K2" s="261"/>
      <c r="L2" s="262"/>
      <c r="N2" s="261"/>
      <c r="O2" s="262"/>
      <c r="Q2" s="261"/>
      <c r="R2" s="262"/>
      <c r="T2" s="261"/>
      <c r="U2" s="262"/>
      <c r="W2" s="261"/>
      <c r="X2" s="262"/>
      <c r="Z2" s="261"/>
      <c r="AA2" s="262"/>
      <c r="AC2" s="261"/>
      <c r="AD2" s="262"/>
      <c r="AF2" s="261"/>
      <c r="AG2" s="262"/>
      <c r="AI2" s="261"/>
      <c r="AJ2" s="262"/>
      <c r="AL2" s="261"/>
      <c r="AM2" s="262"/>
      <c r="AO2" s="261"/>
      <c r="AP2" s="262"/>
      <c r="AR2" s="261"/>
      <c r="AS2" s="262"/>
      <c r="AU2" s="261"/>
      <c r="AV2" s="262"/>
      <c r="AX2" s="261"/>
      <c r="AY2" s="262"/>
      <c r="BA2" s="261"/>
      <c r="BB2" s="262"/>
      <c r="BD2" s="261"/>
      <c r="BE2" s="262"/>
      <c r="BG2" s="261"/>
      <c r="BH2" s="262"/>
      <c r="BJ2" s="261"/>
      <c r="BK2" s="262"/>
      <c r="BM2" s="261"/>
      <c r="BN2" s="262"/>
      <c r="BP2" s="261"/>
      <c r="BQ2" s="262"/>
      <c r="BS2" s="261"/>
      <c r="BT2" s="262"/>
      <c r="BV2" s="261"/>
      <c r="BW2" s="262"/>
      <c r="BY2" s="261"/>
      <c r="BZ2" s="262"/>
      <c r="CB2" s="261"/>
      <c r="CC2" s="262"/>
      <c r="CE2" s="261"/>
      <c r="CF2" s="262"/>
      <c r="CH2" s="261"/>
      <c r="CI2" s="262"/>
      <c r="CK2" s="261"/>
      <c r="CL2" s="262"/>
      <c r="CN2" s="261"/>
      <c r="CO2" s="262"/>
      <c r="CQ2" s="261"/>
      <c r="CR2" s="262"/>
      <c r="CT2" s="261"/>
      <c r="CU2" s="262"/>
      <c r="CW2" s="261"/>
      <c r="CX2" s="262"/>
      <c r="CZ2" s="261"/>
      <c r="DA2" s="262"/>
      <c r="DC2" s="261"/>
      <c r="DD2" s="262"/>
      <c r="DF2" s="261"/>
      <c r="DG2" s="262"/>
      <c r="DI2" s="261"/>
      <c r="DJ2" s="262"/>
      <c r="DL2" s="261"/>
      <c r="DM2" s="262"/>
      <c r="DO2" s="261"/>
      <c r="DP2" s="262"/>
      <c r="DR2" s="261"/>
      <c r="DS2" s="262"/>
      <c r="DU2" s="261"/>
      <c r="DV2" s="262"/>
      <c r="DX2" s="261"/>
      <c r="DY2" s="262"/>
      <c r="EB2" s="175" t="s">
        <v>44</v>
      </c>
      <c r="EC2" s="175"/>
      <c r="ED2" s="241"/>
      <c r="EE2" s="241">
        <f>EB41</f>
        <v>342700000</v>
      </c>
      <c r="EI2" s="241">
        <f>EG40</f>
        <v>0</v>
      </c>
      <c r="EM2" s="241"/>
      <c r="EN2" s="241">
        <f>EK41</f>
        <v>294550000</v>
      </c>
      <c r="EO2" s="265">
        <v>-600805.56000000006</v>
      </c>
      <c r="EP2" s="261">
        <f>EN2+EO2</f>
        <v>293949194.44</v>
      </c>
      <c r="EQ2" s="261">
        <f>EE2+EO2</f>
        <v>342099194.44</v>
      </c>
    </row>
    <row r="3" spans="1:147" ht="15.75" thickTop="1" x14ac:dyDescent="0.25">
      <c r="A3" s="266" t="s">
        <v>255</v>
      </c>
      <c r="E3" s="267" t="s">
        <v>45</v>
      </c>
      <c r="F3" s="243"/>
      <c r="G3" s="244"/>
      <c r="EB3" s="175" t="s">
        <v>46</v>
      </c>
      <c r="ED3" s="241"/>
      <c r="EE3" s="241">
        <f>AVERAGE(EB11:EB41)</f>
        <v>205204029.83870968</v>
      </c>
      <c r="EI3" s="241">
        <f>AVERAGE(EG11:EG40)</f>
        <v>0</v>
      </c>
      <c r="EM3" s="241"/>
      <c r="EN3" s="241">
        <f>AVERAGE(EK11:EK41)</f>
        <v>166659677.41935483</v>
      </c>
    </row>
    <row r="4" spans="1:147" x14ac:dyDescent="0.25">
      <c r="E4" s="245" t="s">
        <v>44</v>
      </c>
      <c r="F4" s="241"/>
      <c r="G4" s="246">
        <f>EQ2</f>
        <v>342099194.44</v>
      </c>
      <c r="AI4" s="260" t="s">
        <v>47</v>
      </c>
      <c r="EB4" s="175" t="s">
        <v>48</v>
      </c>
      <c r="ED4" s="242"/>
      <c r="EE4" s="242">
        <f>IF(EE3=0,0,360*(AVERAGE(ED11:ED41)/EE3))</f>
        <v>4.9407439117331371E-2</v>
      </c>
      <c r="EI4" s="242">
        <f>IF(EI3=0,0,360*(AVERAGE(EH11:EH40)/EI3))</f>
        <v>0</v>
      </c>
      <c r="EM4" s="242"/>
      <c r="EN4" s="242">
        <f>IF(EN3=0,0,360*(AVERAGE(EM11:EM41)/EN3))</f>
        <v>4.9786463625893999E-2</v>
      </c>
      <c r="EO4" s="202" t="s">
        <v>241</v>
      </c>
      <c r="EQ4" s="191" t="s">
        <v>47</v>
      </c>
    </row>
    <row r="5" spans="1:147" x14ac:dyDescent="0.25">
      <c r="E5" s="245" t="s">
        <v>46</v>
      </c>
      <c r="F5" s="241"/>
      <c r="G5" s="246">
        <f>EE3</f>
        <v>205204029.83870968</v>
      </c>
      <c r="AI5" s="268" t="s">
        <v>39</v>
      </c>
      <c r="EB5" s="175" t="s">
        <v>49</v>
      </c>
      <c r="ED5" s="241"/>
      <c r="EE5" s="241">
        <f>MAX(EB11:EB41)</f>
        <v>602575000</v>
      </c>
      <c r="EI5" s="241">
        <f>MAX(EG11:EG40)</f>
        <v>0</v>
      </c>
      <c r="EM5" s="241"/>
      <c r="EN5" s="241">
        <f>MAX(EK11:EK41)</f>
        <v>595350000</v>
      </c>
      <c r="EO5" s="175" t="s">
        <v>242</v>
      </c>
    </row>
    <row r="6" spans="1:147" x14ac:dyDescent="0.25">
      <c r="E6" s="245" t="s">
        <v>48</v>
      </c>
      <c r="F6" s="241"/>
      <c r="G6" s="247">
        <f>EE4</f>
        <v>4.9407439117331371E-2</v>
      </c>
    </row>
    <row r="7" spans="1:147" ht="15.75" thickBot="1" x14ac:dyDescent="0.3">
      <c r="E7" s="248" t="s">
        <v>49</v>
      </c>
      <c r="F7" s="249"/>
      <c r="G7" s="250">
        <f>EE5</f>
        <v>602575000</v>
      </c>
      <c r="AI7" s="268" t="s">
        <v>39</v>
      </c>
      <c r="EB7" s="269" t="s">
        <v>50</v>
      </c>
      <c r="EC7" s="269"/>
      <c r="ED7" s="251"/>
      <c r="EE7" s="251"/>
      <c r="EG7" s="269" t="s">
        <v>51</v>
      </c>
      <c r="EH7" s="251"/>
      <c r="EI7" s="251"/>
      <c r="EJ7" s="174"/>
      <c r="EK7" s="269" t="s">
        <v>52</v>
      </c>
      <c r="EL7" s="269"/>
      <c r="EM7" s="251"/>
      <c r="EN7" s="251"/>
    </row>
    <row r="8" spans="1:147" ht="15.75" thickTop="1" x14ac:dyDescent="0.25">
      <c r="AI8" s="263" t="s">
        <v>53</v>
      </c>
      <c r="AL8" s="263" t="s">
        <v>53</v>
      </c>
      <c r="AO8" s="263" t="s">
        <v>53</v>
      </c>
      <c r="AR8" s="263" t="s">
        <v>53</v>
      </c>
      <c r="AU8" s="263" t="s">
        <v>53</v>
      </c>
      <c r="AX8" s="263" t="s">
        <v>53</v>
      </c>
      <c r="BA8" s="263" t="s">
        <v>53</v>
      </c>
      <c r="BD8" s="263" t="s">
        <v>53</v>
      </c>
      <c r="BG8" s="263" t="s">
        <v>53</v>
      </c>
      <c r="BJ8" s="263" t="s">
        <v>53</v>
      </c>
      <c r="BM8" s="263" t="s">
        <v>53</v>
      </c>
      <c r="BP8" s="263" t="s">
        <v>53</v>
      </c>
      <c r="BS8" s="263" t="s">
        <v>53</v>
      </c>
      <c r="BV8" s="263" t="s">
        <v>53</v>
      </c>
      <c r="BY8" s="263" t="s">
        <v>53</v>
      </c>
      <c r="CB8" s="263" t="s">
        <v>53</v>
      </c>
      <c r="CE8" s="263" t="s">
        <v>53</v>
      </c>
      <c r="CH8" s="263" t="s">
        <v>53</v>
      </c>
      <c r="CK8" s="263" t="s">
        <v>53</v>
      </c>
      <c r="CN8" s="263" t="s">
        <v>53</v>
      </c>
      <c r="CQ8" s="263" t="s">
        <v>53</v>
      </c>
      <c r="CT8" s="263" t="s">
        <v>53</v>
      </c>
      <c r="CW8" s="263" t="s">
        <v>53</v>
      </c>
      <c r="CZ8" s="263" t="s">
        <v>53</v>
      </c>
      <c r="DC8" s="263" t="s">
        <v>53</v>
      </c>
      <c r="DF8" s="263" t="s">
        <v>53</v>
      </c>
      <c r="DI8" s="263" t="s">
        <v>53</v>
      </c>
      <c r="DL8" s="263" t="s">
        <v>53</v>
      </c>
      <c r="DO8" s="263" t="s">
        <v>53</v>
      </c>
      <c r="DR8" s="263" t="s">
        <v>53</v>
      </c>
      <c r="EB8" s="252"/>
      <c r="EC8" s="252"/>
      <c r="ED8" s="252"/>
      <c r="EE8" s="252" t="s">
        <v>54</v>
      </c>
      <c r="EG8" s="252"/>
      <c r="EH8" s="270" t="s">
        <v>38</v>
      </c>
      <c r="EI8" s="252" t="s">
        <v>54</v>
      </c>
      <c r="EJ8" s="252"/>
      <c r="EK8" s="191" t="s">
        <v>55</v>
      </c>
      <c r="EL8" s="191" t="s">
        <v>56</v>
      </c>
      <c r="EM8" s="270" t="s">
        <v>57</v>
      </c>
      <c r="EN8" s="252" t="s">
        <v>54</v>
      </c>
    </row>
    <row r="9" spans="1:147" x14ac:dyDescent="0.25">
      <c r="B9" s="253" t="s">
        <v>58</v>
      </c>
      <c r="C9" s="254"/>
      <c r="D9" s="251"/>
      <c r="E9" s="253" t="s">
        <v>59</v>
      </c>
      <c r="F9" s="254"/>
      <c r="G9" s="251"/>
      <c r="H9" s="253" t="s">
        <v>60</v>
      </c>
      <c r="I9" s="254"/>
      <c r="J9" s="251"/>
      <c r="K9" s="253" t="s">
        <v>61</v>
      </c>
      <c r="L9" s="254"/>
      <c r="M9" s="251"/>
      <c r="N9" s="253" t="s">
        <v>62</v>
      </c>
      <c r="O9" s="254"/>
      <c r="P9" s="251"/>
      <c r="Q9" s="253" t="s">
        <v>63</v>
      </c>
      <c r="R9" s="254"/>
      <c r="S9" s="251"/>
      <c r="T9" s="253" t="s">
        <v>64</v>
      </c>
      <c r="U9" s="254"/>
      <c r="V9" s="251"/>
      <c r="W9" s="253" t="s">
        <v>65</v>
      </c>
      <c r="X9" s="254"/>
      <c r="Y9" s="251"/>
      <c r="Z9" s="253" t="s">
        <v>66</v>
      </c>
      <c r="AA9" s="254"/>
      <c r="AB9" s="251"/>
      <c r="AC9" s="271" t="s">
        <v>67</v>
      </c>
      <c r="AD9" s="254"/>
      <c r="AE9" s="251"/>
      <c r="AF9" s="271" t="s">
        <v>68</v>
      </c>
      <c r="AG9" s="254"/>
      <c r="AH9" s="251"/>
      <c r="AI9" s="253" t="s">
        <v>69</v>
      </c>
      <c r="AJ9" s="254"/>
      <c r="AK9" s="251"/>
      <c r="AL9" s="253" t="s">
        <v>70</v>
      </c>
      <c r="AM9" s="254"/>
      <c r="AN9" s="251"/>
      <c r="AO9" s="253" t="s">
        <v>71</v>
      </c>
      <c r="AP9" s="254"/>
      <c r="AQ9" s="251"/>
      <c r="AR9" s="253" t="s">
        <v>72</v>
      </c>
      <c r="AS9" s="254"/>
      <c r="AT9" s="251"/>
      <c r="AU9" s="253" t="s">
        <v>73</v>
      </c>
      <c r="AV9" s="254"/>
      <c r="AW9" s="251"/>
      <c r="AX9" s="253" t="s">
        <v>74</v>
      </c>
      <c r="AY9" s="254"/>
      <c r="AZ9" s="251"/>
      <c r="BA9" s="253" t="s">
        <v>75</v>
      </c>
      <c r="BB9" s="254"/>
      <c r="BC9" s="251"/>
      <c r="BD9" s="253" t="s">
        <v>76</v>
      </c>
      <c r="BE9" s="254"/>
      <c r="BF9" s="251"/>
      <c r="BG9" s="253" t="s">
        <v>77</v>
      </c>
      <c r="BH9" s="254"/>
      <c r="BI9" s="251"/>
      <c r="BJ9" s="253" t="s">
        <v>78</v>
      </c>
      <c r="BK9" s="254"/>
      <c r="BL9" s="251"/>
      <c r="BM9" s="253" t="s">
        <v>79</v>
      </c>
      <c r="BN9" s="254"/>
      <c r="BO9" s="251"/>
      <c r="BP9" s="253" t="s">
        <v>80</v>
      </c>
      <c r="BQ9" s="254"/>
      <c r="BR9" s="251"/>
      <c r="BS9" s="253" t="s">
        <v>81</v>
      </c>
      <c r="BT9" s="254"/>
      <c r="BU9" s="251"/>
      <c r="BV9" s="253" t="s">
        <v>82</v>
      </c>
      <c r="BW9" s="254"/>
      <c r="BX9" s="251"/>
      <c r="BY9" s="253" t="s">
        <v>83</v>
      </c>
      <c r="BZ9" s="254"/>
      <c r="CA9" s="251"/>
      <c r="CB9" s="253" t="s">
        <v>84</v>
      </c>
      <c r="CC9" s="254"/>
      <c r="CD9" s="251"/>
      <c r="CE9" s="253" t="s">
        <v>85</v>
      </c>
      <c r="CF9" s="254"/>
      <c r="CG9" s="251"/>
      <c r="CH9" s="253" t="s">
        <v>86</v>
      </c>
      <c r="CI9" s="254"/>
      <c r="CJ9" s="251"/>
      <c r="CK9" s="253" t="s">
        <v>87</v>
      </c>
      <c r="CL9" s="254"/>
      <c r="CM9" s="251"/>
      <c r="CN9" s="253" t="s">
        <v>88</v>
      </c>
      <c r="CO9" s="254"/>
      <c r="CP9" s="251"/>
      <c r="CQ9" s="253" t="s">
        <v>89</v>
      </c>
      <c r="CR9" s="254"/>
      <c r="CS9" s="251"/>
      <c r="CT9" s="253" t="s">
        <v>90</v>
      </c>
      <c r="CU9" s="254"/>
      <c r="CV9" s="251"/>
      <c r="CW9" s="253" t="s">
        <v>91</v>
      </c>
      <c r="CX9" s="254"/>
      <c r="CY9" s="251"/>
      <c r="CZ9" s="253" t="s">
        <v>92</v>
      </c>
      <c r="DA9" s="254"/>
      <c r="DB9" s="251"/>
      <c r="DC9" s="253" t="s">
        <v>93</v>
      </c>
      <c r="DD9" s="254"/>
      <c r="DE9" s="251"/>
      <c r="DF9" s="253" t="s">
        <v>94</v>
      </c>
      <c r="DG9" s="254"/>
      <c r="DH9" s="251"/>
      <c r="DI9" s="253" t="s">
        <v>95</v>
      </c>
      <c r="DJ9" s="254"/>
      <c r="DK9" s="251"/>
      <c r="DL9" s="253" t="s">
        <v>96</v>
      </c>
      <c r="DM9" s="254"/>
      <c r="DN9" s="251"/>
      <c r="DO9" s="253" t="s">
        <v>97</v>
      </c>
      <c r="DP9" s="254"/>
      <c r="DQ9" s="251"/>
      <c r="DR9" s="253" t="s">
        <v>98</v>
      </c>
      <c r="DS9" s="254"/>
      <c r="DT9" s="251"/>
      <c r="DU9" s="253" t="s">
        <v>99</v>
      </c>
      <c r="DV9" s="254"/>
      <c r="DW9" s="251"/>
      <c r="DX9" s="272" t="s">
        <v>100</v>
      </c>
      <c r="DY9" s="254"/>
      <c r="DZ9" s="251"/>
      <c r="EA9" s="174"/>
      <c r="EB9" s="191" t="s">
        <v>101</v>
      </c>
      <c r="EC9" s="191" t="s">
        <v>102</v>
      </c>
      <c r="ED9" s="252" t="s">
        <v>103</v>
      </c>
      <c r="EE9" s="252" t="s">
        <v>104</v>
      </c>
      <c r="EG9" s="270" t="s">
        <v>105</v>
      </c>
      <c r="EH9" s="252" t="s">
        <v>103</v>
      </c>
      <c r="EI9" s="252" t="s">
        <v>104</v>
      </c>
      <c r="EJ9" s="252"/>
      <c r="EK9" s="270" t="s">
        <v>57</v>
      </c>
      <c r="EL9" s="270" t="s">
        <v>57</v>
      </c>
      <c r="EM9" s="252" t="s">
        <v>103</v>
      </c>
      <c r="EN9" s="252" t="s">
        <v>104</v>
      </c>
    </row>
    <row r="10" spans="1:147" x14ac:dyDescent="0.25">
      <c r="A10" s="252" t="s">
        <v>106</v>
      </c>
      <c r="B10" s="273" t="s">
        <v>107</v>
      </c>
      <c r="C10" s="274" t="s">
        <v>108</v>
      </c>
      <c r="D10" s="275" t="s">
        <v>12</v>
      </c>
      <c r="E10" s="273" t="s">
        <v>107</v>
      </c>
      <c r="F10" s="274" t="s">
        <v>108</v>
      </c>
      <c r="G10" s="275" t="s">
        <v>12</v>
      </c>
      <c r="H10" s="273" t="s">
        <v>107</v>
      </c>
      <c r="I10" s="274" t="s">
        <v>108</v>
      </c>
      <c r="J10" s="275" t="s">
        <v>12</v>
      </c>
      <c r="K10" s="273" t="s">
        <v>107</v>
      </c>
      <c r="L10" s="274" t="s">
        <v>108</v>
      </c>
      <c r="M10" s="275" t="s">
        <v>12</v>
      </c>
      <c r="N10" s="273" t="s">
        <v>107</v>
      </c>
      <c r="O10" s="274" t="s">
        <v>108</v>
      </c>
      <c r="P10" s="275" t="s">
        <v>12</v>
      </c>
      <c r="Q10" s="273" t="s">
        <v>107</v>
      </c>
      <c r="R10" s="274" t="s">
        <v>108</v>
      </c>
      <c r="S10" s="275" t="s">
        <v>12</v>
      </c>
      <c r="T10" s="273" t="s">
        <v>107</v>
      </c>
      <c r="U10" s="274" t="s">
        <v>108</v>
      </c>
      <c r="V10" s="275" t="s">
        <v>12</v>
      </c>
      <c r="W10" s="273" t="s">
        <v>107</v>
      </c>
      <c r="X10" s="274" t="s">
        <v>108</v>
      </c>
      <c r="Y10" s="275" t="s">
        <v>12</v>
      </c>
      <c r="Z10" s="273" t="s">
        <v>107</v>
      </c>
      <c r="AA10" s="274" t="s">
        <v>108</v>
      </c>
      <c r="AB10" s="275" t="s">
        <v>12</v>
      </c>
      <c r="AC10" s="273" t="s">
        <v>107</v>
      </c>
      <c r="AD10" s="274" t="s">
        <v>108</v>
      </c>
      <c r="AE10" s="275" t="s">
        <v>12</v>
      </c>
      <c r="AF10" s="273" t="s">
        <v>107</v>
      </c>
      <c r="AG10" s="274" t="s">
        <v>108</v>
      </c>
      <c r="AH10" s="275" t="s">
        <v>12</v>
      </c>
      <c r="AI10" s="273" t="s">
        <v>107</v>
      </c>
      <c r="AJ10" s="274" t="s">
        <v>108</v>
      </c>
      <c r="AK10" s="275" t="s">
        <v>12</v>
      </c>
      <c r="AL10" s="273" t="s">
        <v>107</v>
      </c>
      <c r="AM10" s="274" t="s">
        <v>108</v>
      </c>
      <c r="AN10" s="275" t="s">
        <v>12</v>
      </c>
      <c r="AO10" s="273" t="s">
        <v>107</v>
      </c>
      <c r="AP10" s="274" t="s">
        <v>108</v>
      </c>
      <c r="AQ10" s="275" t="s">
        <v>12</v>
      </c>
      <c r="AR10" s="273" t="s">
        <v>107</v>
      </c>
      <c r="AS10" s="274" t="s">
        <v>108</v>
      </c>
      <c r="AT10" s="275" t="s">
        <v>12</v>
      </c>
      <c r="AU10" s="273" t="s">
        <v>107</v>
      </c>
      <c r="AV10" s="274" t="s">
        <v>108</v>
      </c>
      <c r="AW10" s="275" t="s">
        <v>12</v>
      </c>
      <c r="AX10" s="273" t="s">
        <v>107</v>
      </c>
      <c r="AY10" s="274" t="s">
        <v>108</v>
      </c>
      <c r="AZ10" s="275" t="s">
        <v>12</v>
      </c>
      <c r="BA10" s="273" t="s">
        <v>107</v>
      </c>
      <c r="BB10" s="274" t="s">
        <v>108</v>
      </c>
      <c r="BC10" s="275" t="s">
        <v>12</v>
      </c>
      <c r="BD10" s="273" t="s">
        <v>107</v>
      </c>
      <c r="BE10" s="274" t="s">
        <v>108</v>
      </c>
      <c r="BF10" s="275" t="s">
        <v>12</v>
      </c>
      <c r="BG10" s="273" t="s">
        <v>107</v>
      </c>
      <c r="BH10" s="274" t="s">
        <v>108</v>
      </c>
      <c r="BI10" s="275" t="s">
        <v>12</v>
      </c>
      <c r="BJ10" s="273" t="s">
        <v>107</v>
      </c>
      <c r="BK10" s="274" t="s">
        <v>108</v>
      </c>
      <c r="BL10" s="275" t="s">
        <v>12</v>
      </c>
      <c r="BM10" s="273" t="s">
        <v>107</v>
      </c>
      <c r="BN10" s="274" t="s">
        <v>108</v>
      </c>
      <c r="BO10" s="275" t="s">
        <v>12</v>
      </c>
      <c r="BP10" s="273" t="s">
        <v>107</v>
      </c>
      <c r="BQ10" s="274" t="s">
        <v>108</v>
      </c>
      <c r="BR10" s="275" t="s">
        <v>12</v>
      </c>
      <c r="BS10" s="273" t="s">
        <v>107</v>
      </c>
      <c r="BT10" s="274" t="s">
        <v>108</v>
      </c>
      <c r="BU10" s="275" t="s">
        <v>12</v>
      </c>
      <c r="BV10" s="273" t="s">
        <v>107</v>
      </c>
      <c r="BW10" s="274" t="s">
        <v>108</v>
      </c>
      <c r="BX10" s="275" t="s">
        <v>12</v>
      </c>
      <c r="BY10" s="273" t="s">
        <v>107</v>
      </c>
      <c r="BZ10" s="274" t="s">
        <v>108</v>
      </c>
      <c r="CA10" s="275" t="s">
        <v>12</v>
      </c>
      <c r="CB10" s="273" t="s">
        <v>107</v>
      </c>
      <c r="CC10" s="274" t="s">
        <v>108</v>
      </c>
      <c r="CD10" s="275" t="s">
        <v>12</v>
      </c>
      <c r="CE10" s="273" t="s">
        <v>107</v>
      </c>
      <c r="CF10" s="274" t="s">
        <v>108</v>
      </c>
      <c r="CG10" s="275" t="s">
        <v>12</v>
      </c>
      <c r="CH10" s="273" t="s">
        <v>107</v>
      </c>
      <c r="CI10" s="274" t="s">
        <v>108</v>
      </c>
      <c r="CJ10" s="275" t="s">
        <v>12</v>
      </c>
      <c r="CK10" s="273" t="s">
        <v>107</v>
      </c>
      <c r="CL10" s="274" t="s">
        <v>108</v>
      </c>
      <c r="CM10" s="275" t="s">
        <v>12</v>
      </c>
      <c r="CN10" s="273" t="s">
        <v>107</v>
      </c>
      <c r="CO10" s="274" t="s">
        <v>108</v>
      </c>
      <c r="CP10" s="275" t="s">
        <v>12</v>
      </c>
      <c r="CQ10" s="273" t="s">
        <v>107</v>
      </c>
      <c r="CR10" s="274" t="s">
        <v>108</v>
      </c>
      <c r="CS10" s="275" t="s">
        <v>12</v>
      </c>
      <c r="CT10" s="273" t="s">
        <v>107</v>
      </c>
      <c r="CU10" s="274" t="s">
        <v>108</v>
      </c>
      <c r="CV10" s="275" t="s">
        <v>12</v>
      </c>
      <c r="CW10" s="273" t="s">
        <v>107</v>
      </c>
      <c r="CX10" s="274" t="s">
        <v>108</v>
      </c>
      <c r="CY10" s="275" t="s">
        <v>12</v>
      </c>
      <c r="CZ10" s="273" t="s">
        <v>107</v>
      </c>
      <c r="DA10" s="274" t="s">
        <v>108</v>
      </c>
      <c r="DB10" s="275" t="s">
        <v>12</v>
      </c>
      <c r="DC10" s="273" t="s">
        <v>107</v>
      </c>
      <c r="DD10" s="274" t="s">
        <v>108</v>
      </c>
      <c r="DE10" s="275" t="s">
        <v>12</v>
      </c>
      <c r="DF10" s="273" t="s">
        <v>107</v>
      </c>
      <c r="DG10" s="274" t="s">
        <v>108</v>
      </c>
      <c r="DH10" s="275" t="s">
        <v>12</v>
      </c>
      <c r="DI10" s="273" t="s">
        <v>107</v>
      </c>
      <c r="DJ10" s="274" t="s">
        <v>108</v>
      </c>
      <c r="DK10" s="275" t="s">
        <v>12</v>
      </c>
      <c r="DL10" s="273" t="s">
        <v>107</v>
      </c>
      <c r="DM10" s="274" t="s">
        <v>108</v>
      </c>
      <c r="DN10" s="275" t="s">
        <v>12</v>
      </c>
      <c r="DO10" s="273" t="s">
        <v>107</v>
      </c>
      <c r="DP10" s="274" t="s">
        <v>108</v>
      </c>
      <c r="DQ10" s="275" t="s">
        <v>12</v>
      </c>
      <c r="DR10" s="273" t="s">
        <v>107</v>
      </c>
      <c r="DS10" s="274" t="s">
        <v>108</v>
      </c>
      <c r="DT10" s="275" t="s">
        <v>12</v>
      </c>
      <c r="DU10" s="273" t="s">
        <v>107</v>
      </c>
      <c r="DV10" s="274" t="s">
        <v>108</v>
      </c>
      <c r="DW10" s="275" t="s">
        <v>12</v>
      </c>
      <c r="DX10" s="273" t="s">
        <v>107</v>
      </c>
      <c r="DY10" s="274"/>
      <c r="DZ10" s="275"/>
      <c r="EA10" s="275"/>
      <c r="EB10" s="275" t="s">
        <v>109</v>
      </c>
      <c r="EC10" s="275" t="s">
        <v>109</v>
      </c>
      <c r="ED10" s="275" t="s">
        <v>12</v>
      </c>
      <c r="EE10" s="275" t="s">
        <v>108</v>
      </c>
      <c r="EG10" s="275" t="s">
        <v>109</v>
      </c>
      <c r="EH10" s="275" t="s">
        <v>12</v>
      </c>
      <c r="EI10" s="275" t="s">
        <v>108</v>
      </c>
      <c r="EJ10" s="275"/>
      <c r="EK10" s="275" t="s">
        <v>109</v>
      </c>
      <c r="EL10" s="275" t="s">
        <v>109</v>
      </c>
      <c r="EM10" s="275" t="s">
        <v>12</v>
      </c>
      <c r="EN10" s="275" t="s">
        <v>108</v>
      </c>
    </row>
    <row r="11" spans="1:147" x14ac:dyDescent="0.25">
      <c r="A11" s="255">
        <v>45566</v>
      </c>
      <c r="B11" s="241">
        <v>7225000</v>
      </c>
      <c r="C11" s="242">
        <v>4.8300000000000003E-2</v>
      </c>
      <c r="D11" s="241">
        <f>(B11*C11)/360</f>
        <v>969.35416666666663</v>
      </c>
      <c r="G11" s="241">
        <f>(E11*F11)/360</f>
        <v>0</v>
      </c>
      <c r="J11" s="241">
        <f>(H11*I11)/360</f>
        <v>0</v>
      </c>
      <c r="M11" s="241">
        <f>(K11*L11)/360</f>
        <v>0</v>
      </c>
      <c r="P11" s="241">
        <f>(N11*O11)/360</f>
        <v>0</v>
      </c>
      <c r="S11" s="241">
        <f>(Q11*R11)/360</f>
        <v>0</v>
      </c>
      <c r="V11" s="241">
        <f>(T11*U11)/360</f>
        <v>0</v>
      </c>
      <c r="Y11" s="241">
        <f>(W11*X11)/360</f>
        <v>0</v>
      </c>
      <c r="AB11" s="241">
        <f>(Z11*AA11)/360</f>
        <v>0</v>
      </c>
      <c r="AE11" s="241">
        <v>0</v>
      </c>
      <c r="AH11" s="241">
        <v>0</v>
      </c>
      <c r="AI11" s="256">
        <f>25350000+45000000</f>
        <v>70350000</v>
      </c>
      <c r="AJ11" s="257">
        <v>4.9500000000000002E-2</v>
      </c>
      <c r="AK11" s="241">
        <f>(AI11*AJ11)/360</f>
        <v>9673.125</v>
      </c>
      <c r="AL11" s="256">
        <f t="shared" ref="AL11:AL16" si="0">80000000+70000000+25000000</f>
        <v>175000000</v>
      </c>
      <c r="AM11" s="257">
        <v>4.9700000000000001E-2</v>
      </c>
      <c r="AN11" s="241">
        <f>(AL11*AM11)/360</f>
        <v>24159.722222222223</v>
      </c>
      <c r="AO11" s="256">
        <f t="shared" ref="AO11:AO16" si="1">100000000+60000000+50000000</f>
        <v>210000000</v>
      </c>
      <c r="AP11" s="257">
        <v>5.0099999999999999E-2</v>
      </c>
      <c r="AQ11" s="241">
        <f>(AO11*AP11)/360</f>
        <v>29225</v>
      </c>
      <c r="AR11" s="256">
        <f>50000000</f>
        <v>50000000</v>
      </c>
      <c r="AS11" s="257">
        <v>5.45E-2</v>
      </c>
      <c r="AT11" s="241">
        <f>(AR11*AS11)/360</f>
        <v>7569.4444444444443</v>
      </c>
      <c r="AU11" s="241">
        <f>50000000+40000000</f>
        <v>90000000</v>
      </c>
      <c r="AV11" s="242">
        <v>4.9700000000000001E-2</v>
      </c>
      <c r="AW11" s="241">
        <f>(AU11*AV11)/360</f>
        <v>12425</v>
      </c>
      <c r="AZ11" s="241">
        <f>(AX11*AY11)/360</f>
        <v>0</v>
      </c>
      <c r="BC11" s="241">
        <f>(BA11*BB11)/360</f>
        <v>0</v>
      </c>
      <c r="BF11" s="241">
        <f>(BD11*BE11)/360</f>
        <v>0</v>
      </c>
      <c r="BI11" s="241">
        <f>(BG11*BH11)/360</f>
        <v>0</v>
      </c>
      <c r="BL11" s="241">
        <f>(BJ11*BK11)/360</f>
        <v>0</v>
      </c>
      <c r="BO11" s="241">
        <f>(BM11*BN11)/360</f>
        <v>0</v>
      </c>
      <c r="BR11" s="241">
        <f>(BP11*BQ11)/360</f>
        <v>0</v>
      </c>
      <c r="BU11" s="241">
        <f>(BS11*BT11)/360</f>
        <v>0</v>
      </c>
      <c r="BX11" s="241">
        <f>(BV11*BW11)/360</f>
        <v>0</v>
      </c>
      <c r="CA11" s="241">
        <f>(BY11*BZ11)/360</f>
        <v>0</v>
      </c>
      <c r="CD11" s="241">
        <f>(CB11*CC11)/360</f>
        <v>0</v>
      </c>
      <c r="CG11" s="241">
        <f>(CE11*CF11)/360</f>
        <v>0</v>
      </c>
      <c r="CJ11" s="241">
        <f>(CH11*CI11)/360</f>
        <v>0</v>
      </c>
      <c r="CM11" s="241">
        <f>(CK11*CL11)/360</f>
        <v>0</v>
      </c>
      <c r="CP11" s="241">
        <f>(CN11*CO11)/360</f>
        <v>0</v>
      </c>
      <c r="CS11" s="241">
        <f>(CQ11*CR11)/360</f>
        <v>0</v>
      </c>
      <c r="CV11" s="241">
        <f>(CT11*CU11)/360</f>
        <v>0</v>
      </c>
      <c r="CY11" s="241">
        <f>(CW11*CX11)/360</f>
        <v>0</v>
      </c>
      <c r="DB11" s="241">
        <f>(CZ11*DA11)/360</f>
        <v>0</v>
      </c>
      <c r="DE11" s="241">
        <f>(DC11*DD11)/360</f>
        <v>0</v>
      </c>
      <c r="DH11" s="241">
        <f>(DF11*DG11)/360</f>
        <v>0</v>
      </c>
      <c r="DK11" s="241">
        <f>(DI11*DJ11)/360</f>
        <v>0</v>
      </c>
      <c r="DN11" s="241">
        <f>(DL11*DM11)/360</f>
        <v>0</v>
      </c>
      <c r="DQ11" s="241">
        <f>(DO11*DP11)/360</f>
        <v>0</v>
      </c>
      <c r="DT11" s="241">
        <f>(DR11*DS11)/360</f>
        <v>0</v>
      </c>
      <c r="DW11" s="241">
        <f>(DU11*DV11)/360</f>
        <v>0</v>
      </c>
      <c r="DZ11" s="241"/>
      <c r="EA11" s="241"/>
      <c r="EB11" s="261">
        <f>B11+E11+H11+K11+N11+Q11+T11+W11+Z11+AC11+AF11+AL11+AO11+AR11+AU11+AX11+BA11+BD11+BG11+DU11+AI11+DR11+DO11+DL11+DI11+DF11+DC11+CZ11+CW11+CT11+CQ11+CN11+CK11+CH11+CE11+CB11+BY11+BV11+BS11+BP11+BM11+BJ11</f>
        <v>602575000</v>
      </c>
      <c r="EC11" s="261">
        <f>EB11-EK11+EL11</f>
        <v>7225000</v>
      </c>
      <c r="ED11" s="241">
        <f>D11+G11+J11+M11+P11+S11+V11+Y11+AB11+AE11+AH11+AK11+AN11+AQ11+AT11+AW11+AZ11+BC11+BF11+BI11+DW11+DT11+DQ11+DN11+DK11+DH11+DE11+DB11+CY11+CV11+CS11+CP11+CM11+CJ11+CG11+CD11+CA11+BX11+BU11+BR11+BO11+BL11</f>
        <v>84021.645833333328</v>
      </c>
      <c r="EE11" s="242">
        <f>IF(EB11&lt;&gt;0,((ED11/EB11)*360),0)</f>
        <v>5.0197556320789941E-2</v>
      </c>
      <c r="EG11" s="261">
        <f>Q11+T11+W11+Z11+AC11+AF11</f>
        <v>0</v>
      </c>
      <c r="EH11" s="241">
        <f>S11+V11+Y11+AB11+AE11+AH11</f>
        <v>0</v>
      </c>
      <c r="EI11" s="242">
        <f>IF(EG11&lt;&gt;0,((EH11/EG11)*360),0)</f>
        <v>0</v>
      </c>
      <c r="EJ11" s="242"/>
      <c r="EK11" s="261">
        <f>DR11+DL11+DI11+DF11+DC11+CZ11+CW11+CT11+CQ11+CN11+CK11+CH11+CE11+CB11+BY11+BV11+BS11+BP11+BM11+BJ11+BG11+BD11+BA11+AX11+AU11+AR11+AO11+AL11+AI11+DO11</f>
        <v>595350000</v>
      </c>
      <c r="EL11" s="261">
        <f>DX11</f>
        <v>0</v>
      </c>
      <c r="EM11" s="261">
        <f>DT11+DQ11+DN11+DK11+DH11+DE11+DB11+CY11+CV11+CS11+CP11+CM11+CJ11+CG11+CD11+CA11+BX11+BU11+BR11+BO11+BL11+BI11+BF11+BC11+AZ11+AW11+AT11+AQ11+AN11+AK11</f>
        <v>83052.291666666672</v>
      </c>
      <c r="EN11" s="242">
        <f>IF(EK11&lt;&gt;0,((EM11/EK11)*360),0)</f>
        <v>5.0220584530108338E-2</v>
      </c>
      <c r="EP11" s="241"/>
    </row>
    <row r="12" spans="1:147" x14ac:dyDescent="0.25">
      <c r="A12" s="255">
        <f>1+A11</f>
        <v>45567</v>
      </c>
      <c r="B12" s="241">
        <v>9125000</v>
      </c>
      <c r="C12" s="242">
        <v>4.8300000000000003E-2</v>
      </c>
      <c r="D12" s="241">
        <f t="shared" ref="D12:D41" si="2">(B12*C12)/360</f>
        <v>1224.2708333333333</v>
      </c>
      <c r="G12" s="241">
        <f t="shared" ref="G12:G41" si="3">(E12*F12)/360</f>
        <v>0</v>
      </c>
      <c r="J12" s="241">
        <f t="shared" ref="J12:J41" si="4">(H12*I12)/360</f>
        <v>0</v>
      </c>
      <c r="M12" s="241">
        <f t="shared" ref="M12:M41" si="5">(K12*L12)/360</f>
        <v>0</v>
      </c>
      <c r="P12" s="241">
        <f t="shared" ref="P12:P41" si="6">(N12*O12)/360</f>
        <v>0</v>
      </c>
      <c r="S12" s="241">
        <f t="shared" ref="S12:S41" si="7">(Q12*R12)/360</f>
        <v>0</v>
      </c>
      <c r="V12" s="241">
        <f t="shared" ref="V12:V41" si="8">(T12*U12)/360</f>
        <v>0</v>
      </c>
      <c r="Y12" s="241">
        <f t="shared" ref="Y12:Y41" si="9">(W12*X12)/360</f>
        <v>0</v>
      </c>
      <c r="AB12" s="241">
        <f t="shared" ref="AB12:AB41" si="10">(Z12*AA12)/360</f>
        <v>0</v>
      </c>
      <c r="AE12" s="241">
        <v>0</v>
      </c>
      <c r="AH12" s="241">
        <v>0</v>
      </c>
      <c r="AI12" s="256">
        <f>13200000+50000000</f>
        <v>63200000</v>
      </c>
      <c r="AJ12" s="257">
        <v>4.9500000000000002E-2</v>
      </c>
      <c r="AK12" s="241">
        <f t="shared" ref="AK12:AK41" si="11">(AI12*AJ12)/360</f>
        <v>8690</v>
      </c>
      <c r="AL12" s="256">
        <f t="shared" si="0"/>
        <v>175000000</v>
      </c>
      <c r="AM12" s="257">
        <v>4.9700000000000001E-2</v>
      </c>
      <c r="AN12" s="241">
        <f t="shared" ref="AN12:AN41" si="12">(AL12*AM12)/360</f>
        <v>24159.722222222223</v>
      </c>
      <c r="AO12" s="256">
        <f t="shared" si="1"/>
        <v>210000000</v>
      </c>
      <c r="AP12" s="257">
        <v>5.0099999999999999E-2</v>
      </c>
      <c r="AQ12" s="241">
        <f t="shared" ref="AQ12:AQ41" si="13">(AO12*AP12)/360</f>
        <v>29225</v>
      </c>
      <c r="AR12" s="256"/>
      <c r="AS12" s="257"/>
      <c r="AT12" s="241">
        <f t="shared" ref="AT12:AT41" si="14">(AR12*AS12)/360</f>
        <v>0</v>
      </c>
      <c r="AU12" s="241">
        <f>50000000+40000000+40000000</f>
        <v>130000000</v>
      </c>
      <c r="AV12" s="242">
        <v>4.9700000000000001E-2</v>
      </c>
      <c r="AW12" s="241">
        <f t="shared" ref="AW12:AW41" si="15">(AU12*AV12)/360</f>
        <v>17947.222222222223</v>
      </c>
      <c r="AZ12" s="241">
        <f t="shared" ref="AZ12:AZ41" si="16">(AX12*AY12)/360</f>
        <v>0</v>
      </c>
      <c r="BC12" s="241">
        <f t="shared" ref="BC12:BC41" si="17">(BA12*BB12)/360</f>
        <v>0</v>
      </c>
      <c r="BF12" s="241">
        <f t="shared" ref="BF12:BF41" si="18">(BD12*BE12)/360</f>
        <v>0</v>
      </c>
      <c r="BI12" s="241">
        <f t="shared" ref="BI12:BI41" si="19">(BG12*BH12)/360</f>
        <v>0</v>
      </c>
      <c r="BL12" s="241">
        <f t="shared" ref="BL12:BL41" si="20">(BJ12*BK12)/360</f>
        <v>0</v>
      </c>
      <c r="BO12" s="241">
        <f t="shared" ref="BO12:BO41" si="21">(BM12*BN12)/360</f>
        <v>0</v>
      </c>
      <c r="BR12" s="241">
        <f t="shared" ref="BR12:BR41" si="22">(BP12*BQ12)/360</f>
        <v>0</v>
      </c>
      <c r="BU12" s="241">
        <f t="shared" ref="BU12:BU41" si="23">(BS12*BT12)/360</f>
        <v>0</v>
      </c>
      <c r="BX12" s="241">
        <f t="shared" ref="BX12:BX41" si="24">(BV12*BW12)/360</f>
        <v>0</v>
      </c>
      <c r="CA12" s="241">
        <f t="shared" ref="CA12:CA41" si="25">(BY12*BZ12)/360</f>
        <v>0</v>
      </c>
      <c r="CD12" s="241">
        <f t="shared" ref="CD12:CD41" si="26">(CB12*CC12)/360</f>
        <v>0</v>
      </c>
      <c r="CG12" s="241">
        <f t="shared" ref="CG12:CG41" si="27">(CE12*CF12)/360</f>
        <v>0</v>
      </c>
      <c r="CJ12" s="241">
        <f t="shared" ref="CJ12:CJ41" si="28">(CH12*CI12)/360</f>
        <v>0</v>
      </c>
      <c r="CM12" s="241">
        <f t="shared" ref="CM12:CM41" si="29">(CK12*CL12)/360</f>
        <v>0</v>
      </c>
      <c r="CP12" s="241">
        <f t="shared" ref="CP12:CP41" si="30">(CN12*CO12)/360</f>
        <v>0</v>
      </c>
      <c r="CS12" s="241">
        <f t="shared" ref="CS12:CS41" si="31">(CQ12*CR12)/360</f>
        <v>0</v>
      </c>
      <c r="CV12" s="241">
        <f t="shared" ref="CV12:CV41" si="32">(CT12*CU12)/360</f>
        <v>0</v>
      </c>
      <c r="CY12" s="241">
        <f t="shared" ref="CY12:CY41" si="33">(CW12*CX12)/360</f>
        <v>0</v>
      </c>
      <c r="DB12" s="241">
        <f t="shared" ref="DB12:DB41" si="34">(CZ12*DA12)/360</f>
        <v>0</v>
      </c>
      <c r="DE12" s="241">
        <f t="shared" ref="DE12:DE41" si="35">(DC12*DD12)/360</f>
        <v>0</v>
      </c>
      <c r="DH12" s="241">
        <f t="shared" ref="DH12:DH41" si="36">(DF12*DG12)/360</f>
        <v>0</v>
      </c>
      <c r="DK12" s="241">
        <f t="shared" ref="DK12:DK41" si="37">(DI12*DJ12)/360</f>
        <v>0</v>
      </c>
      <c r="DN12" s="241">
        <f t="shared" ref="DN12:DN41" si="38">(DL12*DM12)/360</f>
        <v>0</v>
      </c>
      <c r="DQ12" s="241">
        <f t="shared" ref="DQ12:DQ41" si="39">(DO12*DP12)/360</f>
        <v>0</v>
      </c>
      <c r="DT12" s="241">
        <f t="shared" ref="DT12:DT41" si="40">(DR12*DS12)/360</f>
        <v>0</v>
      </c>
      <c r="DW12" s="241">
        <f t="shared" ref="DW12:DW41" si="41">(DU12*DV12)/360</f>
        <v>0</v>
      </c>
      <c r="DZ12" s="241"/>
      <c r="EA12" s="241"/>
      <c r="EB12" s="261">
        <f t="shared" ref="EB12:EB41" si="42">B12+E12+H12+K12+N12+Q12+T12+W12+Z12+AC12+AF12+AL12+AO12+AR12+AU12+AX12+BA12+BD12+BG12+DU12+AI12+DR12+DO12+DL12+DI12+DF12+DC12+CZ12+CW12+CT12+CQ12+CN12+CK12+CH12+CE12+CB12+BY12+BV12+BS12+BP12+BM12+BJ12</f>
        <v>587325000</v>
      </c>
      <c r="EC12" s="261">
        <f t="shared" ref="EC12:EC41" si="43">EB12-EK12+EL12</f>
        <v>9125000</v>
      </c>
      <c r="ED12" s="241">
        <f t="shared" ref="ED12:ED41" si="44">D12+G12+J12+M12+P12+S12+V12+Y12+AB12+AE12+AH12+AK12+AN12+AQ12+AT12+AW12+AZ12+BC12+BF12+BI12+DW12+DT12+DQ12+DN12+DK12+DH12+DE12+DB12+CY12+CV12+CS12+CP12+CM12+CJ12+CG12+CD12+CA12+BX12+BU12+BR12+BO12+BL12</f>
        <v>81246.215277777781</v>
      </c>
      <c r="EE12" s="242">
        <f t="shared" ref="EE12:EE41" si="45">IF(EB12&lt;&gt;0,((ED12/EB12)*360),0)</f>
        <v>4.9799748861362965E-2</v>
      </c>
      <c r="EG12" s="261">
        <f t="shared" ref="EG12:EG41" si="46">Q12+T12+W12+Z12+AC12+AF12</f>
        <v>0</v>
      </c>
      <c r="EH12" s="241">
        <f t="shared" ref="EH12:EH41" si="47">S12+V12+Y12+AB12+AE12+AH12</f>
        <v>0</v>
      </c>
      <c r="EI12" s="242">
        <f t="shared" ref="EI12:EI41" si="48">IF(EG12&lt;&gt;0,((EH12/EG12)*360),0)</f>
        <v>0</v>
      </c>
      <c r="EJ12" s="242"/>
      <c r="EK12" s="261">
        <f t="shared" ref="EK12:EK41" si="49">DR12+DL12+DI12+DF12+DC12+CZ12+CW12+CT12+CQ12+CN12+CK12+CH12+CE12+CB12+BY12+BV12+BS12+BP12+BM12+BJ12+BG12+BD12+BA12+AX12+AU12+AR12+AO12+AL12+AI12+DO12</f>
        <v>578200000</v>
      </c>
      <c r="EL12" s="261">
        <f t="shared" ref="EL12:EL41" si="50">DX12</f>
        <v>0</v>
      </c>
      <c r="EM12" s="261">
        <f t="shared" ref="EM12:EM41" si="51">DT12+DQ12+DN12+DK12+DH12+DE12+DB12+CY12+CV12+CS12+CP12+CM12+CJ12+CG12+CD12+CA12+BX12+BU12+BR12+BO12+BL12+BI12+BF12+BC12+AZ12+AW12+AT12+AQ12+AN12+AK12</f>
        <v>80021.944444444438</v>
      </c>
      <c r="EN12" s="242">
        <f t="shared" ref="EN12:EN41" si="52">IF(EK12&lt;&gt;0,((EM12/EK12)*360),0)</f>
        <v>4.9823417502594253E-2</v>
      </c>
      <c r="EP12" s="241"/>
    </row>
    <row r="13" spans="1:147" x14ac:dyDescent="0.25">
      <c r="A13" s="255">
        <f t="shared" ref="A13:A41" si="53">1+A12</f>
        <v>45568</v>
      </c>
      <c r="B13" s="241">
        <v>11550000</v>
      </c>
      <c r="C13" s="242">
        <v>4.82E-2</v>
      </c>
      <c r="D13" s="241">
        <f t="shared" si="2"/>
        <v>1546.4166666666667</v>
      </c>
      <c r="G13" s="241">
        <f t="shared" si="3"/>
        <v>0</v>
      </c>
      <c r="J13" s="241">
        <f t="shared" si="4"/>
        <v>0</v>
      </c>
      <c r="M13" s="241">
        <f t="shared" si="5"/>
        <v>0</v>
      </c>
      <c r="P13" s="241">
        <f t="shared" si="6"/>
        <v>0</v>
      </c>
      <c r="S13" s="241">
        <f t="shared" si="7"/>
        <v>0</v>
      </c>
      <c r="V13" s="241">
        <f t="shared" si="8"/>
        <v>0</v>
      </c>
      <c r="Y13" s="241">
        <f t="shared" si="9"/>
        <v>0</v>
      </c>
      <c r="AB13" s="241">
        <f t="shared" si="10"/>
        <v>0</v>
      </c>
      <c r="AE13" s="241">
        <v>0</v>
      </c>
      <c r="AH13" s="241">
        <v>0</v>
      </c>
      <c r="AI13" s="256">
        <f>52700000</f>
        <v>52700000</v>
      </c>
      <c r="AJ13" s="257">
        <v>4.9500000000000002E-2</v>
      </c>
      <c r="AK13" s="241">
        <f t="shared" si="11"/>
        <v>7246.25</v>
      </c>
      <c r="AL13" s="256">
        <f t="shared" si="0"/>
        <v>175000000</v>
      </c>
      <c r="AM13" s="257">
        <v>4.9700000000000001E-2</v>
      </c>
      <c r="AN13" s="241">
        <f t="shared" si="12"/>
        <v>24159.722222222223</v>
      </c>
      <c r="AO13" s="256">
        <f t="shared" si="1"/>
        <v>210000000</v>
      </c>
      <c r="AP13" s="257">
        <v>5.0099999999999999E-2</v>
      </c>
      <c r="AQ13" s="241">
        <f t="shared" si="13"/>
        <v>29225</v>
      </c>
      <c r="AR13" s="256"/>
      <c r="AS13" s="257"/>
      <c r="AT13" s="241">
        <f t="shared" si="14"/>
        <v>0</v>
      </c>
      <c r="AU13" s="241">
        <f>50000000+40000000+40000000</f>
        <v>130000000</v>
      </c>
      <c r="AV13" s="242">
        <v>4.9700000000000001E-2</v>
      </c>
      <c r="AW13" s="241">
        <f t="shared" si="15"/>
        <v>17947.222222222223</v>
      </c>
      <c r="AZ13" s="241">
        <f t="shared" si="16"/>
        <v>0</v>
      </c>
      <c r="BC13" s="241">
        <f t="shared" si="17"/>
        <v>0</v>
      </c>
      <c r="BF13" s="241">
        <f t="shared" si="18"/>
        <v>0</v>
      </c>
      <c r="BI13" s="241">
        <f t="shared" si="19"/>
        <v>0</v>
      </c>
      <c r="BL13" s="241">
        <f t="shared" si="20"/>
        <v>0</v>
      </c>
      <c r="BO13" s="241">
        <f t="shared" si="21"/>
        <v>0</v>
      </c>
      <c r="BR13" s="241">
        <f t="shared" si="22"/>
        <v>0</v>
      </c>
      <c r="BU13" s="241">
        <f t="shared" si="23"/>
        <v>0</v>
      </c>
      <c r="BX13" s="241">
        <f t="shared" si="24"/>
        <v>0</v>
      </c>
      <c r="CA13" s="241">
        <f t="shared" si="25"/>
        <v>0</v>
      </c>
      <c r="CD13" s="241">
        <f t="shared" si="26"/>
        <v>0</v>
      </c>
      <c r="CG13" s="241">
        <f t="shared" si="27"/>
        <v>0</v>
      </c>
      <c r="CJ13" s="241">
        <f t="shared" si="28"/>
        <v>0</v>
      </c>
      <c r="CM13" s="241">
        <f t="shared" si="29"/>
        <v>0</v>
      </c>
      <c r="CP13" s="241">
        <f t="shared" si="30"/>
        <v>0</v>
      </c>
      <c r="CS13" s="241">
        <f t="shared" si="31"/>
        <v>0</v>
      </c>
      <c r="CV13" s="241">
        <f t="shared" si="32"/>
        <v>0</v>
      </c>
      <c r="CY13" s="241">
        <f t="shared" si="33"/>
        <v>0</v>
      </c>
      <c r="DB13" s="241">
        <f t="shared" si="34"/>
        <v>0</v>
      </c>
      <c r="DE13" s="241">
        <f t="shared" si="35"/>
        <v>0</v>
      </c>
      <c r="DH13" s="241">
        <f t="shared" si="36"/>
        <v>0</v>
      </c>
      <c r="DK13" s="241">
        <f t="shared" si="37"/>
        <v>0</v>
      </c>
      <c r="DN13" s="241">
        <f t="shared" si="38"/>
        <v>0</v>
      </c>
      <c r="DQ13" s="241">
        <f t="shared" si="39"/>
        <v>0</v>
      </c>
      <c r="DT13" s="241">
        <f t="shared" si="40"/>
        <v>0</v>
      </c>
      <c r="DW13" s="241">
        <f t="shared" si="41"/>
        <v>0</v>
      </c>
      <c r="DZ13" s="241"/>
      <c r="EA13" s="241"/>
      <c r="EB13" s="261">
        <f t="shared" si="42"/>
        <v>579250000</v>
      </c>
      <c r="EC13" s="261">
        <f t="shared" si="43"/>
        <v>11550000</v>
      </c>
      <c r="ED13" s="241">
        <f t="shared" si="44"/>
        <v>80124.611111111109</v>
      </c>
      <c r="EE13" s="242">
        <f t="shared" si="45"/>
        <v>4.9796909797151484E-2</v>
      </c>
      <c r="EG13" s="261">
        <f t="shared" si="46"/>
        <v>0</v>
      </c>
      <c r="EH13" s="241">
        <f t="shared" si="47"/>
        <v>0</v>
      </c>
      <c r="EI13" s="242">
        <f t="shared" si="48"/>
        <v>0</v>
      </c>
      <c r="EJ13" s="242"/>
      <c r="EK13" s="261">
        <f t="shared" si="49"/>
        <v>567700000</v>
      </c>
      <c r="EL13" s="261">
        <f t="shared" si="50"/>
        <v>0</v>
      </c>
      <c r="EM13" s="261">
        <f t="shared" si="51"/>
        <v>78578.194444444438</v>
      </c>
      <c r="EN13" s="242">
        <f t="shared" si="52"/>
        <v>4.9829399330632372E-2</v>
      </c>
      <c r="EP13" s="241"/>
    </row>
    <row r="14" spans="1:147" x14ac:dyDescent="0.25">
      <c r="A14" s="255">
        <f t="shared" si="53"/>
        <v>45569</v>
      </c>
      <c r="B14" s="241">
        <v>16500000</v>
      </c>
      <c r="C14" s="242">
        <v>4.82E-2</v>
      </c>
      <c r="D14" s="241">
        <f t="shared" si="2"/>
        <v>2209.1666666666665</v>
      </c>
      <c r="G14" s="241">
        <f t="shared" si="3"/>
        <v>0</v>
      </c>
      <c r="J14" s="241">
        <f t="shared" si="4"/>
        <v>0</v>
      </c>
      <c r="M14" s="241">
        <f t="shared" si="5"/>
        <v>0</v>
      </c>
      <c r="P14" s="241">
        <f t="shared" si="6"/>
        <v>0</v>
      </c>
      <c r="S14" s="241">
        <f t="shared" si="7"/>
        <v>0</v>
      </c>
      <c r="V14" s="241">
        <f t="shared" si="8"/>
        <v>0</v>
      </c>
      <c r="Y14" s="241">
        <f t="shared" si="9"/>
        <v>0</v>
      </c>
      <c r="AB14" s="241">
        <f t="shared" si="10"/>
        <v>0</v>
      </c>
      <c r="AE14" s="241">
        <v>0</v>
      </c>
      <c r="AH14" s="241">
        <v>0</v>
      </c>
      <c r="AI14" s="256">
        <f>41050000</f>
        <v>41050000</v>
      </c>
      <c r="AJ14" s="257">
        <v>4.9500000000000002E-2</v>
      </c>
      <c r="AK14" s="241">
        <f t="shared" si="11"/>
        <v>5644.375</v>
      </c>
      <c r="AL14" s="256">
        <f t="shared" si="0"/>
        <v>175000000</v>
      </c>
      <c r="AM14" s="257">
        <v>4.9700000000000001E-2</v>
      </c>
      <c r="AN14" s="241">
        <f t="shared" si="12"/>
        <v>24159.722222222223</v>
      </c>
      <c r="AO14" s="256">
        <f t="shared" si="1"/>
        <v>210000000</v>
      </c>
      <c r="AP14" s="257">
        <v>5.0099999999999999E-2</v>
      </c>
      <c r="AQ14" s="241">
        <f t="shared" si="13"/>
        <v>29225</v>
      </c>
      <c r="AR14" s="256"/>
      <c r="AS14" s="257"/>
      <c r="AT14" s="241">
        <f t="shared" si="14"/>
        <v>0</v>
      </c>
      <c r="AU14" s="241">
        <f>50000000+40000000+40000000</f>
        <v>130000000</v>
      </c>
      <c r="AV14" s="242">
        <v>4.9700000000000001E-2</v>
      </c>
      <c r="AW14" s="241">
        <f t="shared" si="15"/>
        <v>17947.222222222223</v>
      </c>
      <c r="AZ14" s="241">
        <f t="shared" si="16"/>
        <v>0</v>
      </c>
      <c r="BC14" s="241">
        <f t="shared" si="17"/>
        <v>0</v>
      </c>
      <c r="BF14" s="241">
        <f t="shared" si="18"/>
        <v>0</v>
      </c>
      <c r="BI14" s="241">
        <f t="shared" si="19"/>
        <v>0</v>
      </c>
      <c r="BL14" s="241">
        <f t="shared" si="20"/>
        <v>0</v>
      </c>
      <c r="BO14" s="241">
        <f t="shared" si="21"/>
        <v>0</v>
      </c>
      <c r="BR14" s="241">
        <f t="shared" si="22"/>
        <v>0</v>
      </c>
      <c r="BU14" s="241">
        <f t="shared" si="23"/>
        <v>0</v>
      </c>
      <c r="BX14" s="241">
        <f t="shared" si="24"/>
        <v>0</v>
      </c>
      <c r="CA14" s="241">
        <f t="shared" si="25"/>
        <v>0</v>
      </c>
      <c r="CD14" s="241">
        <f t="shared" si="26"/>
        <v>0</v>
      </c>
      <c r="CG14" s="241">
        <f t="shared" si="27"/>
        <v>0</v>
      </c>
      <c r="CJ14" s="241">
        <f t="shared" si="28"/>
        <v>0</v>
      </c>
      <c r="CM14" s="241">
        <f t="shared" si="29"/>
        <v>0</v>
      </c>
      <c r="CP14" s="241">
        <f t="shared" si="30"/>
        <v>0</v>
      </c>
      <c r="CS14" s="241">
        <f t="shared" si="31"/>
        <v>0</v>
      </c>
      <c r="CV14" s="241">
        <f t="shared" si="32"/>
        <v>0</v>
      </c>
      <c r="CY14" s="241">
        <f t="shared" si="33"/>
        <v>0</v>
      </c>
      <c r="DB14" s="241">
        <f t="shared" si="34"/>
        <v>0</v>
      </c>
      <c r="DE14" s="241">
        <f t="shared" si="35"/>
        <v>0</v>
      </c>
      <c r="DH14" s="241">
        <f t="shared" si="36"/>
        <v>0</v>
      </c>
      <c r="DK14" s="241">
        <f t="shared" si="37"/>
        <v>0</v>
      </c>
      <c r="DN14" s="241">
        <f t="shared" si="38"/>
        <v>0</v>
      </c>
      <c r="DQ14" s="241">
        <f t="shared" si="39"/>
        <v>0</v>
      </c>
      <c r="DT14" s="241">
        <f t="shared" si="40"/>
        <v>0</v>
      </c>
      <c r="DW14" s="241">
        <f t="shared" si="41"/>
        <v>0</v>
      </c>
      <c r="DZ14" s="241"/>
      <c r="EA14" s="241"/>
      <c r="EB14" s="261">
        <f t="shared" si="42"/>
        <v>572550000</v>
      </c>
      <c r="EC14" s="261">
        <f t="shared" si="43"/>
        <v>16500000</v>
      </c>
      <c r="ED14" s="241">
        <f t="shared" si="44"/>
        <v>79185.486111111109</v>
      </c>
      <c r="EE14" s="242">
        <f t="shared" si="45"/>
        <v>4.9789145052833814E-2</v>
      </c>
      <c r="EG14" s="261">
        <f t="shared" si="46"/>
        <v>0</v>
      </c>
      <c r="EH14" s="241">
        <f t="shared" si="47"/>
        <v>0</v>
      </c>
      <c r="EI14" s="242">
        <f t="shared" si="48"/>
        <v>0</v>
      </c>
      <c r="EJ14" s="242"/>
      <c r="EK14" s="261">
        <f t="shared" si="49"/>
        <v>556050000</v>
      </c>
      <c r="EL14" s="261">
        <f t="shared" si="50"/>
        <v>0</v>
      </c>
      <c r="EM14" s="261">
        <f t="shared" si="51"/>
        <v>76976.319444444438</v>
      </c>
      <c r="EN14" s="242">
        <f t="shared" si="52"/>
        <v>4.9836300692383775E-2</v>
      </c>
      <c r="EP14" s="241"/>
    </row>
    <row r="15" spans="1:147" x14ac:dyDescent="0.25">
      <c r="A15" s="255">
        <f t="shared" si="53"/>
        <v>45570</v>
      </c>
      <c r="B15" s="241">
        <v>16500000</v>
      </c>
      <c r="C15" s="242">
        <v>4.82E-2</v>
      </c>
      <c r="D15" s="241">
        <f t="shared" si="2"/>
        <v>2209.1666666666665</v>
      </c>
      <c r="G15" s="241">
        <f t="shared" si="3"/>
        <v>0</v>
      </c>
      <c r="J15" s="241">
        <f t="shared" si="4"/>
        <v>0</v>
      </c>
      <c r="M15" s="241">
        <f t="shared" si="5"/>
        <v>0</v>
      </c>
      <c r="P15" s="241">
        <f t="shared" si="6"/>
        <v>0</v>
      </c>
      <c r="S15" s="241">
        <f t="shared" si="7"/>
        <v>0</v>
      </c>
      <c r="V15" s="241">
        <f t="shared" si="8"/>
        <v>0</v>
      </c>
      <c r="Y15" s="241">
        <f t="shared" si="9"/>
        <v>0</v>
      </c>
      <c r="AB15" s="241">
        <f t="shared" si="10"/>
        <v>0</v>
      </c>
      <c r="AE15" s="241">
        <v>0</v>
      </c>
      <c r="AH15" s="241">
        <v>0</v>
      </c>
      <c r="AI15" s="256">
        <f>41050000</f>
        <v>41050000</v>
      </c>
      <c r="AJ15" s="257">
        <v>4.9500000000000002E-2</v>
      </c>
      <c r="AK15" s="241">
        <f t="shared" si="11"/>
        <v>5644.375</v>
      </c>
      <c r="AL15" s="256">
        <f t="shared" si="0"/>
        <v>175000000</v>
      </c>
      <c r="AM15" s="257">
        <v>4.9700000000000001E-2</v>
      </c>
      <c r="AN15" s="241">
        <f t="shared" si="12"/>
        <v>24159.722222222223</v>
      </c>
      <c r="AO15" s="256">
        <f t="shared" si="1"/>
        <v>210000000</v>
      </c>
      <c r="AP15" s="257">
        <v>5.0099999999999999E-2</v>
      </c>
      <c r="AQ15" s="241">
        <f t="shared" si="13"/>
        <v>29225</v>
      </c>
      <c r="AR15" s="256"/>
      <c r="AS15" s="257"/>
      <c r="AT15" s="241">
        <f t="shared" si="14"/>
        <v>0</v>
      </c>
      <c r="AU15" s="241">
        <f>50000000+40000000+40000000</f>
        <v>130000000</v>
      </c>
      <c r="AV15" s="242">
        <v>4.9700000000000001E-2</v>
      </c>
      <c r="AW15" s="241">
        <f t="shared" si="15"/>
        <v>17947.222222222223</v>
      </c>
      <c r="AZ15" s="241">
        <f t="shared" si="16"/>
        <v>0</v>
      </c>
      <c r="BC15" s="241">
        <f t="shared" si="17"/>
        <v>0</v>
      </c>
      <c r="BF15" s="241">
        <f t="shared" si="18"/>
        <v>0</v>
      </c>
      <c r="BI15" s="241">
        <f t="shared" si="19"/>
        <v>0</v>
      </c>
      <c r="BL15" s="241">
        <f t="shared" si="20"/>
        <v>0</v>
      </c>
      <c r="BO15" s="241">
        <f t="shared" si="21"/>
        <v>0</v>
      </c>
      <c r="BR15" s="241">
        <f t="shared" si="22"/>
        <v>0</v>
      </c>
      <c r="BU15" s="241">
        <f t="shared" si="23"/>
        <v>0</v>
      </c>
      <c r="BX15" s="241">
        <f t="shared" si="24"/>
        <v>0</v>
      </c>
      <c r="CA15" s="241">
        <f t="shared" si="25"/>
        <v>0</v>
      </c>
      <c r="CD15" s="241">
        <f t="shared" si="26"/>
        <v>0</v>
      </c>
      <c r="CG15" s="241">
        <f t="shared" si="27"/>
        <v>0</v>
      </c>
      <c r="CJ15" s="241">
        <f t="shared" si="28"/>
        <v>0</v>
      </c>
      <c r="CM15" s="241">
        <f t="shared" si="29"/>
        <v>0</v>
      </c>
      <c r="CP15" s="241">
        <f t="shared" si="30"/>
        <v>0</v>
      </c>
      <c r="CS15" s="241">
        <f t="shared" si="31"/>
        <v>0</v>
      </c>
      <c r="CV15" s="241">
        <f t="shared" si="32"/>
        <v>0</v>
      </c>
      <c r="CY15" s="241">
        <f t="shared" si="33"/>
        <v>0</v>
      </c>
      <c r="DB15" s="241">
        <f t="shared" si="34"/>
        <v>0</v>
      </c>
      <c r="DE15" s="241">
        <f t="shared" si="35"/>
        <v>0</v>
      </c>
      <c r="DH15" s="241">
        <f t="shared" si="36"/>
        <v>0</v>
      </c>
      <c r="DK15" s="241">
        <f t="shared" si="37"/>
        <v>0</v>
      </c>
      <c r="DN15" s="241">
        <f t="shared" si="38"/>
        <v>0</v>
      </c>
      <c r="DQ15" s="241">
        <f t="shared" si="39"/>
        <v>0</v>
      </c>
      <c r="DT15" s="241">
        <f t="shared" si="40"/>
        <v>0</v>
      </c>
      <c r="DW15" s="241">
        <f t="shared" si="41"/>
        <v>0</v>
      </c>
      <c r="DZ15" s="241"/>
      <c r="EA15" s="241"/>
      <c r="EB15" s="261">
        <f t="shared" si="42"/>
        <v>572550000</v>
      </c>
      <c r="EC15" s="261">
        <f t="shared" si="43"/>
        <v>16500000</v>
      </c>
      <c r="ED15" s="241">
        <f t="shared" si="44"/>
        <v>79185.486111111109</v>
      </c>
      <c r="EE15" s="242">
        <f t="shared" si="45"/>
        <v>4.9789145052833814E-2</v>
      </c>
      <c r="EG15" s="261">
        <f t="shared" si="46"/>
        <v>0</v>
      </c>
      <c r="EH15" s="241">
        <f t="shared" si="47"/>
        <v>0</v>
      </c>
      <c r="EI15" s="242">
        <f t="shared" si="48"/>
        <v>0</v>
      </c>
      <c r="EJ15" s="242"/>
      <c r="EK15" s="261">
        <f t="shared" si="49"/>
        <v>556050000</v>
      </c>
      <c r="EL15" s="261">
        <f t="shared" si="50"/>
        <v>0</v>
      </c>
      <c r="EM15" s="261">
        <f t="shared" si="51"/>
        <v>76976.319444444438</v>
      </c>
      <c r="EN15" s="242">
        <f t="shared" si="52"/>
        <v>4.9836300692383775E-2</v>
      </c>
      <c r="EP15" s="241"/>
    </row>
    <row r="16" spans="1:147" x14ac:dyDescent="0.25">
      <c r="A16" s="255">
        <f t="shared" si="53"/>
        <v>45571</v>
      </c>
      <c r="B16" s="241">
        <v>16500000</v>
      </c>
      <c r="C16" s="242">
        <v>4.82E-2</v>
      </c>
      <c r="D16" s="241">
        <f t="shared" si="2"/>
        <v>2209.1666666666665</v>
      </c>
      <c r="G16" s="241">
        <f t="shared" si="3"/>
        <v>0</v>
      </c>
      <c r="J16" s="241">
        <f t="shared" si="4"/>
        <v>0</v>
      </c>
      <c r="M16" s="241">
        <f t="shared" si="5"/>
        <v>0</v>
      </c>
      <c r="P16" s="241">
        <f t="shared" si="6"/>
        <v>0</v>
      </c>
      <c r="S16" s="241">
        <f t="shared" si="7"/>
        <v>0</v>
      </c>
      <c r="V16" s="241">
        <f t="shared" si="8"/>
        <v>0</v>
      </c>
      <c r="Y16" s="241">
        <f t="shared" si="9"/>
        <v>0</v>
      </c>
      <c r="AB16" s="241">
        <f t="shared" si="10"/>
        <v>0</v>
      </c>
      <c r="AE16" s="241">
        <v>0</v>
      </c>
      <c r="AH16" s="241">
        <v>0</v>
      </c>
      <c r="AI16" s="256">
        <f>41050000</f>
        <v>41050000</v>
      </c>
      <c r="AJ16" s="257">
        <v>4.9500000000000002E-2</v>
      </c>
      <c r="AK16" s="241">
        <f t="shared" si="11"/>
        <v>5644.375</v>
      </c>
      <c r="AL16" s="256">
        <f t="shared" si="0"/>
        <v>175000000</v>
      </c>
      <c r="AM16" s="257">
        <v>4.9700000000000001E-2</v>
      </c>
      <c r="AN16" s="241">
        <f t="shared" si="12"/>
        <v>24159.722222222223</v>
      </c>
      <c r="AO16" s="256">
        <f t="shared" si="1"/>
        <v>210000000</v>
      </c>
      <c r="AP16" s="257">
        <v>5.0099999999999999E-2</v>
      </c>
      <c r="AQ16" s="241">
        <f t="shared" si="13"/>
        <v>29225</v>
      </c>
      <c r="AR16" s="256"/>
      <c r="AS16" s="257"/>
      <c r="AT16" s="241">
        <f t="shared" si="14"/>
        <v>0</v>
      </c>
      <c r="AU16" s="241">
        <f>50000000+40000000+40000000</f>
        <v>130000000</v>
      </c>
      <c r="AV16" s="242">
        <v>4.9700000000000001E-2</v>
      </c>
      <c r="AW16" s="241">
        <f t="shared" si="15"/>
        <v>17947.222222222223</v>
      </c>
      <c r="AZ16" s="241">
        <f t="shared" si="16"/>
        <v>0</v>
      </c>
      <c r="BC16" s="241">
        <f t="shared" si="17"/>
        <v>0</v>
      </c>
      <c r="BF16" s="241">
        <f t="shared" si="18"/>
        <v>0</v>
      </c>
      <c r="BI16" s="241">
        <f t="shared" si="19"/>
        <v>0</v>
      </c>
      <c r="BL16" s="241">
        <f t="shared" si="20"/>
        <v>0</v>
      </c>
      <c r="BO16" s="241">
        <f t="shared" si="21"/>
        <v>0</v>
      </c>
      <c r="BR16" s="241">
        <f t="shared" si="22"/>
        <v>0</v>
      </c>
      <c r="BU16" s="241">
        <f t="shared" si="23"/>
        <v>0</v>
      </c>
      <c r="BX16" s="241">
        <f t="shared" si="24"/>
        <v>0</v>
      </c>
      <c r="CA16" s="241">
        <f t="shared" si="25"/>
        <v>0</v>
      </c>
      <c r="CD16" s="241">
        <f t="shared" si="26"/>
        <v>0</v>
      </c>
      <c r="CG16" s="241">
        <f t="shared" si="27"/>
        <v>0</v>
      </c>
      <c r="CJ16" s="241">
        <f t="shared" si="28"/>
        <v>0</v>
      </c>
      <c r="CM16" s="241">
        <f t="shared" si="29"/>
        <v>0</v>
      </c>
      <c r="CP16" s="241">
        <f t="shared" si="30"/>
        <v>0</v>
      </c>
      <c r="CS16" s="241">
        <f t="shared" si="31"/>
        <v>0</v>
      </c>
      <c r="CV16" s="241">
        <f t="shared" si="32"/>
        <v>0</v>
      </c>
      <c r="CY16" s="241">
        <f t="shared" si="33"/>
        <v>0</v>
      </c>
      <c r="DB16" s="241">
        <f t="shared" si="34"/>
        <v>0</v>
      </c>
      <c r="DE16" s="241">
        <f t="shared" si="35"/>
        <v>0</v>
      </c>
      <c r="DH16" s="241">
        <f t="shared" si="36"/>
        <v>0</v>
      </c>
      <c r="DK16" s="241">
        <f t="shared" si="37"/>
        <v>0</v>
      </c>
      <c r="DN16" s="241">
        <f t="shared" si="38"/>
        <v>0</v>
      </c>
      <c r="DQ16" s="241">
        <f t="shared" si="39"/>
        <v>0</v>
      </c>
      <c r="DT16" s="241">
        <f t="shared" si="40"/>
        <v>0</v>
      </c>
      <c r="DW16" s="241">
        <f t="shared" si="41"/>
        <v>0</v>
      </c>
      <c r="DZ16" s="241"/>
      <c r="EA16" s="241"/>
      <c r="EB16" s="261">
        <f t="shared" si="42"/>
        <v>572550000</v>
      </c>
      <c r="EC16" s="261">
        <f t="shared" si="43"/>
        <v>16500000</v>
      </c>
      <c r="ED16" s="241">
        <f t="shared" si="44"/>
        <v>79185.486111111109</v>
      </c>
      <c r="EE16" s="242">
        <f t="shared" si="45"/>
        <v>4.9789145052833814E-2</v>
      </c>
      <c r="EG16" s="261">
        <f t="shared" si="46"/>
        <v>0</v>
      </c>
      <c r="EH16" s="241">
        <f t="shared" si="47"/>
        <v>0</v>
      </c>
      <c r="EI16" s="242">
        <f t="shared" si="48"/>
        <v>0</v>
      </c>
      <c r="EJ16" s="242"/>
      <c r="EK16" s="261">
        <f t="shared" si="49"/>
        <v>556050000</v>
      </c>
      <c r="EL16" s="261">
        <f t="shared" si="50"/>
        <v>0</v>
      </c>
      <c r="EM16" s="261">
        <f t="shared" si="51"/>
        <v>76976.319444444438</v>
      </c>
      <c r="EN16" s="242">
        <f t="shared" si="52"/>
        <v>4.9836300692383775E-2</v>
      </c>
      <c r="EP16" s="241"/>
    </row>
    <row r="17" spans="1:146" x14ac:dyDescent="0.25">
      <c r="A17" s="255">
        <f t="shared" si="53"/>
        <v>45572</v>
      </c>
      <c r="B17" s="241">
        <v>17499925</v>
      </c>
      <c r="C17" s="242">
        <v>4.7500000000000001E-2</v>
      </c>
      <c r="D17" s="241">
        <f t="shared" si="2"/>
        <v>2309.0178819444445</v>
      </c>
      <c r="G17" s="241">
        <f t="shared" si="3"/>
        <v>0</v>
      </c>
      <c r="J17" s="241">
        <f t="shared" si="4"/>
        <v>0</v>
      </c>
      <c r="M17" s="241">
        <f t="shared" si="5"/>
        <v>0</v>
      </c>
      <c r="P17" s="241">
        <f t="shared" si="6"/>
        <v>0</v>
      </c>
      <c r="S17" s="241">
        <f t="shared" si="7"/>
        <v>0</v>
      </c>
      <c r="V17" s="241">
        <f t="shared" si="8"/>
        <v>0</v>
      </c>
      <c r="Y17" s="241">
        <f t="shared" si="9"/>
        <v>0</v>
      </c>
      <c r="AB17" s="241">
        <f t="shared" si="10"/>
        <v>0</v>
      </c>
      <c r="AE17" s="241">
        <v>0</v>
      </c>
      <c r="AH17" s="241">
        <v>0</v>
      </c>
      <c r="AI17" s="256">
        <f>35000000+40000000+34375000</f>
        <v>109375000</v>
      </c>
      <c r="AJ17" s="257">
        <v>4.9500000000000002E-2</v>
      </c>
      <c r="AK17" s="241">
        <f t="shared" si="11"/>
        <v>15039.0625</v>
      </c>
      <c r="AL17" s="256"/>
      <c r="AM17" s="257"/>
      <c r="AN17" s="241">
        <f t="shared" si="12"/>
        <v>0</v>
      </c>
      <c r="AO17" s="256"/>
      <c r="AP17" s="257"/>
      <c r="AQ17" s="241">
        <f t="shared" si="13"/>
        <v>0</v>
      </c>
      <c r="AR17" s="256"/>
      <c r="AS17" s="257"/>
      <c r="AT17" s="241">
        <f t="shared" si="14"/>
        <v>0</v>
      </c>
      <c r="AW17" s="241">
        <f t="shared" si="15"/>
        <v>0</v>
      </c>
      <c r="AZ17" s="241">
        <f t="shared" si="16"/>
        <v>0</v>
      </c>
      <c r="BC17" s="241">
        <f t="shared" si="17"/>
        <v>0</v>
      </c>
      <c r="BF17" s="241">
        <f t="shared" si="18"/>
        <v>0</v>
      </c>
      <c r="BI17" s="241">
        <f t="shared" si="19"/>
        <v>0</v>
      </c>
      <c r="BL17" s="241">
        <f t="shared" si="20"/>
        <v>0</v>
      </c>
      <c r="BO17" s="241">
        <f t="shared" si="21"/>
        <v>0</v>
      </c>
      <c r="BR17" s="241">
        <f t="shared" si="22"/>
        <v>0</v>
      </c>
      <c r="BU17" s="241">
        <f t="shared" si="23"/>
        <v>0</v>
      </c>
      <c r="BX17" s="241">
        <f t="shared" si="24"/>
        <v>0</v>
      </c>
      <c r="CA17" s="241">
        <f t="shared" si="25"/>
        <v>0</v>
      </c>
      <c r="CD17" s="241">
        <f t="shared" si="26"/>
        <v>0</v>
      </c>
      <c r="CG17" s="241">
        <f t="shared" si="27"/>
        <v>0</v>
      </c>
      <c r="CJ17" s="241">
        <f t="shared" si="28"/>
        <v>0</v>
      </c>
      <c r="CM17" s="241">
        <f t="shared" si="29"/>
        <v>0</v>
      </c>
      <c r="CP17" s="241">
        <f t="shared" si="30"/>
        <v>0</v>
      </c>
      <c r="CS17" s="241">
        <f t="shared" si="31"/>
        <v>0</v>
      </c>
      <c r="CV17" s="241">
        <f t="shared" si="32"/>
        <v>0</v>
      </c>
      <c r="CY17" s="241">
        <f t="shared" si="33"/>
        <v>0</v>
      </c>
      <c r="DB17" s="241">
        <f t="shared" si="34"/>
        <v>0</v>
      </c>
      <c r="DE17" s="241">
        <f t="shared" si="35"/>
        <v>0</v>
      </c>
      <c r="DH17" s="241">
        <f t="shared" si="36"/>
        <v>0</v>
      </c>
      <c r="DK17" s="241">
        <f t="shared" si="37"/>
        <v>0</v>
      </c>
      <c r="DN17" s="241">
        <f t="shared" si="38"/>
        <v>0</v>
      </c>
      <c r="DQ17" s="241">
        <f t="shared" si="39"/>
        <v>0</v>
      </c>
      <c r="DT17" s="241">
        <f t="shared" si="40"/>
        <v>0</v>
      </c>
      <c r="DW17" s="241">
        <f t="shared" si="41"/>
        <v>0</v>
      </c>
      <c r="DZ17" s="241"/>
      <c r="EA17" s="241"/>
      <c r="EB17" s="261">
        <f t="shared" si="42"/>
        <v>126874925</v>
      </c>
      <c r="EC17" s="261">
        <f t="shared" si="43"/>
        <v>17499925</v>
      </c>
      <c r="ED17" s="241">
        <f t="shared" si="44"/>
        <v>17348.080381944445</v>
      </c>
      <c r="EE17" s="242">
        <f t="shared" si="45"/>
        <v>4.9224138950229916E-2</v>
      </c>
      <c r="EG17" s="261">
        <f t="shared" si="46"/>
        <v>0</v>
      </c>
      <c r="EH17" s="241">
        <f t="shared" si="47"/>
        <v>0</v>
      </c>
      <c r="EI17" s="242">
        <f t="shared" si="48"/>
        <v>0</v>
      </c>
      <c r="EJ17" s="242"/>
      <c r="EK17" s="261">
        <f t="shared" si="49"/>
        <v>109375000</v>
      </c>
      <c r="EL17" s="261">
        <f t="shared" si="50"/>
        <v>0</v>
      </c>
      <c r="EM17" s="261">
        <f t="shared" si="51"/>
        <v>15039.0625</v>
      </c>
      <c r="EN17" s="242">
        <f t="shared" si="52"/>
        <v>4.9500000000000002E-2</v>
      </c>
      <c r="EP17" s="241"/>
    </row>
    <row r="18" spans="1:146" x14ac:dyDescent="0.25">
      <c r="A18" s="255">
        <f t="shared" si="53"/>
        <v>45573</v>
      </c>
      <c r="B18" s="241">
        <v>26925000</v>
      </c>
      <c r="C18" s="242">
        <v>4.7500000000000001E-2</v>
      </c>
      <c r="D18" s="241">
        <f t="shared" si="2"/>
        <v>3552.6041666666665</v>
      </c>
      <c r="G18" s="241">
        <f t="shared" si="3"/>
        <v>0</v>
      </c>
      <c r="J18" s="241">
        <f t="shared" si="4"/>
        <v>0</v>
      </c>
      <c r="M18" s="241">
        <f t="shared" si="5"/>
        <v>0</v>
      </c>
      <c r="P18" s="241">
        <f t="shared" si="6"/>
        <v>0</v>
      </c>
      <c r="S18" s="241">
        <f t="shared" si="7"/>
        <v>0</v>
      </c>
      <c r="V18" s="241">
        <f t="shared" si="8"/>
        <v>0</v>
      </c>
      <c r="Y18" s="241">
        <f t="shared" si="9"/>
        <v>0</v>
      </c>
      <c r="AB18" s="241">
        <f t="shared" si="10"/>
        <v>0</v>
      </c>
      <c r="AE18" s="241">
        <v>0</v>
      </c>
      <c r="AH18" s="241">
        <v>0</v>
      </c>
      <c r="AI18" s="256">
        <f>25600000+30000000+25000000</f>
        <v>80600000</v>
      </c>
      <c r="AJ18" s="257">
        <v>4.9500000000000002E-2</v>
      </c>
      <c r="AK18" s="241">
        <f t="shared" si="11"/>
        <v>11082.5</v>
      </c>
      <c r="AL18" s="256"/>
      <c r="AM18" s="257"/>
      <c r="AN18" s="241">
        <f t="shared" si="12"/>
        <v>0</v>
      </c>
      <c r="AO18" s="256"/>
      <c r="AP18" s="257"/>
      <c r="AQ18" s="241">
        <f t="shared" si="13"/>
        <v>0</v>
      </c>
      <c r="AR18" s="256"/>
      <c r="AS18" s="257"/>
      <c r="AT18" s="241">
        <f t="shared" si="14"/>
        <v>0</v>
      </c>
      <c r="AW18" s="241">
        <f t="shared" si="15"/>
        <v>0</v>
      </c>
      <c r="AZ18" s="241">
        <f t="shared" si="16"/>
        <v>0</v>
      </c>
      <c r="BC18" s="241">
        <f t="shared" si="17"/>
        <v>0</v>
      </c>
      <c r="BF18" s="241">
        <f t="shared" si="18"/>
        <v>0</v>
      </c>
      <c r="BI18" s="241">
        <f t="shared" si="19"/>
        <v>0</v>
      </c>
      <c r="BL18" s="241">
        <f t="shared" si="20"/>
        <v>0</v>
      </c>
      <c r="BO18" s="241">
        <f t="shared" si="21"/>
        <v>0</v>
      </c>
      <c r="BR18" s="241">
        <f t="shared" si="22"/>
        <v>0</v>
      </c>
      <c r="BU18" s="241">
        <f t="shared" si="23"/>
        <v>0</v>
      </c>
      <c r="BX18" s="241">
        <f t="shared" si="24"/>
        <v>0</v>
      </c>
      <c r="CA18" s="241">
        <f t="shared" si="25"/>
        <v>0</v>
      </c>
      <c r="CD18" s="241">
        <f t="shared" si="26"/>
        <v>0</v>
      </c>
      <c r="CG18" s="241">
        <f t="shared" si="27"/>
        <v>0</v>
      </c>
      <c r="CJ18" s="241">
        <f t="shared" si="28"/>
        <v>0</v>
      </c>
      <c r="CM18" s="241">
        <f t="shared" si="29"/>
        <v>0</v>
      </c>
      <c r="CP18" s="241">
        <f t="shared" si="30"/>
        <v>0</v>
      </c>
      <c r="CS18" s="241">
        <f t="shared" si="31"/>
        <v>0</v>
      </c>
      <c r="CV18" s="241">
        <f t="shared" si="32"/>
        <v>0</v>
      </c>
      <c r="CY18" s="241">
        <f t="shared" si="33"/>
        <v>0</v>
      </c>
      <c r="DB18" s="241">
        <f t="shared" si="34"/>
        <v>0</v>
      </c>
      <c r="DE18" s="241">
        <f t="shared" si="35"/>
        <v>0</v>
      </c>
      <c r="DH18" s="241">
        <f t="shared" si="36"/>
        <v>0</v>
      </c>
      <c r="DK18" s="241">
        <f t="shared" si="37"/>
        <v>0</v>
      </c>
      <c r="DN18" s="241">
        <f t="shared" si="38"/>
        <v>0</v>
      </c>
      <c r="DQ18" s="241">
        <f t="shared" si="39"/>
        <v>0</v>
      </c>
      <c r="DT18" s="241">
        <f t="shared" si="40"/>
        <v>0</v>
      </c>
      <c r="DW18" s="241">
        <f t="shared" si="41"/>
        <v>0</v>
      </c>
      <c r="DZ18" s="241"/>
      <c r="EA18" s="241"/>
      <c r="EB18" s="261">
        <f t="shared" si="42"/>
        <v>107525000</v>
      </c>
      <c r="EC18" s="261">
        <f t="shared" si="43"/>
        <v>26925000</v>
      </c>
      <c r="ED18" s="241">
        <f t="shared" si="44"/>
        <v>14635.104166666666</v>
      </c>
      <c r="EE18" s="242">
        <f t="shared" si="45"/>
        <v>4.8999186235759121E-2</v>
      </c>
      <c r="EG18" s="261">
        <f t="shared" si="46"/>
        <v>0</v>
      </c>
      <c r="EH18" s="241">
        <f t="shared" si="47"/>
        <v>0</v>
      </c>
      <c r="EI18" s="242">
        <f t="shared" si="48"/>
        <v>0</v>
      </c>
      <c r="EJ18" s="242"/>
      <c r="EK18" s="261">
        <f t="shared" si="49"/>
        <v>80600000</v>
      </c>
      <c r="EL18" s="261">
        <f t="shared" si="50"/>
        <v>0</v>
      </c>
      <c r="EM18" s="261">
        <f t="shared" si="51"/>
        <v>11082.5</v>
      </c>
      <c r="EN18" s="242">
        <f t="shared" si="52"/>
        <v>4.9500000000000002E-2</v>
      </c>
      <c r="EP18" s="241"/>
    </row>
    <row r="19" spans="1:146" x14ac:dyDescent="0.25">
      <c r="A19" s="255">
        <f t="shared" si="53"/>
        <v>45574</v>
      </c>
      <c r="B19" s="241">
        <v>38425000</v>
      </c>
      <c r="C19" s="242">
        <v>4.8000000000000001E-2</v>
      </c>
      <c r="D19" s="241">
        <f t="shared" si="2"/>
        <v>5123.333333333333</v>
      </c>
      <c r="G19" s="241">
        <f t="shared" si="3"/>
        <v>0</v>
      </c>
      <c r="J19" s="241">
        <f t="shared" si="4"/>
        <v>0</v>
      </c>
      <c r="M19" s="241">
        <f t="shared" si="5"/>
        <v>0</v>
      </c>
      <c r="P19" s="241">
        <f t="shared" si="6"/>
        <v>0</v>
      </c>
      <c r="S19" s="241">
        <f t="shared" si="7"/>
        <v>0</v>
      </c>
      <c r="V19" s="241">
        <f t="shared" si="8"/>
        <v>0</v>
      </c>
      <c r="Y19" s="241">
        <f t="shared" si="9"/>
        <v>0</v>
      </c>
      <c r="AB19" s="241">
        <f t="shared" si="10"/>
        <v>0</v>
      </c>
      <c r="AE19" s="241">
        <v>0</v>
      </c>
      <c r="AH19" s="241">
        <v>0</v>
      </c>
      <c r="AI19" s="256">
        <f>26500000+30000000</f>
        <v>56500000</v>
      </c>
      <c r="AJ19" s="257">
        <v>4.9500000000000002E-2</v>
      </c>
      <c r="AK19" s="241">
        <f t="shared" si="11"/>
        <v>7768.75</v>
      </c>
      <c r="AL19" s="256"/>
      <c r="AM19" s="257"/>
      <c r="AN19" s="241">
        <f t="shared" si="12"/>
        <v>0</v>
      </c>
      <c r="AO19" s="256"/>
      <c r="AP19" s="257"/>
      <c r="AQ19" s="241">
        <f t="shared" si="13"/>
        <v>0</v>
      </c>
      <c r="AR19" s="256"/>
      <c r="AS19" s="257"/>
      <c r="AT19" s="241">
        <f t="shared" si="14"/>
        <v>0</v>
      </c>
      <c r="AW19" s="241">
        <f t="shared" si="15"/>
        <v>0</v>
      </c>
      <c r="AZ19" s="241">
        <f t="shared" si="16"/>
        <v>0</v>
      </c>
      <c r="BC19" s="241">
        <f t="shared" si="17"/>
        <v>0</v>
      </c>
      <c r="BF19" s="241">
        <f t="shared" si="18"/>
        <v>0</v>
      </c>
      <c r="BI19" s="241">
        <f t="shared" si="19"/>
        <v>0</v>
      </c>
      <c r="BL19" s="241">
        <f t="shared" si="20"/>
        <v>0</v>
      </c>
      <c r="BO19" s="241">
        <f t="shared" si="21"/>
        <v>0</v>
      </c>
      <c r="BR19" s="241">
        <f t="shared" si="22"/>
        <v>0</v>
      </c>
      <c r="BU19" s="241">
        <f t="shared" si="23"/>
        <v>0</v>
      </c>
      <c r="BX19" s="241">
        <f t="shared" si="24"/>
        <v>0</v>
      </c>
      <c r="CA19" s="241">
        <f t="shared" si="25"/>
        <v>0</v>
      </c>
      <c r="CD19" s="241">
        <f t="shared" si="26"/>
        <v>0</v>
      </c>
      <c r="CG19" s="241">
        <f t="shared" si="27"/>
        <v>0</v>
      </c>
      <c r="CJ19" s="241">
        <f t="shared" si="28"/>
        <v>0</v>
      </c>
      <c r="CM19" s="241">
        <f t="shared" si="29"/>
        <v>0</v>
      </c>
      <c r="CP19" s="241">
        <f t="shared" si="30"/>
        <v>0</v>
      </c>
      <c r="CS19" s="241">
        <f t="shared" si="31"/>
        <v>0</v>
      </c>
      <c r="CV19" s="241">
        <f t="shared" si="32"/>
        <v>0</v>
      </c>
      <c r="CY19" s="241">
        <f t="shared" si="33"/>
        <v>0</v>
      </c>
      <c r="DB19" s="241">
        <f t="shared" si="34"/>
        <v>0</v>
      </c>
      <c r="DE19" s="241">
        <f t="shared" si="35"/>
        <v>0</v>
      </c>
      <c r="DH19" s="241">
        <f t="shared" si="36"/>
        <v>0</v>
      </c>
      <c r="DK19" s="241">
        <f t="shared" si="37"/>
        <v>0</v>
      </c>
      <c r="DN19" s="241">
        <f t="shared" si="38"/>
        <v>0</v>
      </c>
      <c r="DQ19" s="241">
        <f t="shared" si="39"/>
        <v>0</v>
      </c>
      <c r="DT19" s="241">
        <f t="shared" si="40"/>
        <v>0</v>
      </c>
      <c r="DW19" s="241">
        <f t="shared" si="41"/>
        <v>0</v>
      </c>
      <c r="DZ19" s="241"/>
      <c r="EA19" s="241"/>
      <c r="EB19" s="261">
        <f t="shared" si="42"/>
        <v>94925000</v>
      </c>
      <c r="EC19" s="261">
        <f t="shared" si="43"/>
        <v>38425000</v>
      </c>
      <c r="ED19" s="241">
        <f t="shared" si="44"/>
        <v>12892.083333333332</v>
      </c>
      <c r="EE19" s="242">
        <f t="shared" si="45"/>
        <v>4.8892810113247295E-2</v>
      </c>
      <c r="EG19" s="261">
        <f t="shared" si="46"/>
        <v>0</v>
      </c>
      <c r="EH19" s="241">
        <f t="shared" si="47"/>
        <v>0</v>
      </c>
      <c r="EI19" s="242">
        <f t="shared" si="48"/>
        <v>0</v>
      </c>
      <c r="EJ19" s="242"/>
      <c r="EK19" s="261">
        <f t="shared" si="49"/>
        <v>56500000</v>
      </c>
      <c r="EL19" s="261">
        <f t="shared" si="50"/>
        <v>0</v>
      </c>
      <c r="EM19" s="261">
        <f t="shared" si="51"/>
        <v>7768.75</v>
      </c>
      <c r="EN19" s="242">
        <f t="shared" si="52"/>
        <v>4.9500000000000002E-2</v>
      </c>
      <c r="EP19" s="241"/>
    </row>
    <row r="20" spans="1:146" x14ac:dyDescent="0.25">
      <c r="A20" s="255">
        <f t="shared" si="53"/>
        <v>45575</v>
      </c>
      <c r="B20" s="241">
        <v>26575000</v>
      </c>
      <c r="C20" s="242">
        <v>4.7899999999999998E-2</v>
      </c>
      <c r="D20" s="241">
        <f t="shared" si="2"/>
        <v>3535.9513888888887</v>
      </c>
      <c r="G20" s="241">
        <f t="shared" si="3"/>
        <v>0</v>
      </c>
      <c r="J20" s="241">
        <f t="shared" si="4"/>
        <v>0</v>
      </c>
      <c r="M20" s="241">
        <f t="shared" si="5"/>
        <v>0</v>
      </c>
      <c r="P20" s="241">
        <f t="shared" si="6"/>
        <v>0</v>
      </c>
      <c r="S20" s="241">
        <f t="shared" si="7"/>
        <v>0</v>
      </c>
      <c r="V20" s="241">
        <f t="shared" si="8"/>
        <v>0</v>
      </c>
      <c r="Y20" s="241">
        <f t="shared" si="9"/>
        <v>0</v>
      </c>
      <c r="AB20" s="241">
        <f t="shared" si="10"/>
        <v>0</v>
      </c>
      <c r="AE20" s="241">
        <v>0</v>
      </c>
      <c r="AH20" s="241">
        <v>0</v>
      </c>
      <c r="AI20" s="256">
        <f>30000000+35725000</f>
        <v>65725000</v>
      </c>
      <c r="AJ20" s="257">
        <v>4.9500000000000002E-2</v>
      </c>
      <c r="AK20" s="241">
        <f t="shared" si="11"/>
        <v>9037.1875</v>
      </c>
      <c r="AL20" s="256"/>
      <c r="AM20" s="257"/>
      <c r="AN20" s="241">
        <f t="shared" si="12"/>
        <v>0</v>
      </c>
      <c r="AO20" s="256"/>
      <c r="AP20" s="257"/>
      <c r="AQ20" s="241">
        <f t="shared" si="13"/>
        <v>0</v>
      </c>
      <c r="AR20" s="256"/>
      <c r="AS20" s="257"/>
      <c r="AT20" s="241">
        <f t="shared" si="14"/>
        <v>0</v>
      </c>
      <c r="AW20" s="241">
        <f t="shared" si="15"/>
        <v>0</v>
      </c>
      <c r="AZ20" s="241">
        <f t="shared" si="16"/>
        <v>0</v>
      </c>
      <c r="BC20" s="241">
        <f t="shared" si="17"/>
        <v>0</v>
      </c>
      <c r="BF20" s="241">
        <f t="shared" si="18"/>
        <v>0</v>
      </c>
      <c r="BI20" s="241">
        <f t="shared" si="19"/>
        <v>0</v>
      </c>
      <c r="BL20" s="241">
        <f t="shared" si="20"/>
        <v>0</v>
      </c>
      <c r="BO20" s="241">
        <f t="shared" si="21"/>
        <v>0</v>
      </c>
      <c r="BR20" s="241">
        <f t="shared" si="22"/>
        <v>0</v>
      </c>
      <c r="BU20" s="241">
        <f t="shared" si="23"/>
        <v>0</v>
      </c>
      <c r="BX20" s="241">
        <f t="shared" si="24"/>
        <v>0</v>
      </c>
      <c r="CA20" s="241">
        <f t="shared" si="25"/>
        <v>0</v>
      </c>
      <c r="CD20" s="241">
        <f t="shared" si="26"/>
        <v>0</v>
      </c>
      <c r="CG20" s="241">
        <f t="shared" si="27"/>
        <v>0</v>
      </c>
      <c r="CJ20" s="241">
        <f t="shared" si="28"/>
        <v>0</v>
      </c>
      <c r="CM20" s="241">
        <f t="shared" si="29"/>
        <v>0</v>
      </c>
      <c r="CP20" s="241">
        <f t="shared" si="30"/>
        <v>0</v>
      </c>
      <c r="CS20" s="241">
        <f t="shared" si="31"/>
        <v>0</v>
      </c>
      <c r="CV20" s="241">
        <f t="shared" si="32"/>
        <v>0</v>
      </c>
      <c r="CY20" s="241">
        <f t="shared" si="33"/>
        <v>0</v>
      </c>
      <c r="DB20" s="241">
        <f t="shared" si="34"/>
        <v>0</v>
      </c>
      <c r="DE20" s="241">
        <f t="shared" si="35"/>
        <v>0</v>
      </c>
      <c r="DH20" s="241">
        <f t="shared" si="36"/>
        <v>0</v>
      </c>
      <c r="DK20" s="241">
        <f t="shared" si="37"/>
        <v>0</v>
      </c>
      <c r="DN20" s="241">
        <f t="shared" si="38"/>
        <v>0</v>
      </c>
      <c r="DQ20" s="241">
        <f t="shared" si="39"/>
        <v>0</v>
      </c>
      <c r="DT20" s="241">
        <f t="shared" si="40"/>
        <v>0</v>
      </c>
      <c r="DW20" s="241">
        <f t="shared" si="41"/>
        <v>0</v>
      </c>
      <c r="DZ20" s="241"/>
      <c r="EA20" s="241"/>
      <c r="EB20" s="261">
        <f t="shared" si="42"/>
        <v>92300000</v>
      </c>
      <c r="EC20" s="261">
        <f t="shared" si="43"/>
        <v>26575000</v>
      </c>
      <c r="ED20" s="241">
        <f t="shared" si="44"/>
        <v>12573.138888888889</v>
      </c>
      <c r="EE20" s="242">
        <f t="shared" si="45"/>
        <v>4.903932827735645E-2</v>
      </c>
      <c r="EG20" s="261">
        <f t="shared" si="46"/>
        <v>0</v>
      </c>
      <c r="EH20" s="241">
        <f t="shared" si="47"/>
        <v>0</v>
      </c>
      <c r="EI20" s="242">
        <f t="shared" si="48"/>
        <v>0</v>
      </c>
      <c r="EJ20" s="242"/>
      <c r="EK20" s="261">
        <f t="shared" si="49"/>
        <v>65725000</v>
      </c>
      <c r="EL20" s="261">
        <f t="shared" si="50"/>
        <v>0</v>
      </c>
      <c r="EM20" s="261">
        <f t="shared" si="51"/>
        <v>9037.1875</v>
      </c>
      <c r="EN20" s="242">
        <f t="shared" si="52"/>
        <v>4.9500000000000002E-2</v>
      </c>
      <c r="EP20" s="241"/>
    </row>
    <row r="21" spans="1:146" x14ac:dyDescent="0.25">
      <c r="A21" s="255">
        <f t="shared" si="53"/>
        <v>45576</v>
      </c>
      <c r="B21" s="241">
        <v>16725000</v>
      </c>
      <c r="C21" s="242">
        <v>4.8099999999999997E-2</v>
      </c>
      <c r="D21" s="241">
        <f t="shared" si="2"/>
        <v>2234.6458333333335</v>
      </c>
      <c r="G21" s="241">
        <f t="shared" si="3"/>
        <v>0</v>
      </c>
      <c r="J21" s="241">
        <f t="shared" si="4"/>
        <v>0</v>
      </c>
      <c r="M21" s="241">
        <f t="shared" si="5"/>
        <v>0</v>
      </c>
      <c r="P21" s="241">
        <f t="shared" si="6"/>
        <v>0</v>
      </c>
      <c r="S21" s="241">
        <f t="shared" si="7"/>
        <v>0</v>
      </c>
      <c r="V21" s="241">
        <f t="shared" si="8"/>
        <v>0</v>
      </c>
      <c r="Y21" s="241">
        <f t="shared" si="9"/>
        <v>0</v>
      </c>
      <c r="AB21" s="241">
        <f t="shared" si="10"/>
        <v>0</v>
      </c>
      <c r="AE21" s="241">
        <v>0</v>
      </c>
      <c r="AH21" s="241">
        <v>0</v>
      </c>
      <c r="AI21" s="256">
        <f>43000000+45725000</f>
        <v>88725000</v>
      </c>
      <c r="AJ21" s="257">
        <v>4.9500000000000002E-2</v>
      </c>
      <c r="AK21" s="241">
        <f t="shared" si="11"/>
        <v>12199.6875</v>
      </c>
      <c r="AL21" s="256"/>
      <c r="AM21" s="257"/>
      <c r="AN21" s="241">
        <f t="shared" si="12"/>
        <v>0</v>
      </c>
      <c r="AO21" s="256"/>
      <c r="AP21" s="257"/>
      <c r="AQ21" s="241">
        <f t="shared" si="13"/>
        <v>0</v>
      </c>
      <c r="AR21" s="256"/>
      <c r="AS21" s="257"/>
      <c r="AT21" s="241">
        <f t="shared" si="14"/>
        <v>0</v>
      </c>
      <c r="AW21" s="241">
        <f t="shared" si="15"/>
        <v>0</v>
      </c>
      <c r="AZ21" s="241">
        <f t="shared" si="16"/>
        <v>0</v>
      </c>
      <c r="BC21" s="241">
        <f t="shared" si="17"/>
        <v>0</v>
      </c>
      <c r="BF21" s="241">
        <f t="shared" si="18"/>
        <v>0</v>
      </c>
      <c r="BI21" s="241">
        <f t="shared" si="19"/>
        <v>0</v>
      </c>
      <c r="BL21" s="241">
        <f t="shared" si="20"/>
        <v>0</v>
      </c>
      <c r="BO21" s="241">
        <f t="shared" si="21"/>
        <v>0</v>
      </c>
      <c r="BR21" s="241">
        <f t="shared" si="22"/>
        <v>0</v>
      </c>
      <c r="BU21" s="241">
        <f t="shared" si="23"/>
        <v>0</v>
      </c>
      <c r="BX21" s="241">
        <f t="shared" si="24"/>
        <v>0</v>
      </c>
      <c r="CA21" s="241">
        <f t="shared" si="25"/>
        <v>0</v>
      </c>
      <c r="CD21" s="241">
        <f t="shared" si="26"/>
        <v>0</v>
      </c>
      <c r="CG21" s="241">
        <f t="shared" si="27"/>
        <v>0</v>
      </c>
      <c r="CJ21" s="241">
        <f t="shared" si="28"/>
        <v>0</v>
      </c>
      <c r="CM21" s="241">
        <f t="shared" si="29"/>
        <v>0</v>
      </c>
      <c r="CP21" s="241">
        <f t="shared" si="30"/>
        <v>0</v>
      </c>
      <c r="CS21" s="241">
        <f t="shared" si="31"/>
        <v>0</v>
      </c>
      <c r="CV21" s="241">
        <f t="shared" si="32"/>
        <v>0</v>
      </c>
      <c r="CY21" s="241">
        <f t="shared" si="33"/>
        <v>0</v>
      </c>
      <c r="DB21" s="241">
        <f t="shared" si="34"/>
        <v>0</v>
      </c>
      <c r="DE21" s="241">
        <f t="shared" si="35"/>
        <v>0</v>
      </c>
      <c r="DH21" s="241">
        <f t="shared" si="36"/>
        <v>0</v>
      </c>
      <c r="DK21" s="241">
        <f t="shared" si="37"/>
        <v>0</v>
      </c>
      <c r="DN21" s="241">
        <f t="shared" si="38"/>
        <v>0</v>
      </c>
      <c r="DQ21" s="241">
        <f t="shared" si="39"/>
        <v>0</v>
      </c>
      <c r="DT21" s="241">
        <f t="shared" si="40"/>
        <v>0</v>
      </c>
      <c r="DW21" s="241">
        <f t="shared" si="41"/>
        <v>0</v>
      </c>
      <c r="DZ21" s="241"/>
      <c r="EA21" s="241"/>
      <c r="EB21" s="261">
        <f t="shared" si="42"/>
        <v>105450000</v>
      </c>
      <c r="EC21" s="261">
        <f t="shared" si="43"/>
        <v>16725000</v>
      </c>
      <c r="ED21" s="241">
        <f t="shared" si="44"/>
        <v>14434.333333333334</v>
      </c>
      <c r="EE21" s="242">
        <f t="shared" si="45"/>
        <v>4.9277951635846376E-2</v>
      </c>
      <c r="EG21" s="261">
        <f t="shared" si="46"/>
        <v>0</v>
      </c>
      <c r="EH21" s="241">
        <f t="shared" si="47"/>
        <v>0</v>
      </c>
      <c r="EI21" s="242">
        <f t="shared" si="48"/>
        <v>0</v>
      </c>
      <c r="EJ21" s="242"/>
      <c r="EK21" s="261">
        <f t="shared" si="49"/>
        <v>88725000</v>
      </c>
      <c r="EL21" s="261">
        <f t="shared" si="50"/>
        <v>0</v>
      </c>
      <c r="EM21" s="261">
        <f t="shared" si="51"/>
        <v>12199.6875</v>
      </c>
      <c r="EN21" s="242">
        <f t="shared" si="52"/>
        <v>4.9500000000000002E-2</v>
      </c>
      <c r="EP21" s="241"/>
    </row>
    <row r="22" spans="1:146" x14ac:dyDescent="0.25">
      <c r="A22" s="255">
        <f t="shared" si="53"/>
        <v>45577</v>
      </c>
      <c r="B22" s="241">
        <v>16725000</v>
      </c>
      <c r="C22" s="242">
        <v>4.8099999999999997E-2</v>
      </c>
      <c r="D22" s="241">
        <f t="shared" si="2"/>
        <v>2234.6458333333335</v>
      </c>
      <c r="G22" s="241">
        <f t="shared" si="3"/>
        <v>0</v>
      </c>
      <c r="J22" s="241">
        <f t="shared" si="4"/>
        <v>0</v>
      </c>
      <c r="M22" s="241">
        <f t="shared" si="5"/>
        <v>0</v>
      </c>
      <c r="P22" s="241">
        <f t="shared" si="6"/>
        <v>0</v>
      </c>
      <c r="S22" s="241">
        <f t="shared" si="7"/>
        <v>0</v>
      </c>
      <c r="V22" s="241">
        <f t="shared" si="8"/>
        <v>0</v>
      </c>
      <c r="Y22" s="241">
        <f t="shared" si="9"/>
        <v>0</v>
      </c>
      <c r="AB22" s="241">
        <f t="shared" si="10"/>
        <v>0</v>
      </c>
      <c r="AE22" s="241">
        <v>0</v>
      </c>
      <c r="AH22" s="241">
        <v>0</v>
      </c>
      <c r="AI22" s="256">
        <f>43000000+45725000</f>
        <v>88725000</v>
      </c>
      <c r="AJ22" s="257">
        <v>4.9500000000000002E-2</v>
      </c>
      <c r="AK22" s="241">
        <f t="shared" si="11"/>
        <v>12199.6875</v>
      </c>
      <c r="AL22" s="256"/>
      <c r="AM22" s="257"/>
      <c r="AN22" s="241">
        <f t="shared" si="12"/>
        <v>0</v>
      </c>
      <c r="AO22" s="256"/>
      <c r="AP22" s="257"/>
      <c r="AQ22" s="241">
        <f t="shared" si="13"/>
        <v>0</v>
      </c>
      <c r="AR22" s="256"/>
      <c r="AS22" s="257"/>
      <c r="AT22" s="241">
        <f t="shared" si="14"/>
        <v>0</v>
      </c>
      <c r="AW22" s="241">
        <f t="shared" si="15"/>
        <v>0</v>
      </c>
      <c r="AZ22" s="241">
        <f t="shared" si="16"/>
        <v>0</v>
      </c>
      <c r="BC22" s="241">
        <f t="shared" si="17"/>
        <v>0</v>
      </c>
      <c r="BF22" s="241">
        <f t="shared" si="18"/>
        <v>0</v>
      </c>
      <c r="BI22" s="241">
        <f t="shared" si="19"/>
        <v>0</v>
      </c>
      <c r="BL22" s="241">
        <f t="shared" si="20"/>
        <v>0</v>
      </c>
      <c r="BO22" s="241">
        <f t="shared" si="21"/>
        <v>0</v>
      </c>
      <c r="BR22" s="241">
        <f t="shared" si="22"/>
        <v>0</v>
      </c>
      <c r="BU22" s="241">
        <f t="shared" si="23"/>
        <v>0</v>
      </c>
      <c r="BX22" s="241">
        <f t="shared" si="24"/>
        <v>0</v>
      </c>
      <c r="CA22" s="241">
        <f t="shared" si="25"/>
        <v>0</v>
      </c>
      <c r="CD22" s="241">
        <f t="shared" si="26"/>
        <v>0</v>
      </c>
      <c r="CG22" s="241">
        <f t="shared" si="27"/>
        <v>0</v>
      </c>
      <c r="CJ22" s="241">
        <f t="shared" si="28"/>
        <v>0</v>
      </c>
      <c r="CM22" s="241">
        <f t="shared" si="29"/>
        <v>0</v>
      </c>
      <c r="CP22" s="241">
        <f t="shared" si="30"/>
        <v>0</v>
      </c>
      <c r="CS22" s="241">
        <f t="shared" si="31"/>
        <v>0</v>
      </c>
      <c r="CV22" s="241">
        <f t="shared" si="32"/>
        <v>0</v>
      </c>
      <c r="CY22" s="241">
        <f t="shared" si="33"/>
        <v>0</v>
      </c>
      <c r="DB22" s="241">
        <f t="shared" si="34"/>
        <v>0</v>
      </c>
      <c r="DE22" s="241">
        <f t="shared" si="35"/>
        <v>0</v>
      </c>
      <c r="DH22" s="241">
        <f t="shared" si="36"/>
        <v>0</v>
      </c>
      <c r="DK22" s="241">
        <f t="shared" si="37"/>
        <v>0</v>
      </c>
      <c r="DN22" s="241">
        <f t="shared" si="38"/>
        <v>0</v>
      </c>
      <c r="DQ22" s="241">
        <f t="shared" si="39"/>
        <v>0</v>
      </c>
      <c r="DT22" s="241">
        <f t="shared" si="40"/>
        <v>0</v>
      </c>
      <c r="DW22" s="241">
        <f t="shared" si="41"/>
        <v>0</v>
      </c>
      <c r="DZ22" s="241"/>
      <c r="EA22" s="241"/>
      <c r="EB22" s="261">
        <f t="shared" si="42"/>
        <v>105450000</v>
      </c>
      <c r="EC22" s="261">
        <f t="shared" si="43"/>
        <v>16725000</v>
      </c>
      <c r="ED22" s="241">
        <f t="shared" si="44"/>
        <v>14434.333333333334</v>
      </c>
      <c r="EE22" s="242">
        <f t="shared" si="45"/>
        <v>4.9277951635846376E-2</v>
      </c>
      <c r="EG22" s="261">
        <f t="shared" si="46"/>
        <v>0</v>
      </c>
      <c r="EH22" s="241">
        <f t="shared" si="47"/>
        <v>0</v>
      </c>
      <c r="EI22" s="242">
        <f t="shared" si="48"/>
        <v>0</v>
      </c>
      <c r="EJ22" s="242"/>
      <c r="EK22" s="261">
        <f t="shared" si="49"/>
        <v>88725000</v>
      </c>
      <c r="EL22" s="261">
        <f t="shared" si="50"/>
        <v>0</v>
      </c>
      <c r="EM22" s="261">
        <f t="shared" si="51"/>
        <v>12199.6875</v>
      </c>
      <c r="EN22" s="242">
        <f t="shared" si="52"/>
        <v>4.9500000000000002E-2</v>
      </c>
      <c r="EP22" s="241"/>
    </row>
    <row r="23" spans="1:146" x14ac:dyDescent="0.25">
      <c r="A23" s="255">
        <f t="shared" si="53"/>
        <v>45578</v>
      </c>
      <c r="B23" s="241">
        <v>16725000</v>
      </c>
      <c r="C23" s="242">
        <v>4.8099999999999997E-2</v>
      </c>
      <c r="D23" s="241">
        <f t="shared" si="2"/>
        <v>2234.6458333333335</v>
      </c>
      <c r="G23" s="241">
        <f t="shared" si="3"/>
        <v>0</v>
      </c>
      <c r="J23" s="241">
        <f t="shared" si="4"/>
        <v>0</v>
      </c>
      <c r="M23" s="241">
        <f t="shared" si="5"/>
        <v>0</v>
      </c>
      <c r="P23" s="241">
        <f t="shared" si="6"/>
        <v>0</v>
      </c>
      <c r="S23" s="241">
        <f t="shared" si="7"/>
        <v>0</v>
      </c>
      <c r="V23" s="241">
        <f t="shared" si="8"/>
        <v>0</v>
      </c>
      <c r="Y23" s="241">
        <f t="shared" si="9"/>
        <v>0</v>
      </c>
      <c r="AB23" s="241">
        <f t="shared" si="10"/>
        <v>0</v>
      </c>
      <c r="AE23" s="241">
        <v>0</v>
      </c>
      <c r="AH23" s="241">
        <v>0</v>
      </c>
      <c r="AI23" s="256">
        <f>43000000+45725000</f>
        <v>88725000</v>
      </c>
      <c r="AJ23" s="257">
        <v>4.9500000000000002E-2</v>
      </c>
      <c r="AK23" s="241">
        <f t="shared" si="11"/>
        <v>12199.6875</v>
      </c>
      <c r="AL23" s="256"/>
      <c r="AM23" s="257"/>
      <c r="AN23" s="241">
        <f t="shared" si="12"/>
        <v>0</v>
      </c>
      <c r="AO23" s="256"/>
      <c r="AP23" s="257"/>
      <c r="AQ23" s="241">
        <f t="shared" si="13"/>
        <v>0</v>
      </c>
      <c r="AR23" s="256"/>
      <c r="AS23" s="257"/>
      <c r="AT23" s="241">
        <f t="shared" si="14"/>
        <v>0</v>
      </c>
      <c r="AW23" s="241">
        <f t="shared" si="15"/>
        <v>0</v>
      </c>
      <c r="AZ23" s="241">
        <f t="shared" si="16"/>
        <v>0</v>
      </c>
      <c r="BC23" s="241">
        <f t="shared" si="17"/>
        <v>0</v>
      </c>
      <c r="BF23" s="241">
        <f t="shared" si="18"/>
        <v>0</v>
      </c>
      <c r="BI23" s="241">
        <f t="shared" si="19"/>
        <v>0</v>
      </c>
      <c r="BL23" s="241">
        <f t="shared" si="20"/>
        <v>0</v>
      </c>
      <c r="BO23" s="241">
        <f t="shared" si="21"/>
        <v>0</v>
      </c>
      <c r="BR23" s="241">
        <f t="shared" si="22"/>
        <v>0</v>
      </c>
      <c r="BU23" s="241">
        <f t="shared" si="23"/>
        <v>0</v>
      </c>
      <c r="BX23" s="241">
        <f t="shared" si="24"/>
        <v>0</v>
      </c>
      <c r="CA23" s="241">
        <f t="shared" si="25"/>
        <v>0</v>
      </c>
      <c r="CD23" s="241">
        <f t="shared" si="26"/>
        <v>0</v>
      </c>
      <c r="CG23" s="241">
        <f t="shared" si="27"/>
        <v>0</v>
      </c>
      <c r="CJ23" s="241">
        <f t="shared" si="28"/>
        <v>0</v>
      </c>
      <c r="CM23" s="241">
        <f t="shared" si="29"/>
        <v>0</v>
      </c>
      <c r="CP23" s="241">
        <f t="shared" si="30"/>
        <v>0</v>
      </c>
      <c r="CS23" s="241">
        <f t="shared" si="31"/>
        <v>0</v>
      </c>
      <c r="CV23" s="241">
        <f t="shared" si="32"/>
        <v>0</v>
      </c>
      <c r="CY23" s="241">
        <f t="shared" si="33"/>
        <v>0</v>
      </c>
      <c r="DB23" s="241">
        <f t="shared" si="34"/>
        <v>0</v>
      </c>
      <c r="DE23" s="241">
        <f t="shared" si="35"/>
        <v>0</v>
      </c>
      <c r="DH23" s="241">
        <f t="shared" si="36"/>
        <v>0</v>
      </c>
      <c r="DK23" s="241">
        <f t="shared" si="37"/>
        <v>0</v>
      </c>
      <c r="DN23" s="241">
        <f t="shared" si="38"/>
        <v>0</v>
      </c>
      <c r="DQ23" s="241">
        <f t="shared" si="39"/>
        <v>0</v>
      </c>
      <c r="DT23" s="241">
        <f t="shared" si="40"/>
        <v>0</v>
      </c>
      <c r="DW23" s="241">
        <f t="shared" si="41"/>
        <v>0</v>
      </c>
      <c r="DZ23" s="241"/>
      <c r="EA23" s="241"/>
      <c r="EB23" s="261">
        <f t="shared" si="42"/>
        <v>105450000</v>
      </c>
      <c r="EC23" s="261">
        <f t="shared" si="43"/>
        <v>16725000</v>
      </c>
      <c r="ED23" s="241">
        <f t="shared" si="44"/>
        <v>14434.333333333334</v>
      </c>
      <c r="EE23" s="242">
        <f t="shared" si="45"/>
        <v>4.9277951635846376E-2</v>
      </c>
      <c r="EG23" s="261">
        <f t="shared" si="46"/>
        <v>0</v>
      </c>
      <c r="EH23" s="241">
        <f t="shared" si="47"/>
        <v>0</v>
      </c>
      <c r="EI23" s="242">
        <f t="shared" si="48"/>
        <v>0</v>
      </c>
      <c r="EJ23" s="242"/>
      <c r="EK23" s="261">
        <f t="shared" si="49"/>
        <v>88725000</v>
      </c>
      <c r="EL23" s="261">
        <f t="shared" si="50"/>
        <v>0</v>
      </c>
      <c r="EM23" s="261">
        <f t="shared" si="51"/>
        <v>12199.6875</v>
      </c>
      <c r="EN23" s="242">
        <f t="shared" si="52"/>
        <v>4.9500000000000002E-2</v>
      </c>
      <c r="EP23" s="241"/>
    </row>
    <row r="24" spans="1:146" x14ac:dyDescent="0.25">
      <c r="A24" s="255">
        <f t="shared" si="53"/>
        <v>45579</v>
      </c>
      <c r="B24" s="241">
        <v>16725000</v>
      </c>
      <c r="C24" s="242">
        <v>4.8099999999999997E-2</v>
      </c>
      <c r="D24" s="241">
        <f t="shared" si="2"/>
        <v>2234.6458333333335</v>
      </c>
      <c r="G24" s="241">
        <f t="shared" si="3"/>
        <v>0</v>
      </c>
      <c r="J24" s="241">
        <f t="shared" si="4"/>
        <v>0</v>
      </c>
      <c r="M24" s="241">
        <f t="shared" si="5"/>
        <v>0</v>
      </c>
      <c r="P24" s="241">
        <f t="shared" si="6"/>
        <v>0</v>
      </c>
      <c r="S24" s="241">
        <f t="shared" si="7"/>
        <v>0</v>
      </c>
      <c r="V24" s="241">
        <f t="shared" si="8"/>
        <v>0</v>
      </c>
      <c r="Y24" s="241">
        <f t="shared" si="9"/>
        <v>0</v>
      </c>
      <c r="AB24" s="241">
        <f t="shared" si="10"/>
        <v>0</v>
      </c>
      <c r="AE24" s="241">
        <v>0</v>
      </c>
      <c r="AH24" s="241">
        <v>0</v>
      </c>
      <c r="AI24" s="256">
        <f>43000000+45725000</f>
        <v>88725000</v>
      </c>
      <c r="AJ24" s="257">
        <v>4.9500000000000002E-2</v>
      </c>
      <c r="AK24" s="241">
        <f t="shared" si="11"/>
        <v>12199.6875</v>
      </c>
      <c r="AL24" s="256"/>
      <c r="AM24" s="257"/>
      <c r="AN24" s="241">
        <f t="shared" si="12"/>
        <v>0</v>
      </c>
      <c r="AO24" s="256"/>
      <c r="AP24" s="257"/>
      <c r="AQ24" s="241">
        <f t="shared" si="13"/>
        <v>0</v>
      </c>
      <c r="AR24" s="256"/>
      <c r="AS24" s="257"/>
      <c r="AT24" s="241">
        <f t="shared" si="14"/>
        <v>0</v>
      </c>
      <c r="AW24" s="241">
        <f t="shared" si="15"/>
        <v>0</v>
      </c>
      <c r="AZ24" s="241">
        <f t="shared" si="16"/>
        <v>0</v>
      </c>
      <c r="BC24" s="241">
        <f t="shared" si="17"/>
        <v>0</v>
      </c>
      <c r="BF24" s="241">
        <f t="shared" si="18"/>
        <v>0</v>
      </c>
      <c r="BI24" s="241">
        <f t="shared" si="19"/>
        <v>0</v>
      </c>
      <c r="BL24" s="241">
        <f t="shared" si="20"/>
        <v>0</v>
      </c>
      <c r="BO24" s="241">
        <f t="shared" si="21"/>
        <v>0</v>
      </c>
      <c r="BR24" s="241">
        <f t="shared" si="22"/>
        <v>0</v>
      </c>
      <c r="BU24" s="241">
        <f t="shared" si="23"/>
        <v>0</v>
      </c>
      <c r="BX24" s="241">
        <f t="shared" si="24"/>
        <v>0</v>
      </c>
      <c r="CA24" s="241">
        <f t="shared" si="25"/>
        <v>0</v>
      </c>
      <c r="CD24" s="241">
        <f t="shared" si="26"/>
        <v>0</v>
      </c>
      <c r="CG24" s="241">
        <f t="shared" si="27"/>
        <v>0</v>
      </c>
      <c r="CJ24" s="241">
        <f t="shared" si="28"/>
        <v>0</v>
      </c>
      <c r="CM24" s="241">
        <f t="shared" si="29"/>
        <v>0</v>
      </c>
      <c r="CP24" s="241">
        <f t="shared" si="30"/>
        <v>0</v>
      </c>
      <c r="CS24" s="241">
        <f t="shared" si="31"/>
        <v>0</v>
      </c>
      <c r="CV24" s="241">
        <f t="shared" si="32"/>
        <v>0</v>
      </c>
      <c r="CY24" s="241">
        <f t="shared" si="33"/>
        <v>0</v>
      </c>
      <c r="DB24" s="241">
        <f t="shared" si="34"/>
        <v>0</v>
      </c>
      <c r="DE24" s="241">
        <f t="shared" si="35"/>
        <v>0</v>
      </c>
      <c r="DH24" s="241">
        <f t="shared" si="36"/>
        <v>0</v>
      </c>
      <c r="DK24" s="241">
        <f t="shared" si="37"/>
        <v>0</v>
      </c>
      <c r="DN24" s="241">
        <f t="shared" si="38"/>
        <v>0</v>
      </c>
      <c r="DQ24" s="241">
        <f t="shared" si="39"/>
        <v>0</v>
      </c>
      <c r="DT24" s="241">
        <f t="shared" si="40"/>
        <v>0</v>
      </c>
      <c r="DW24" s="241">
        <f t="shared" si="41"/>
        <v>0</v>
      </c>
      <c r="DZ24" s="241"/>
      <c r="EA24" s="241"/>
      <c r="EB24" s="261">
        <f t="shared" si="42"/>
        <v>105450000</v>
      </c>
      <c r="EC24" s="261">
        <f t="shared" si="43"/>
        <v>16725000</v>
      </c>
      <c r="ED24" s="241">
        <f t="shared" si="44"/>
        <v>14434.333333333334</v>
      </c>
      <c r="EE24" s="242">
        <f t="shared" si="45"/>
        <v>4.9277951635846376E-2</v>
      </c>
      <c r="EG24" s="261">
        <f t="shared" si="46"/>
        <v>0</v>
      </c>
      <c r="EH24" s="241">
        <f t="shared" si="47"/>
        <v>0</v>
      </c>
      <c r="EI24" s="242">
        <f t="shared" si="48"/>
        <v>0</v>
      </c>
      <c r="EJ24" s="242"/>
      <c r="EK24" s="261">
        <f t="shared" si="49"/>
        <v>88725000</v>
      </c>
      <c r="EL24" s="261">
        <f t="shared" si="50"/>
        <v>0</v>
      </c>
      <c r="EM24" s="261">
        <f t="shared" si="51"/>
        <v>12199.6875</v>
      </c>
      <c r="EN24" s="242">
        <f t="shared" si="52"/>
        <v>4.9500000000000002E-2</v>
      </c>
      <c r="EP24" s="241"/>
    </row>
    <row r="25" spans="1:146" x14ac:dyDescent="0.25">
      <c r="A25" s="255">
        <f t="shared" si="53"/>
        <v>45580</v>
      </c>
      <c r="B25" s="241">
        <v>15025000</v>
      </c>
      <c r="C25" s="242">
        <v>4.7899999999999998E-2</v>
      </c>
      <c r="D25" s="241">
        <f t="shared" si="2"/>
        <v>1999.1597222222222</v>
      </c>
      <c r="G25" s="241">
        <f t="shared" si="3"/>
        <v>0</v>
      </c>
      <c r="J25" s="241">
        <f t="shared" si="4"/>
        <v>0</v>
      </c>
      <c r="M25" s="241">
        <f t="shared" si="5"/>
        <v>0</v>
      </c>
      <c r="P25" s="241">
        <f t="shared" si="6"/>
        <v>0</v>
      </c>
      <c r="S25" s="241">
        <f t="shared" si="7"/>
        <v>0</v>
      </c>
      <c r="V25" s="241">
        <f t="shared" si="8"/>
        <v>0</v>
      </c>
      <c r="Y25" s="241">
        <f t="shared" si="9"/>
        <v>0</v>
      </c>
      <c r="AB25" s="241">
        <f t="shared" si="10"/>
        <v>0</v>
      </c>
      <c r="AE25" s="241">
        <v>0</v>
      </c>
      <c r="AH25" s="241">
        <v>0</v>
      </c>
      <c r="AI25" s="256">
        <f>41375000+60000000</f>
        <v>101375000</v>
      </c>
      <c r="AJ25" s="257">
        <v>4.9500000000000002E-2</v>
      </c>
      <c r="AK25" s="241">
        <f t="shared" si="11"/>
        <v>13939.0625</v>
      </c>
      <c r="AL25" s="256"/>
      <c r="AM25" s="257"/>
      <c r="AN25" s="241">
        <f t="shared" si="12"/>
        <v>0</v>
      </c>
      <c r="AO25" s="256"/>
      <c r="AP25" s="257"/>
      <c r="AQ25" s="241">
        <f t="shared" si="13"/>
        <v>0</v>
      </c>
      <c r="AR25" s="256"/>
      <c r="AS25" s="257"/>
      <c r="AT25" s="241">
        <f t="shared" si="14"/>
        <v>0</v>
      </c>
      <c r="AW25" s="241">
        <f t="shared" si="15"/>
        <v>0</v>
      </c>
      <c r="AZ25" s="241">
        <f t="shared" si="16"/>
        <v>0</v>
      </c>
      <c r="BC25" s="241">
        <f t="shared" si="17"/>
        <v>0</v>
      </c>
      <c r="BF25" s="241">
        <f t="shared" si="18"/>
        <v>0</v>
      </c>
      <c r="BI25" s="241">
        <f t="shared" si="19"/>
        <v>0</v>
      </c>
      <c r="BL25" s="241">
        <f t="shared" si="20"/>
        <v>0</v>
      </c>
      <c r="BO25" s="241">
        <f t="shared" si="21"/>
        <v>0</v>
      </c>
      <c r="BR25" s="241">
        <f t="shared" si="22"/>
        <v>0</v>
      </c>
      <c r="BU25" s="241">
        <f t="shared" si="23"/>
        <v>0</v>
      </c>
      <c r="BX25" s="241">
        <f t="shared" si="24"/>
        <v>0</v>
      </c>
      <c r="CA25" s="241">
        <f t="shared" si="25"/>
        <v>0</v>
      </c>
      <c r="CD25" s="241">
        <f t="shared" si="26"/>
        <v>0</v>
      </c>
      <c r="CG25" s="241">
        <f t="shared" si="27"/>
        <v>0</v>
      </c>
      <c r="CJ25" s="241">
        <f t="shared" si="28"/>
        <v>0</v>
      </c>
      <c r="CM25" s="241">
        <f t="shared" si="29"/>
        <v>0</v>
      </c>
      <c r="CP25" s="241">
        <f t="shared" si="30"/>
        <v>0</v>
      </c>
      <c r="CS25" s="241">
        <f t="shared" si="31"/>
        <v>0</v>
      </c>
      <c r="CV25" s="241">
        <f t="shared" si="32"/>
        <v>0</v>
      </c>
      <c r="CY25" s="241">
        <f t="shared" si="33"/>
        <v>0</v>
      </c>
      <c r="DB25" s="241">
        <f t="shared" si="34"/>
        <v>0</v>
      </c>
      <c r="DE25" s="241">
        <f t="shared" si="35"/>
        <v>0</v>
      </c>
      <c r="DH25" s="241">
        <f t="shared" si="36"/>
        <v>0</v>
      </c>
      <c r="DK25" s="241">
        <f t="shared" si="37"/>
        <v>0</v>
      </c>
      <c r="DN25" s="241">
        <f t="shared" si="38"/>
        <v>0</v>
      </c>
      <c r="DQ25" s="241">
        <f t="shared" si="39"/>
        <v>0</v>
      </c>
      <c r="DT25" s="241">
        <f t="shared" si="40"/>
        <v>0</v>
      </c>
      <c r="DW25" s="241">
        <f t="shared" si="41"/>
        <v>0</v>
      </c>
      <c r="DZ25" s="241"/>
      <c r="EA25" s="241"/>
      <c r="EB25" s="261">
        <f t="shared" si="42"/>
        <v>116400000</v>
      </c>
      <c r="EC25" s="261">
        <f t="shared" si="43"/>
        <v>15025000</v>
      </c>
      <c r="ED25" s="241">
        <f t="shared" si="44"/>
        <v>15938.222222222223</v>
      </c>
      <c r="EE25" s="242">
        <f t="shared" si="45"/>
        <v>4.9293470790378005E-2</v>
      </c>
      <c r="EG25" s="261">
        <f t="shared" si="46"/>
        <v>0</v>
      </c>
      <c r="EH25" s="241">
        <f t="shared" si="47"/>
        <v>0</v>
      </c>
      <c r="EI25" s="242">
        <f t="shared" si="48"/>
        <v>0</v>
      </c>
      <c r="EJ25" s="242"/>
      <c r="EK25" s="261">
        <f t="shared" si="49"/>
        <v>101375000</v>
      </c>
      <c r="EL25" s="261">
        <f t="shared" si="50"/>
        <v>0</v>
      </c>
      <c r="EM25" s="261">
        <f t="shared" si="51"/>
        <v>13939.0625</v>
      </c>
      <c r="EN25" s="242">
        <f t="shared" si="52"/>
        <v>4.9500000000000002E-2</v>
      </c>
      <c r="EP25" s="241"/>
    </row>
    <row r="26" spans="1:146" x14ac:dyDescent="0.25">
      <c r="A26" s="255">
        <f t="shared" si="53"/>
        <v>45581</v>
      </c>
      <c r="B26" s="241">
        <v>28475000</v>
      </c>
      <c r="C26" s="242">
        <v>4.8300000000000003E-2</v>
      </c>
      <c r="D26" s="241">
        <f t="shared" si="2"/>
        <v>3820.3958333333335</v>
      </c>
      <c r="G26" s="241">
        <f t="shared" si="3"/>
        <v>0</v>
      </c>
      <c r="J26" s="241">
        <f t="shared" si="4"/>
        <v>0</v>
      </c>
      <c r="M26" s="241">
        <f t="shared" si="5"/>
        <v>0</v>
      </c>
      <c r="P26" s="241">
        <f t="shared" si="6"/>
        <v>0</v>
      </c>
      <c r="S26" s="241">
        <f t="shared" si="7"/>
        <v>0</v>
      </c>
      <c r="V26" s="241">
        <f t="shared" si="8"/>
        <v>0</v>
      </c>
      <c r="Y26" s="241">
        <f t="shared" si="9"/>
        <v>0</v>
      </c>
      <c r="AB26" s="241">
        <f t="shared" si="10"/>
        <v>0</v>
      </c>
      <c r="AE26" s="241">
        <v>0</v>
      </c>
      <c r="AH26" s="241">
        <v>0</v>
      </c>
      <c r="AI26" s="256">
        <f>26375000+50000000</f>
        <v>76375000</v>
      </c>
      <c r="AJ26" s="257">
        <v>4.9500000000000002E-2</v>
      </c>
      <c r="AK26" s="241">
        <f t="shared" si="11"/>
        <v>10501.5625</v>
      </c>
      <c r="AL26" s="256"/>
      <c r="AM26" s="257"/>
      <c r="AN26" s="241">
        <f t="shared" si="12"/>
        <v>0</v>
      </c>
      <c r="AO26" s="256"/>
      <c r="AP26" s="257"/>
      <c r="AQ26" s="241">
        <f t="shared" si="13"/>
        <v>0</v>
      </c>
      <c r="AR26" s="256"/>
      <c r="AS26" s="257"/>
      <c r="AT26" s="241">
        <f t="shared" si="14"/>
        <v>0</v>
      </c>
      <c r="AW26" s="241">
        <f t="shared" si="15"/>
        <v>0</v>
      </c>
      <c r="AZ26" s="241">
        <f t="shared" si="16"/>
        <v>0</v>
      </c>
      <c r="BC26" s="241">
        <f t="shared" si="17"/>
        <v>0</v>
      </c>
      <c r="BF26" s="241">
        <f t="shared" si="18"/>
        <v>0</v>
      </c>
      <c r="BI26" s="241">
        <f t="shared" si="19"/>
        <v>0</v>
      </c>
      <c r="BL26" s="241">
        <f t="shared" si="20"/>
        <v>0</v>
      </c>
      <c r="BO26" s="241">
        <f t="shared" si="21"/>
        <v>0</v>
      </c>
      <c r="BR26" s="241">
        <f t="shared" si="22"/>
        <v>0</v>
      </c>
      <c r="BU26" s="241">
        <f t="shared" si="23"/>
        <v>0</v>
      </c>
      <c r="BX26" s="241">
        <f t="shared" si="24"/>
        <v>0</v>
      </c>
      <c r="CA26" s="241">
        <f t="shared" si="25"/>
        <v>0</v>
      </c>
      <c r="CD26" s="241">
        <f t="shared" si="26"/>
        <v>0</v>
      </c>
      <c r="CG26" s="241">
        <f t="shared" si="27"/>
        <v>0</v>
      </c>
      <c r="CJ26" s="241">
        <f t="shared" si="28"/>
        <v>0</v>
      </c>
      <c r="CM26" s="241">
        <f t="shared" si="29"/>
        <v>0</v>
      </c>
      <c r="CP26" s="241">
        <f t="shared" si="30"/>
        <v>0</v>
      </c>
      <c r="CS26" s="241">
        <f t="shared" si="31"/>
        <v>0</v>
      </c>
      <c r="CV26" s="241">
        <f t="shared" si="32"/>
        <v>0</v>
      </c>
      <c r="CY26" s="241">
        <f t="shared" si="33"/>
        <v>0</v>
      </c>
      <c r="DB26" s="241">
        <f t="shared" si="34"/>
        <v>0</v>
      </c>
      <c r="DE26" s="241">
        <f t="shared" si="35"/>
        <v>0</v>
      </c>
      <c r="DH26" s="241">
        <f t="shared" si="36"/>
        <v>0</v>
      </c>
      <c r="DK26" s="241">
        <f t="shared" si="37"/>
        <v>0</v>
      </c>
      <c r="DN26" s="241">
        <f t="shared" si="38"/>
        <v>0</v>
      </c>
      <c r="DQ26" s="241">
        <f t="shared" si="39"/>
        <v>0</v>
      </c>
      <c r="DT26" s="241">
        <f t="shared" si="40"/>
        <v>0</v>
      </c>
      <c r="DW26" s="241">
        <f t="shared" si="41"/>
        <v>0</v>
      </c>
      <c r="DZ26" s="241"/>
      <c r="EA26" s="241"/>
      <c r="EB26" s="261">
        <f t="shared" si="42"/>
        <v>104850000</v>
      </c>
      <c r="EC26" s="261">
        <f t="shared" si="43"/>
        <v>28475000</v>
      </c>
      <c r="ED26" s="241">
        <f t="shared" si="44"/>
        <v>14321.958333333334</v>
      </c>
      <c r="EE26" s="242">
        <f t="shared" si="45"/>
        <v>4.9174105865522177E-2</v>
      </c>
      <c r="EG26" s="261">
        <f t="shared" si="46"/>
        <v>0</v>
      </c>
      <c r="EH26" s="241">
        <f t="shared" si="47"/>
        <v>0</v>
      </c>
      <c r="EI26" s="242">
        <f t="shared" si="48"/>
        <v>0</v>
      </c>
      <c r="EJ26" s="242"/>
      <c r="EK26" s="261">
        <f t="shared" si="49"/>
        <v>76375000</v>
      </c>
      <c r="EL26" s="261">
        <f t="shared" si="50"/>
        <v>0</v>
      </c>
      <c r="EM26" s="261">
        <f t="shared" si="51"/>
        <v>10501.5625</v>
      </c>
      <c r="EN26" s="242">
        <f t="shared" si="52"/>
        <v>4.9500000000000002E-2</v>
      </c>
      <c r="EP26" s="241"/>
    </row>
    <row r="27" spans="1:146" x14ac:dyDescent="0.25">
      <c r="A27" s="255">
        <f t="shared" si="53"/>
        <v>45582</v>
      </c>
      <c r="B27" s="241">
        <v>83075000</v>
      </c>
      <c r="C27" s="242">
        <v>4.7800000000000002E-2</v>
      </c>
      <c r="D27" s="241">
        <f t="shared" si="2"/>
        <v>11030.513888888889</v>
      </c>
      <c r="G27" s="241">
        <f t="shared" si="3"/>
        <v>0</v>
      </c>
      <c r="J27" s="241">
        <f t="shared" si="4"/>
        <v>0</v>
      </c>
      <c r="M27" s="241">
        <f t="shared" si="5"/>
        <v>0</v>
      </c>
      <c r="P27" s="241">
        <f t="shared" si="6"/>
        <v>0</v>
      </c>
      <c r="S27" s="241">
        <f t="shared" si="7"/>
        <v>0</v>
      </c>
      <c r="V27" s="241">
        <f t="shared" si="8"/>
        <v>0</v>
      </c>
      <c r="Y27" s="241">
        <f t="shared" si="9"/>
        <v>0</v>
      </c>
      <c r="AB27" s="241">
        <f t="shared" si="10"/>
        <v>0</v>
      </c>
      <c r="AE27" s="241">
        <v>0</v>
      </c>
      <c r="AH27" s="241">
        <v>0</v>
      </c>
      <c r="AI27" s="256"/>
      <c r="AJ27" s="257"/>
      <c r="AK27" s="241">
        <f t="shared" si="11"/>
        <v>0</v>
      </c>
      <c r="AL27" s="256"/>
      <c r="AM27" s="257"/>
      <c r="AN27" s="241">
        <f t="shared" si="12"/>
        <v>0</v>
      </c>
      <c r="AO27" s="256"/>
      <c r="AP27" s="257"/>
      <c r="AQ27" s="241">
        <f t="shared" si="13"/>
        <v>0</v>
      </c>
      <c r="AR27" s="256"/>
      <c r="AS27" s="257"/>
      <c r="AT27" s="241">
        <f t="shared" si="14"/>
        <v>0</v>
      </c>
      <c r="AW27" s="241">
        <f t="shared" si="15"/>
        <v>0</v>
      </c>
      <c r="AZ27" s="241">
        <f t="shared" si="16"/>
        <v>0</v>
      </c>
      <c r="BC27" s="241">
        <f t="shared" si="17"/>
        <v>0</v>
      </c>
      <c r="BF27" s="241">
        <f t="shared" si="18"/>
        <v>0</v>
      </c>
      <c r="BI27" s="241">
        <f t="shared" si="19"/>
        <v>0</v>
      </c>
      <c r="BL27" s="241">
        <f t="shared" si="20"/>
        <v>0</v>
      </c>
      <c r="BO27" s="241">
        <f t="shared" si="21"/>
        <v>0</v>
      </c>
      <c r="BR27" s="241">
        <f t="shared" si="22"/>
        <v>0</v>
      </c>
      <c r="BU27" s="241">
        <f t="shared" si="23"/>
        <v>0</v>
      </c>
      <c r="BX27" s="241">
        <f t="shared" si="24"/>
        <v>0</v>
      </c>
      <c r="CA27" s="241">
        <f t="shared" si="25"/>
        <v>0</v>
      </c>
      <c r="CD27" s="241">
        <f t="shared" si="26"/>
        <v>0</v>
      </c>
      <c r="CG27" s="241">
        <f t="shared" si="27"/>
        <v>0</v>
      </c>
      <c r="CJ27" s="241">
        <f t="shared" si="28"/>
        <v>0</v>
      </c>
      <c r="CM27" s="241">
        <f t="shared" si="29"/>
        <v>0</v>
      </c>
      <c r="CP27" s="241">
        <f t="shared" si="30"/>
        <v>0</v>
      </c>
      <c r="CS27" s="241">
        <f t="shared" si="31"/>
        <v>0</v>
      </c>
      <c r="CV27" s="241">
        <f t="shared" si="32"/>
        <v>0</v>
      </c>
      <c r="CY27" s="241">
        <f t="shared" si="33"/>
        <v>0</v>
      </c>
      <c r="DB27" s="241">
        <f t="shared" si="34"/>
        <v>0</v>
      </c>
      <c r="DE27" s="241">
        <f t="shared" si="35"/>
        <v>0</v>
      </c>
      <c r="DH27" s="241">
        <f t="shared" si="36"/>
        <v>0</v>
      </c>
      <c r="DK27" s="241">
        <f t="shared" si="37"/>
        <v>0</v>
      </c>
      <c r="DN27" s="241">
        <f t="shared" si="38"/>
        <v>0</v>
      </c>
      <c r="DQ27" s="241">
        <f t="shared" si="39"/>
        <v>0</v>
      </c>
      <c r="DT27" s="241">
        <f t="shared" si="40"/>
        <v>0</v>
      </c>
      <c r="DW27" s="241">
        <f t="shared" si="41"/>
        <v>0</v>
      </c>
      <c r="DZ27" s="241"/>
      <c r="EA27" s="241"/>
      <c r="EB27" s="261">
        <f t="shared" si="42"/>
        <v>83075000</v>
      </c>
      <c r="EC27" s="261">
        <f t="shared" si="43"/>
        <v>83075000</v>
      </c>
      <c r="ED27" s="241">
        <f t="shared" si="44"/>
        <v>11030.513888888889</v>
      </c>
      <c r="EE27" s="242">
        <f t="shared" si="45"/>
        <v>4.7800000000000002E-2</v>
      </c>
      <c r="EG27" s="261">
        <f t="shared" si="46"/>
        <v>0</v>
      </c>
      <c r="EH27" s="241">
        <f t="shared" si="47"/>
        <v>0</v>
      </c>
      <c r="EI27" s="242">
        <f t="shared" si="48"/>
        <v>0</v>
      </c>
      <c r="EJ27" s="242"/>
      <c r="EK27" s="261">
        <f t="shared" si="49"/>
        <v>0</v>
      </c>
      <c r="EL27" s="261">
        <f t="shared" si="50"/>
        <v>0</v>
      </c>
      <c r="EM27" s="261">
        <f t="shared" si="51"/>
        <v>0</v>
      </c>
      <c r="EN27" s="242">
        <f t="shared" si="52"/>
        <v>0</v>
      </c>
      <c r="EP27" s="241"/>
    </row>
    <row r="28" spans="1:146" x14ac:dyDescent="0.25">
      <c r="A28" s="255">
        <f t="shared" si="53"/>
        <v>45583</v>
      </c>
      <c r="B28" s="241">
        <v>80625000</v>
      </c>
      <c r="C28" s="242">
        <v>4.8300000000000003E-2</v>
      </c>
      <c r="D28" s="241">
        <f t="shared" si="2"/>
        <v>10817.1875</v>
      </c>
      <c r="G28" s="241">
        <f t="shared" si="3"/>
        <v>0</v>
      </c>
      <c r="J28" s="241">
        <f t="shared" si="4"/>
        <v>0</v>
      </c>
      <c r="M28" s="241">
        <f t="shared" si="5"/>
        <v>0</v>
      </c>
      <c r="P28" s="241">
        <f t="shared" si="6"/>
        <v>0</v>
      </c>
      <c r="S28" s="241">
        <f t="shared" si="7"/>
        <v>0</v>
      </c>
      <c r="V28" s="241">
        <f t="shared" si="8"/>
        <v>0</v>
      </c>
      <c r="Y28" s="241">
        <f t="shared" si="9"/>
        <v>0</v>
      </c>
      <c r="AB28" s="241">
        <f t="shared" si="10"/>
        <v>0</v>
      </c>
      <c r="AE28" s="241">
        <v>0</v>
      </c>
      <c r="AH28" s="241">
        <v>0</v>
      </c>
      <c r="AI28" s="256">
        <v>3225000</v>
      </c>
      <c r="AJ28" s="257">
        <v>4.9500000000000002E-2</v>
      </c>
      <c r="AK28" s="241">
        <f t="shared" si="11"/>
        <v>443.4375</v>
      </c>
      <c r="AL28" s="256"/>
      <c r="AM28" s="257"/>
      <c r="AN28" s="241">
        <f t="shared" si="12"/>
        <v>0</v>
      </c>
      <c r="AO28" s="256"/>
      <c r="AP28" s="257"/>
      <c r="AQ28" s="241">
        <f t="shared" si="13"/>
        <v>0</v>
      </c>
      <c r="AR28" s="256"/>
      <c r="AS28" s="257"/>
      <c r="AT28" s="241">
        <f t="shared" si="14"/>
        <v>0</v>
      </c>
      <c r="AW28" s="241">
        <f t="shared" si="15"/>
        <v>0</v>
      </c>
      <c r="AZ28" s="241">
        <f t="shared" si="16"/>
        <v>0</v>
      </c>
      <c r="BC28" s="241">
        <f t="shared" si="17"/>
        <v>0</v>
      </c>
      <c r="BF28" s="241">
        <f t="shared" si="18"/>
        <v>0</v>
      </c>
      <c r="BI28" s="241">
        <f t="shared" si="19"/>
        <v>0</v>
      </c>
      <c r="BL28" s="241">
        <f t="shared" si="20"/>
        <v>0</v>
      </c>
      <c r="BO28" s="241">
        <f t="shared" si="21"/>
        <v>0</v>
      </c>
      <c r="BR28" s="241">
        <f t="shared" si="22"/>
        <v>0</v>
      </c>
      <c r="BU28" s="241">
        <f t="shared" si="23"/>
        <v>0</v>
      </c>
      <c r="BX28" s="241">
        <f t="shared" si="24"/>
        <v>0</v>
      </c>
      <c r="CA28" s="241">
        <f t="shared" si="25"/>
        <v>0</v>
      </c>
      <c r="CD28" s="241">
        <f t="shared" si="26"/>
        <v>0</v>
      </c>
      <c r="CG28" s="241">
        <f t="shared" si="27"/>
        <v>0</v>
      </c>
      <c r="CJ28" s="241">
        <f t="shared" si="28"/>
        <v>0</v>
      </c>
      <c r="CM28" s="241">
        <f t="shared" si="29"/>
        <v>0</v>
      </c>
      <c r="CP28" s="241">
        <f t="shared" si="30"/>
        <v>0</v>
      </c>
      <c r="CS28" s="241">
        <f t="shared" si="31"/>
        <v>0</v>
      </c>
      <c r="CV28" s="241">
        <f t="shared" si="32"/>
        <v>0</v>
      </c>
      <c r="CY28" s="241">
        <f t="shared" si="33"/>
        <v>0</v>
      </c>
      <c r="DB28" s="241">
        <f t="shared" si="34"/>
        <v>0</v>
      </c>
      <c r="DE28" s="241">
        <f t="shared" si="35"/>
        <v>0</v>
      </c>
      <c r="DH28" s="241">
        <f t="shared" si="36"/>
        <v>0</v>
      </c>
      <c r="DK28" s="241">
        <f t="shared" si="37"/>
        <v>0</v>
      </c>
      <c r="DN28" s="241">
        <f t="shared" si="38"/>
        <v>0</v>
      </c>
      <c r="DQ28" s="241">
        <f t="shared" si="39"/>
        <v>0</v>
      </c>
      <c r="DT28" s="241">
        <f t="shared" si="40"/>
        <v>0</v>
      </c>
      <c r="DW28" s="241">
        <f t="shared" si="41"/>
        <v>0</v>
      </c>
      <c r="DZ28" s="241"/>
      <c r="EA28" s="241"/>
      <c r="EB28" s="261">
        <f t="shared" si="42"/>
        <v>83850000</v>
      </c>
      <c r="EC28" s="261">
        <f t="shared" si="43"/>
        <v>80625000</v>
      </c>
      <c r="ED28" s="241">
        <f t="shared" si="44"/>
        <v>11260.625</v>
      </c>
      <c r="EE28" s="242">
        <f t="shared" si="45"/>
        <v>4.8346153846153851E-2</v>
      </c>
      <c r="EG28" s="261">
        <f t="shared" si="46"/>
        <v>0</v>
      </c>
      <c r="EH28" s="241">
        <f t="shared" si="47"/>
        <v>0</v>
      </c>
      <c r="EI28" s="242">
        <f t="shared" si="48"/>
        <v>0</v>
      </c>
      <c r="EJ28" s="242"/>
      <c r="EK28" s="261">
        <f t="shared" si="49"/>
        <v>3225000</v>
      </c>
      <c r="EL28" s="261">
        <f t="shared" si="50"/>
        <v>0</v>
      </c>
      <c r="EM28" s="261">
        <f t="shared" si="51"/>
        <v>443.4375</v>
      </c>
      <c r="EN28" s="242">
        <f t="shared" si="52"/>
        <v>4.9500000000000002E-2</v>
      </c>
      <c r="EP28" s="241"/>
    </row>
    <row r="29" spans="1:146" x14ac:dyDescent="0.25">
      <c r="A29" s="255">
        <f t="shared" si="53"/>
        <v>45584</v>
      </c>
      <c r="B29" s="241">
        <v>80625000</v>
      </c>
      <c r="C29" s="242">
        <v>4.8300000000000003E-2</v>
      </c>
      <c r="D29" s="241">
        <f t="shared" si="2"/>
        <v>10817.1875</v>
      </c>
      <c r="G29" s="241">
        <f t="shared" si="3"/>
        <v>0</v>
      </c>
      <c r="J29" s="241">
        <f t="shared" si="4"/>
        <v>0</v>
      </c>
      <c r="M29" s="241">
        <f t="shared" si="5"/>
        <v>0</v>
      </c>
      <c r="P29" s="241">
        <f t="shared" si="6"/>
        <v>0</v>
      </c>
      <c r="S29" s="241">
        <f t="shared" si="7"/>
        <v>0</v>
      </c>
      <c r="V29" s="241">
        <f t="shared" si="8"/>
        <v>0</v>
      </c>
      <c r="Y29" s="241">
        <f t="shared" si="9"/>
        <v>0</v>
      </c>
      <c r="AB29" s="241">
        <f t="shared" si="10"/>
        <v>0</v>
      </c>
      <c r="AE29" s="241">
        <v>0</v>
      </c>
      <c r="AH29" s="241">
        <v>0</v>
      </c>
      <c r="AI29" s="256">
        <v>3225000</v>
      </c>
      <c r="AJ29" s="257">
        <v>4.9500000000000002E-2</v>
      </c>
      <c r="AK29" s="241">
        <f t="shared" si="11"/>
        <v>443.4375</v>
      </c>
      <c r="AL29" s="256"/>
      <c r="AM29" s="257"/>
      <c r="AN29" s="241">
        <f t="shared" si="12"/>
        <v>0</v>
      </c>
      <c r="AO29" s="256"/>
      <c r="AP29" s="257"/>
      <c r="AQ29" s="241">
        <f t="shared" si="13"/>
        <v>0</v>
      </c>
      <c r="AR29" s="256"/>
      <c r="AS29" s="257"/>
      <c r="AT29" s="241">
        <f t="shared" si="14"/>
        <v>0</v>
      </c>
      <c r="AW29" s="241">
        <f t="shared" si="15"/>
        <v>0</v>
      </c>
      <c r="AZ29" s="241">
        <f t="shared" si="16"/>
        <v>0</v>
      </c>
      <c r="BC29" s="241">
        <f t="shared" si="17"/>
        <v>0</v>
      </c>
      <c r="BF29" s="241">
        <f t="shared" si="18"/>
        <v>0</v>
      </c>
      <c r="BI29" s="241">
        <f t="shared" si="19"/>
        <v>0</v>
      </c>
      <c r="BL29" s="241">
        <f t="shared" si="20"/>
        <v>0</v>
      </c>
      <c r="BO29" s="241">
        <f t="shared" si="21"/>
        <v>0</v>
      </c>
      <c r="BR29" s="241">
        <f t="shared" si="22"/>
        <v>0</v>
      </c>
      <c r="BU29" s="241">
        <f t="shared" si="23"/>
        <v>0</v>
      </c>
      <c r="BX29" s="241">
        <f t="shared" si="24"/>
        <v>0</v>
      </c>
      <c r="CA29" s="241">
        <f t="shared" si="25"/>
        <v>0</v>
      </c>
      <c r="CD29" s="241">
        <f t="shared" si="26"/>
        <v>0</v>
      </c>
      <c r="CG29" s="241">
        <f t="shared" si="27"/>
        <v>0</v>
      </c>
      <c r="CJ29" s="241">
        <f t="shared" si="28"/>
        <v>0</v>
      </c>
      <c r="CM29" s="241">
        <f t="shared" si="29"/>
        <v>0</v>
      </c>
      <c r="CP29" s="241">
        <f t="shared" si="30"/>
        <v>0</v>
      </c>
      <c r="CS29" s="241">
        <f t="shared" si="31"/>
        <v>0</v>
      </c>
      <c r="CV29" s="241">
        <f t="shared" si="32"/>
        <v>0</v>
      </c>
      <c r="CY29" s="241">
        <f t="shared" si="33"/>
        <v>0</v>
      </c>
      <c r="DB29" s="241">
        <f t="shared" si="34"/>
        <v>0</v>
      </c>
      <c r="DE29" s="241">
        <f t="shared" si="35"/>
        <v>0</v>
      </c>
      <c r="DH29" s="241">
        <f t="shared" si="36"/>
        <v>0</v>
      </c>
      <c r="DK29" s="241">
        <f t="shared" si="37"/>
        <v>0</v>
      </c>
      <c r="DN29" s="241">
        <f t="shared" si="38"/>
        <v>0</v>
      </c>
      <c r="DQ29" s="241">
        <f t="shared" si="39"/>
        <v>0</v>
      </c>
      <c r="DT29" s="241">
        <f t="shared" si="40"/>
        <v>0</v>
      </c>
      <c r="DW29" s="241">
        <f t="shared" si="41"/>
        <v>0</v>
      </c>
      <c r="DZ29" s="241"/>
      <c r="EA29" s="241"/>
      <c r="EB29" s="261">
        <f t="shared" si="42"/>
        <v>83850000</v>
      </c>
      <c r="EC29" s="261">
        <f t="shared" si="43"/>
        <v>80625000</v>
      </c>
      <c r="ED29" s="241">
        <f t="shared" si="44"/>
        <v>11260.625</v>
      </c>
      <c r="EE29" s="242">
        <f t="shared" si="45"/>
        <v>4.8346153846153851E-2</v>
      </c>
      <c r="EG29" s="261">
        <f t="shared" si="46"/>
        <v>0</v>
      </c>
      <c r="EH29" s="241">
        <f t="shared" si="47"/>
        <v>0</v>
      </c>
      <c r="EI29" s="242">
        <f t="shared" si="48"/>
        <v>0</v>
      </c>
      <c r="EJ29" s="242"/>
      <c r="EK29" s="261">
        <f t="shared" si="49"/>
        <v>3225000</v>
      </c>
      <c r="EL29" s="261">
        <f t="shared" si="50"/>
        <v>0</v>
      </c>
      <c r="EM29" s="261">
        <f t="shared" si="51"/>
        <v>443.4375</v>
      </c>
      <c r="EN29" s="242">
        <f t="shared" si="52"/>
        <v>4.9500000000000002E-2</v>
      </c>
      <c r="EP29" s="241"/>
    </row>
    <row r="30" spans="1:146" x14ac:dyDescent="0.25">
      <c r="A30" s="255">
        <f t="shared" si="53"/>
        <v>45585</v>
      </c>
      <c r="B30" s="241">
        <v>80625000</v>
      </c>
      <c r="C30" s="242">
        <v>4.8300000000000003E-2</v>
      </c>
      <c r="D30" s="241">
        <f t="shared" si="2"/>
        <v>10817.1875</v>
      </c>
      <c r="G30" s="241">
        <f t="shared" si="3"/>
        <v>0</v>
      </c>
      <c r="J30" s="241">
        <f t="shared" si="4"/>
        <v>0</v>
      </c>
      <c r="M30" s="241">
        <f t="shared" si="5"/>
        <v>0</v>
      </c>
      <c r="P30" s="241">
        <f t="shared" si="6"/>
        <v>0</v>
      </c>
      <c r="S30" s="241">
        <f t="shared" si="7"/>
        <v>0</v>
      </c>
      <c r="V30" s="241">
        <f t="shared" si="8"/>
        <v>0</v>
      </c>
      <c r="Y30" s="241">
        <f t="shared" si="9"/>
        <v>0</v>
      </c>
      <c r="AB30" s="241">
        <f t="shared" si="10"/>
        <v>0</v>
      </c>
      <c r="AE30" s="241">
        <v>0</v>
      </c>
      <c r="AH30" s="241">
        <v>0</v>
      </c>
      <c r="AI30" s="256">
        <v>3225000</v>
      </c>
      <c r="AJ30" s="257">
        <v>4.9500000000000002E-2</v>
      </c>
      <c r="AK30" s="241">
        <f t="shared" si="11"/>
        <v>443.4375</v>
      </c>
      <c r="AL30" s="256"/>
      <c r="AM30" s="257"/>
      <c r="AN30" s="241">
        <f t="shared" si="12"/>
        <v>0</v>
      </c>
      <c r="AO30" s="256"/>
      <c r="AP30" s="257"/>
      <c r="AQ30" s="241">
        <f t="shared" si="13"/>
        <v>0</v>
      </c>
      <c r="AR30" s="256"/>
      <c r="AS30" s="257"/>
      <c r="AT30" s="241">
        <f t="shared" si="14"/>
        <v>0</v>
      </c>
      <c r="AW30" s="241">
        <f t="shared" si="15"/>
        <v>0</v>
      </c>
      <c r="AZ30" s="241">
        <f t="shared" si="16"/>
        <v>0</v>
      </c>
      <c r="BC30" s="241">
        <f t="shared" si="17"/>
        <v>0</v>
      </c>
      <c r="BF30" s="241">
        <f t="shared" si="18"/>
        <v>0</v>
      </c>
      <c r="BI30" s="241">
        <f t="shared" si="19"/>
        <v>0</v>
      </c>
      <c r="BL30" s="241">
        <f t="shared" si="20"/>
        <v>0</v>
      </c>
      <c r="BO30" s="241">
        <f t="shared" si="21"/>
        <v>0</v>
      </c>
      <c r="BR30" s="241">
        <f t="shared" si="22"/>
        <v>0</v>
      </c>
      <c r="BU30" s="241">
        <f t="shared" si="23"/>
        <v>0</v>
      </c>
      <c r="BX30" s="241">
        <f t="shared" si="24"/>
        <v>0</v>
      </c>
      <c r="CA30" s="241">
        <f t="shared" si="25"/>
        <v>0</v>
      </c>
      <c r="CD30" s="241">
        <f t="shared" si="26"/>
        <v>0</v>
      </c>
      <c r="CG30" s="241">
        <f t="shared" si="27"/>
        <v>0</v>
      </c>
      <c r="CJ30" s="241">
        <f t="shared" si="28"/>
        <v>0</v>
      </c>
      <c r="CM30" s="241">
        <f t="shared" si="29"/>
        <v>0</v>
      </c>
      <c r="CP30" s="241">
        <f t="shared" si="30"/>
        <v>0</v>
      </c>
      <c r="CS30" s="241">
        <f t="shared" si="31"/>
        <v>0</v>
      </c>
      <c r="CV30" s="241">
        <f t="shared" si="32"/>
        <v>0</v>
      </c>
      <c r="CY30" s="241">
        <f t="shared" si="33"/>
        <v>0</v>
      </c>
      <c r="DB30" s="241">
        <f t="shared" si="34"/>
        <v>0</v>
      </c>
      <c r="DE30" s="241">
        <f t="shared" si="35"/>
        <v>0</v>
      </c>
      <c r="DH30" s="241">
        <f t="shared" si="36"/>
        <v>0</v>
      </c>
      <c r="DK30" s="241">
        <f t="shared" si="37"/>
        <v>0</v>
      </c>
      <c r="DN30" s="241">
        <f t="shared" si="38"/>
        <v>0</v>
      </c>
      <c r="DQ30" s="241">
        <f t="shared" si="39"/>
        <v>0</v>
      </c>
      <c r="DT30" s="241">
        <f t="shared" si="40"/>
        <v>0</v>
      </c>
      <c r="DW30" s="241">
        <f t="shared" si="41"/>
        <v>0</v>
      </c>
      <c r="DZ30" s="241"/>
      <c r="EA30" s="241"/>
      <c r="EB30" s="261">
        <f t="shared" si="42"/>
        <v>83850000</v>
      </c>
      <c r="EC30" s="261">
        <f t="shared" si="43"/>
        <v>80625000</v>
      </c>
      <c r="ED30" s="241">
        <f t="shared" si="44"/>
        <v>11260.625</v>
      </c>
      <c r="EE30" s="242">
        <f t="shared" si="45"/>
        <v>4.8346153846153851E-2</v>
      </c>
      <c r="EG30" s="261">
        <f t="shared" si="46"/>
        <v>0</v>
      </c>
      <c r="EH30" s="241">
        <f t="shared" si="47"/>
        <v>0</v>
      </c>
      <c r="EI30" s="242">
        <f t="shared" si="48"/>
        <v>0</v>
      </c>
      <c r="EJ30" s="242"/>
      <c r="EK30" s="261">
        <f t="shared" si="49"/>
        <v>3225000</v>
      </c>
      <c r="EL30" s="261">
        <f t="shared" si="50"/>
        <v>0</v>
      </c>
      <c r="EM30" s="261">
        <f t="shared" si="51"/>
        <v>443.4375</v>
      </c>
      <c r="EN30" s="242">
        <f t="shared" si="52"/>
        <v>4.9500000000000002E-2</v>
      </c>
      <c r="EP30" s="241"/>
    </row>
    <row r="31" spans="1:146" x14ac:dyDescent="0.25">
      <c r="A31" s="255">
        <f t="shared" si="53"/>
        <v>45586</v>
      </c>
      <c r="B31" s="241">
        <v>36025000</v>
      </c>
      <c r="C31" s="242">
        <v>4.7699999999999992E-2</v>
      </c>
      <c r="D31" s="241">
        <f t="shared" si="2"/>
        <v>4773.3124999999991</v>
      </c>
      <c r="G31" s="241">
        <f t="shared" si="3"/>
        <v>0</v>
      </c>
      <c r="J31" s="241">
        <f t="shared" si="4"/>
        <v>0</v>
      </c>
      <c r="M31" s="241">
        <f t="shared" si="5"/>
        <v>0</v>
      </c>
      <c r="P31" s="241">
        <f t="shared" si="6"/>
        <v>0</v>
      </c>
      <c r="S31" s="241">
        <f t="shared" si="7"/>
        <v>0</v>
      </c>
      <c r="V31" s="241">
        <f t="shared" si="8"/>
        <v>0</v>
      </c>
      <c r="Y31" s="241">
        <f t="shared" si="9"/>
        <v>0</v>
      </c>
      <c r="AB31" s="241">
        <f t="shared" si="10"/>
        <v>0</v>
      </c>
      <c r="AE31" s="241">
        <v>0</v>
      </c>
      <c r="AH31" s="241">
        <v>0</v>
      </c>
      <c r="AI31" s="256">
        <f>50000000+29425000</f>
        <v>79425000</v>
      </c>
      <c r="AJ31" s="257">
        <v>4.9500000000000002E-2</v>
      </c>
      <c r="AK31" s="241">
        <f t="shared" si="11"/>
        <v>10920.9375</v>
      </c>
      <c r="AL31" s="256"/>
      <c r="AM31" s="257"/>
      <c r="AN31" s="241">
        <f t="shared" si="12"/>
        <v>0</v>
      </c>
      <c r="AO31" s="256"/>
      <c r="AP31" s="257"/>
      <c r="AQ31" s="241">
        <f t="shared" si="13"/>
        <v>0</v>
      </c>
      <c r="AR31" s="256"/>
      <c r="AS31" s="257"/>
      <c r="AT31" s="241">
        <f t="shared" si="14"/>
        <v>0</v>
      </c>
      <c r="AW31" s="241">
        <f t="shared" si="15"/>
        <v>0</v>
      </c>
      <c r="AZ31" s="241">
        <f t="shared" si="16"/>
        <v>0</v>
      </c>
      <c r="BC31" s="241">
        <f t="shared" si="17"/>
        <v>0</v>
      </c>
      <c r="BF31" s="241">
        <f t="shared" si="18"/>
        <v>0</v>
      </c>
      <c r="BI31" s="241">
        <f t="shared" si="19"/>
        <v>0</v>
      </c>
      <c r="BL31" s="241">
        <f t="shared" si="20"/>
        <v>0</v>
      </c>
      <c r="BO31" s="241">
        <f t="shared" si="21"/>
        <v>0</v>
      </c>
      <c r="BR31" s="241">
        <f t="shared" si="22"/>
        <v>0</v>
      </c>
      <c r="BU31" s="241">
        <f t="shared" si="23"/>
        <v>0</v>
      </c>
      <c r="BX31" s="241">
        <f t="shared" si="24"/>
        <v>0</v>
      </c>
      <c r="CA31" s="241">
        <f t="shared" si="25"/>
        <v>0</v>
      </c>
      <c r="CD31" s="241">
        <f t="shared" si="26"/>
        <v>0</v>
      </c>
      <c r="CG31" s="241">
        <f t="shared" si="27"/>
        <v>0</v>
      </c>
      <c r="CJ31" s="241">
        <f t="shared" si="28"/>
        <v>0</v>
      </c>
      <c r="CM31" s="241">
        <f t="shared" si="29"/>
        <v>0</v>
      </c>
      <c r="CP31" s="241">
        <f t="shared" si="30"/>
        <v>0</v>
      </c>
      <c r="CS31" s="241">
        <f t="shared" si="31"/>
        <v>0</v>
      </c>
      <c r="CV31" s="241">
        <f t="shared" si="32"/>
        <v>0</v>
      </c>
      <c r="CY31" s="241">
        <f t="shared" si="33"/>
        <v>0</v>
      </c>
      <c r="DB31" s="241">
        <f t="shared" si="34"/>
        <v>0</v>
      </c>
      <c r="DE31" s="241">
        <f t="shared" si="35"/>
        <v>0</v>
      </c>
      <c r="DH31" s="241">
        <f t="shared" si="36"/>
        <v>0</v>
      </c>
      <c r="DK31" s="241">
        <f t="shared" si="37"/>
        <v>0</v>
      </c>
      <c r="DN31" s="241">
        <f t="shared" si="38"/>
        <v>0</v>
      </c>
      <c r="DQ31" s="241">
        <f t="shared" si="39"/>
        <v>0</v>
      </c>
      <c r="DT31" s="241">
        <f t="shared" si="40"/>
        <v>0</v>
      </c>
      <c r="DW31" s="241">
        <f t="shared" si="41"/>
        <v>0</v>
      </c>
      <c r="DZ31" s="241"/>
      <c r="EA31" s="241"/>
      <c r="EB31" s="261">
        <f t="shared" si="42"/>
        <v>115450000</v>
      </c>
      <c r="EC31" s="261">
        <f t="shared" si="43"/>
        <v>36025000</v>
      </c>
      <c r="ED31" s="241">
        <f t="shared" si="44"/>
        <v>15694.25</v>
      </c>
      <c r="EE31" s="242">
        <f t="shared" si="45"/>
        <v>4.8938328280640965E-2</v>
      </c>
      <c r="EG31" s="261">
        <f t="shared" si="46"/>
        <v>0</v>
      </c>
      <c r="EH31" s="241">
        <f t="shared" si="47"/>
        <v>0</v>
      </c>
      <c r="EI31" s="242">
        <f t="shared" si="48"/>
        <v>0</v>
      </c>
      <c r="EJ31" s="242"/>
      <c r="EK31" s="261">
        <f t="shared" si="49"/>
        <v>79425000</v>
      </c>
      <c r="EL31" s="261">
        <f t="shared" si="50"/>
        <v>0</v>
      </c>
      <c r="EM31" s="261">
        <f t="shared" si="51"/>
        <v>10920.9375</v>
      </c>
      <c r="EN31" s="242">
        <f t="shared" si="52"/>
        <v>4.9500000000000002E-2</v>
      </c>
      <c r="EP31" s="241"/>
    </row>
    <row r="32" spans="1:146" x14ac:dyDescent="0.25">
      <c r="A32" s="255">
        <f t="shared" si="53"/>
        <v>45587</v>
      </c>
      <c r="B32" s="241">
        <v>51725000</v>
      </c>
      <c r="C32" s="242">
        <v>4.7599999999999996E-2</v>
      </c>
      <c r="D32" s="241">
        <f t="shared" si="2"/>
        <v>6839.1944444444443</v>
      </c>
      <c r="G32" s="241">
        <f t="shared" si="3"/>
        <v>0</v>
      </c>
      <c r="J32" s="241">
        <f t="shared" si="4"/>
        <v>0</v>
      </c>
      <c r="M32" s="241">
        <f t="shared" si="5"/>
        <v>0</v>
      </c>
      <c r="P32" s="241">
        <f t="shared" si="6"/>
        <v>0</v>
      </c>
      <c r="S32" s="241">
        <f t="shared" si="7"/>
        <v>0</v>
      </c>
      <c r="V32" s="241">
        <f t="shared" si="8"/>
        <v>0</v>
      </c>
      <c r="Y32" s="241">
        <f t="shared" si="9"/>
        <v>0</v>
      </c>
      <c r="AB32" s="241">
        <f t="shared" si="10"/>
        <v>0</v>
      </c>
      <c r="AE32" s="241">
        <v>0</v>
      </c>
      <c r="AH32" s="241">
        <v>0</v>
      </c>
      <c r="AI32" s="256">
        <f>40350000</f>
        <v>40350000</v>
      </c>
      <c r="AJ32" s="257">
        <v>4.9500000000000002E-2</v>
      </c>
      <c r="AK32" s="241">
        <f t="shared" si="11"/>
        <v>5548.125</v>
      </c>
      <c r="AL32" s="256"/>
      <c r="AM32" s="257"/>
      <c r="AN32" s="241">
        <f t="shared" si="12"/>
        <v>0</v>
      </c>
      <c r="AO32" s="256"/>
      <c r="AP32" s="257"/>
      <c r="AQ32" s="241">
        <f t="shared" si="13"/>
        <v>0</v>
      </c>
      <c r="AR32" s="256"/>
      <c r="AS32" s="257"/>
      <c r="AT32" s="241">
        <f t="shared" si="14"/>
        <v>0</v>
      </c>
      <c r="AW32" s="241">
        <f t="shared" si="15"/>
        <v>0</v>
      </c>
      <c r="AZ32" s="241">
        <f t="shared" si="16"/>
        <v>0</v>
      </c>
      <c r="BC32" s="241">
        <f t="shared" si="17"/>
        <v>0</v>
      </c>
      <c r="BF32" s="241">
        <f t="shared" si="18"/>
        <v>0</v>
      </c>
      <c r="BI32" s="241">
        <f t="shared" si="19"/>
        <v>0</v>
      </c>
      <c r="BL32" s="241">
        <f t="shared" si="20"/>
        <v>0</v>
      </c>
      <c r="BO32" s="241">
        <f t="shared" si="21"/>
        <v>0</v>
      </c>
      <c r="BR32" s="241">
        <f t="shared" si="22"/>
        <v>0</v>
      </c>
      <c r="BU32" s="241">
        <f t="shared" si="23"/>
        <v>0</v>
      </c>
      <c r="BX32" s="241">
        <f t="shared" si="24"/>
        <v>0</v>
      </c>
      <c r="CA32" s="241">
        <f t="shared" si="25"/>
        <v>0</v>
      </c>
      <c r="CD32" s="241">
        <f t="shared" si="26"/>
        <v>0</v>
      </c>
      <c r="CG32" s="241">
        <f t="shared" si="27"/>
        <v>0</v>
      </c>
      <c r="CJ32" s="241">
        <f t="shared" si="28"/>
        <v>0</v>
      </c>
      <c r="CM32" s="241">
        <f t="shared" si="29"/>
        <v>0</v>
      </c>
      <c r="CP32" s="241">
        <f t="shared" si="30"/>
        <v>0</v>
      </c>
      <c r="CS32" s="241">
        <f t="shared" si="31"/>
        <v>0</v>
      </c>
      <c r="CV32" s="241">
        <f t="shared" si="32"/>
        <v>0</v>
      </c>
      <c r="CY32" s="241">
        <f t="shared" si="33"/>
        <v>0</v>
      </c>
      <c r="DB32" s="241">
        <f t="shared" si="34"/>
        <v>0</v>
      </c>
      <c r="DE32" s="241">
        <f t="shared" si="35"/>
        <v>0</v>
      </c>
      <c r="DH32" s="241">
        <f t="shared" si="36"/>
        <v>0</v>
      </c>
      <c r="DK32" s="241">
        <f t="shared" si="37"/>
        <v>0</v>
      </c>
      <c r="DN32" s="241">
        <f t="shared" si="38"/>
        <v>0</v>
      </c>
      <c r="DQ32" s="241">
        <f t="shared" si="39"/>
        <v>0</v>
      </c>
      <c r="DT32" s="241">
        <f t="shared" si="40"/>
        <v>0</v>
      </c>
      <c r="DW32" s="241">
        <f t="shared" si="41"/>
        <v>0</v>
      </c>
      <c r="DZ32" s="241"/>
      <c r="EA32" s="241"/>
      <c r="EB32" s="261">
        <f t="shared" si="42"/>
        <v>92075000</v>
      </c>
      <c r="EC32" s="261">
        <f t="shared" si="43"/>
        <v>51725000</v>
      </c>
      <c r="ED32" s="241">
        <f t="shared" si="44"/>
        <v>12387.319444444445</v>
      </c>
      <c r="EE32" s="242">
        <f t="shared" si="45"/>
        <v>4.8432636437686673E-2</v>
      </c>
      <c r="EG32" s="261">
        <f t="shared" si="46"/>
        <v>0</v>
      </c>
      <c r="EH32" s="241">
        <f t="shared" si="47"/>
        <v>0</v>
      </c>
      <c r="EI32" s="242">
        <f t="shared" si="48"/>
        <v>0</v>
      </c>
      <c r="EJ32" s="242"/>
      <c r="EK32" s="261">
        <f t="shared" si="49"/>
        <v>40350000</v>
      </c>
      <c r="EL32" s="261">
        <f t="shared" si="50"/>
        <v>0</v>
      </c>
      <c r="EM32" s="261">
        <f t="shared" si="51"/>
        <v>5548.125</v>
      </c>
      <c r="EN32" s="242">
        <f t="shared" si="52"/>
        <v>4.9500000000000002E-2</v>
      </c>
      <c r="EP32" s="241"/>
    </row>
    <row r="33" spans="1:146" x14ac:dyDescent="0.25">
      <c r="A33" s="255">
        <f t="shared" si="53"/>
        <v>45588</v>
      </c>
      <c r="B33" s="241">
        <v>60150000</v>
      </c>
      <c r="C33" s="242">
        <v>4.7599999999999996E-2</v>
      </c>
      <c r="D33" s="241">
        <f t="shared" si="2"/>
        <v>7953.166666666667</v>
      </c>
      <c r="G33" s="241">
        <f t="shared" si="3"/>
        <v>0</v>
      </c>
      <c r="J33" s="241">
        <f t="shared" si="4"/>
        <v>0</v>
      </c>
      <c r="M33" s="241">
        <f t="shared" si="5"/>
        <v>0</v>
      </c>
      <c r="P33" s="241">
        <f t="shared" si="6"/>
        <v>0</v>
      </c>
      <c r="S33" s="241">
        <f t="shared" si="7"/>
        <v>0</v>
      </c>
      <c r="V33" s="241">
        <f t="shared" si="8"/>
        <v>0</v>
      </c>
      <c r="Y33" s="241">
        <f t="shared" si="9"/>
        <v>0</v>
      </c>
      <c r="AB33" s="241">
        <f t="shared" si="10"/>
        <v>0</v>
      </c>
      <c r="AE33" s="241">
        <v>0</v>
      </c>
      <c r="AH33" s="241">
        <v>0</v>
      </c>
      <c r="AI33" s="256">
        <f>24025000</f>
        <v>24025000</v>
      </c>
      <c r="AJ33" s="257">
        <v>4.9500000000000002E-2</v>
      </c>
      <c r="AK33" s="241">
        <f t="shared" si="11"/>
        <v>3303.4375</v>
      </c>
      <c r="AL33" s="256"/>
      <c r="AM33" s="257"/>
      <c r="AN33" s="241">
        <f t="shared" si="12"/>
        <v>0</v>
      </c>
      <c r="AO33" s="256"/>
      <c r="AP33" s="257"/>
      <c r="AQ33" s="241">
        <f t="shared" si="13"/>
        <v>0</v>
      </c>
      <c r="AR33" s="256"/>
      <c r="AS33" s="257"/>
      <c r="AT33" s="241">
        <f t="shared" si="14"/>
        <v>0</v>
      </c>
      <c r="AW33" s="241">
        <f t="shared" si="15"/>
        <v>0</v>
      </c>
      <c r="AZ33" s="241">
        <f t="shared" si="16"/>
        <v>0</v>
      </c>
      <c r="BC33" s="241">
        <f t="shared" si="17"/>
        <v>0</v>
      </c>
      <c r="BF33" s="241">
        <f t="shared" si="18"/>
        <v>0</v>
      </c>
      <c r="BI33" s="241">
        <f t="shared" si="19"/>
        <v>0</v>
      </c>
      <c r="BL33" s="241">
        <f t="shared" si="20"/>
        <v>0</v>
      </c>
      <c r="BO33" s="241">
        <f t="shared" si="21"/>
        <v>0</v>
      </c>
      <c r="BR33" s="241">
        <f t="shared" si="22"/>
        <v>0</v>
      </c>
      <c r="BU33" s="241">
        <f t="shared" si="23"/>
        <v>0</v>
      </c>
      <c r="BX33" s="241">
        <f t="shared" si="24"/>
        <v>0</v>
      </c>
      <c r="CA33" s="241">
        <f t="shared" si="25"/>
        <v>0</v>
      </c>
      <c r="CD33" s="241">
        <f t="shared" si="26"/>
        <v>0</v>
      </c>
      <c r="CG33" s="241">
        <f t="shared" si="27"/>
        <v>0</v>
      </c>
      <c r="CJ33" s="241">
        <f t="shared" si="28"/>
        <v>0</v>
      </c>
      <c r="CM33" s="241">
        <f t="shared" si="29"/>
        <v>0</v>
      </c>
      <c r="CP33" s="241">
        <f t="shared" si="30"/>
        <v>0</v>
      </c>
      <c r="CS33" s="241">
        <f t="shared" si="31"/>
        <v>0</v>
      </c>
      <c r="CV33" s="241">
        <f t="shared" si="32"/>
        <v>0</v>
      </c>
      <c r="CY33" s="241">
        <f t="shared" si="33"/>
        <v>0</v>
      </c>
      <c r="DB33" s="241">
        <f t="shared" si="34"/>
        <v>0</v>
      </c>
      <c r="DE33" s="241">
        <f t="shared" si="35"/>
        <v>0</v>
      </c>
      <c r="DH33" s="241">
        <f t="shared" si="36"/>
        <v>0</v>
      </c>
      <c r="DK33" s="241">
        <f t="shared" si="37"/>
        <v>0</v>
      </c>
      <c r="DN33" s="241">
        <f t="shared" si="38"/>
        <v>0</v>
      </c>
      <c r="DQ33" s="241">
        <f t="shared" si="39"/>
        <v>0</v>
      </c>
      <c r="DT33" s="241">
        <f t="shared" si="40"/>
        <v>0</v>
      </c>
      <c r="DW33" s="241">
        <f t="shared" si="41"/>
        <v>0</v>
      </c>
      <c r="DZ33" s="241"/>
      <c r="EA33" s="241"/>
      <c r="EB33" s="261">
        <f t="shared" si="42"/>
        <v>84175000</v>
      </c>
      <c r="EC33" s="261">
        <f t="shared" si="43"/>
        <v>60150000</v>
      </c>
      <c r="ED33" s="241">
        <f t="shared" si="44"/>
        <v>11256.604166666668</v>
      </c>
      <c r="EE33" s="242">
        <f t="shared" si="45"/>
        <v>4.8142292842292843E-2</v>
      </c>
      <c r="EG33" s="261">
        <f t="shared" si="46"/>
        <v>0</v>
      </c>
      <c r="EH33" s="241">
        <f t="shared" si="47"/>
        <v>0</v>
      </c>
      <c r="EI33" s="242">
        <f t="shared" si="48"/>
        <v>0</v>
      </c>
      <c r="EJ33" s="242"/>
      <c r="EK33" s="261">
        <f t="shared" si="49"/>
        <v>24025000</v>
      </c>
      <c r="EL33" s="261">
        <f t="shared" si="50"/>
        <v>0</v>
      </c>
      <c r="EM33" s="261">
        <f t="shared" si="51"/>
        <v>3303.4375</v>
      </c>
      <c r="EN33" s="242">
        <f t="shared" si="52"/>
        <v>4.9500000000000002E-2</v>
      </c>
      <c r="EP33" s="241"/>
    </row>
    <row r="34" spans="1:146" x14ac:dyDescent="0.25">
      <c r="A34" s="255">
        <f t="shared" si="53"/>
        <v>45589</v>
      </c>
      <c r="B34" s="241">
        <v>66675000</v>
      </c>
      <c r="C34" s="242">
        <v>4.7599999999999996E-2</v>
      </c>
      <c r="D34" s="241">
        <f t="shared" si="2"/>
        <v>8815.9166666666661</v>
      </c>
      <c r="G34" s="241">
        <f t="shared" si="3"/>
        <v>0</v>
      </c>
      <c r="J34" s="241">
        <f t="shared" si="4"/>
        <v>0</v>
      </c>
      <c r="M34" s="241">
        <f t="shared" si="5"/>
        <v>0</v>
      </c>
      <c r="P34" s="241">
        <f t="shared" si="6"/>
        <v>0</v>
      </c>
      <c r="S34" s="241">
        <f t="shared" si="7"/>
        <v>0</v>
      </c>
      <c r="V34" s="241">
        <f t="shared" si="8"/>
        <v>0</v>
      </c>
      <c r="Y34" s="241">
        <f t="shared" si="9"/>
        <v>0</v>
      </c>
      <c r="AB34" s="241">
        <f t="shared" si="10"/>
        <v>0</v>
      </c>
      <c r="AE34" s="241">
        <v>0</v>
      </c>
      <c r="AH34" s="241">
        <v>0</v>
      </c>
      <c r="AI34" s="256">
        <f>6775000</f>
        <v>6775000</v>
      </c>
      <c r="AJ34" s="257">
        <v>4.9500000000000002E-2</v>
      </c>
      <c r="AK34" s="241">
        <f t="shared" si="11"/>
        <v>931.5625</v>
      </c>
      <c r="AL34" s="256"/>
      <c r="AM34" s="257"/>
      <c r="AN34" s="241">
        <f t="shared" si="12"/>
        <v>0</v>
      </c>
      <c r="AO34" s="256"/>
      <c r="AP34" s="257"/>
      <c r="AQ34" s="241">
        <f t="shared" si="13"/>
        <v>0</v>
      </c>
      <c r="AR34" s="256"/>
      <c r="AS34" s="257"/>
      <c r="AT34" s="241">
        <f t="shared" si="14"/>
        <v>0</v>
      </c>
      <c r="AW34" s="241">
        <f t="shared" si="15"/>
        <v>0</v>
      </c>
      <c r="AZ34" s="241">
        <f t="shared" si="16"/>
        <v>0</v>
      </c>
      <c r="BC34" s="241">
        <f t="shared" si="17"/>
        <v>0</v>
      </c>
      <c r="BF34" s="241">
        <f t="shared" si="18"/>
        <v>0</v>
      </c>
      <c r="BI34" s="241">
        <f t="shared" si="19"/>
        <v>0</v>
      </c>
      <c r="BL34" s="241">
        <f t="shared" si="20"/>
        <v>0</v>
      </c>
      <c r="BO34" s="241">
        <f t="shared" si="21"/>
        <v>0</v>
      </c>
      <c r="BR34" s="241">
        <f t="shared" si="22"/>
        <v>0</v>
      </c>
      <c r="BU34" s="241">
        <f t="shared" si="23"/>
        <v>0</v>
      </c>
      <c r="BX34" s="241">
        <f t="shared" si="24"/>
        <v>0</v>
      </c>
      <c r="CA34" s="241">
        <f t="shared" si="25"/>
        <v>0</v>
      </c>
      <c r="CD34" s="241">
        <f t="shared" si="26"/>
        <v>0</v>
      </c>
      <c r="CG34" s="241">
        <f t="shared" si="27"/>
        <v>0</v>
      </c>
      <c r="CJ34" s="241">
        <f t="shared" si="28"/>
        <v>0</v>
      </c>
      <c r="CM34" s="241">
        <f t="shared" si="29"/>
        <v>0</v>
      </c>
      <c r="CP34" s="241">
        <f t="shared" si="30"/>
        <v>0</v>
      </c>
      <c r="CS34" s="241">
        <f t="shared" si="31"/>
        <v>0</v>
      </c>
      <c r="CV34" s="241">
        <f t="shared" si="32"/>
        <v>0</v>
      </c>
      <c r="CY34" s="241">
        <f t="shared" si="33"/>
        <v>0</v>
      </c>
      <c r="DB34" s="241">
        <f t="shared" si="34"/>
        <v>0</v>
      </c>
      <c r="DE34" s="241">
        <f t="shared" si="35"/>
        <v>0</v>
      </c>
      <c r="DH34" s="241">
        <f t="shared" si="36"/>
        <v>0</v>
      </c>
      <c r="DK34" s="241">
        <f t="shared" si="37"/>
        <v>0</v>
      </c>
      <c r="DN34" s="241">
        <f t="shared" si="38"/>
        <v>0</v>
      </c>
      <c r="DQ34" s="241">
        <f t="shared" si="39"/>
        <v>0</v>
      </c>
      <c r="DT34" s="241">
        <f t="shared" si="40"/>
        <v>0</v>
      </c>
      <c r="DW34" s="241">
        <f t="shared" si="41"/>
        <v>0</v>
      </c>
      <c r="DZ34" s="241"/>
      <c r="EA34" s="241"/>
      <c r="EB34" s="261">
        <f t="shared" si="42"/>
        <v>73450000</v>
      </c>
      <c r="EC34" s="261">
        <f t="shared" si="43"/>
        <v>66675000</v>
      </c>
      <c r="ED34" s="241">
        <f t="shared" si="44"/>
        <v>9747.4791666666661</v>
      </c>
      <c r="EE34" s="242">
        <f t="shared" si="45"/>
        <v>4.7775255275697752E-2</v>
      </c>
      <c r="EG34" s="261">
        <f t="shared" si="46"/>
        <v>0</v>
      </c>
      <c r="EH34" s="241">
        <f t="shared" si="47"/>
        <v>0</v>
      </c>
      <c r="EI34" s="242">
        <f t="shared" si="48"/>
        <v>0</v>
      </c>
      <c r="EJ34" s="242"/>
      <c r="EK34" s="261">
        <f t="shared" si="49"/>
        <v>6775000</v>
      </c>
      <c r="EL34" s="261">
        <f t="shared" si="50"/>
        <v>0</v>
      </c>
      <c r="EM34" s="261">
        <f t="shared" si="51"/>
        <v>931.5625</v>
      </c>
      <c r="EN34" s="242">
        <f t="shared" si="52"/>
        <v>4.9500000000000002E-2</v>
      </c>
      <c r="EP34" s="241"/>
    </row>
    <row r="35" spans="1:146" x14ac:dyDescent="0.25">
      <c r="A35" s="255">
        <f t="shared" si="53"/>
        <v>45590</v>
      </c>
      <c r="B35" s="241">
        <v>55100000</v>
      </c>
      <c r="C35" s="242">
        <v>4.7500000000000001E-2</v>
      </c>
      <c r="D35" s="241">
        <f t="shared" si="2"/>
        <v>7270.1388888888887</v>
      </c>
      <c r="G35" s="241">
        <f t="shared" si="3"/>
        <v>0</v>
      </c>
      <c r="J35" s="241">
        <f t="shared" si="4"/>
        <v>0</v>
      </c>
      <c r="M35" s="241">
        <f t="shared" si="5"/>
        <v>0</v>
      </c>
      <c r="P35" s="241">
        <f t="shared" si="6"/>
        <v>0</v>
      </c>
      <c r="S35" s="241">
        <f t="shared" si="7"/>
        <v>0</v>
      </c>
      <c r="V35" s="241">
        <f t="shared" si="8"/>
        <v>0</v>
      </c>
      <c r="Y35" s="241">
        <f t="shared" si="9"/>
        <v>0</v>
      </c>
      <c r="AB35" s="241">
        <f t="shared" si="10"/>
        <v>0</v>
      </c>
      <c r="AE35" s="241">
        <v>0</v>
      </c>
      <c r="AH35" s="241">
        <v>0</v>
      </c>
      <c r="AI35" s="256">
        <f>31700000</f>
        <v>31700000</v>
      </c>
      <c r="AJ35" s="257">
        <v>4.9500000000000002E-2</v>
      </c>
      <c r="AK35" s="241">
        <f t="shared" si="11"/>
        <v>4358.75</v>
      </c>
      <c r="AL35" s="256"/>
      <c r="AM35" s="257"/>
      <c r="AN35" s="241">
        <f t="shared" si="12"/>
        <v>0</v>
      </c>
      <c r="AO35" s="256"/>
      <c r="AP35" s="257"/>
      <c r="AQ35" s="241">
        <f t="shared" si="13"/>
        <v>0</v>
      </c>
      <c r="AR35" s="256"/>
      <c r="AS35" s="257"/>
      <c r="AT35" s="241">
        <f t="shared" si="14"/>
        <v>0</v>
      </c>
      <c r="AW35" s="241">
        <f t="shared" si="15"/>
        <v>0</v>
      </c>
      <c r="AZ35" s="241">
        <f t="shared" si="16"/>
        <v>0</v>
      </c>
      <c r="BC35" s="241">
        <f t="shared" si="17"/>
        <v>0</v>
      </c>
      <c r="BF35" s="241">
        <f t="shared" si="18"/>
        <v>0</v>
      </c>
      <c r="BI35" s="241">
        <f t="shared" si="19"/>
        <v>0</v>
      </c>
      <c r="BL35" s="241">
        <f t="shared" si="20"/>
        <v>0</v>
      </c>
      <c r="BO35" s="241">
        <f t="shared" si="21"/>
        <v>0</v>
      </c>
      <c r="BR35" s="241">
        <f t="shared" si="22"/>
        <v>0</v>
      </c>
      <c r="BU35" s="241">
        <f t="shared" si="23"/>
        <v>0</v>
      </c>
      <c r="BX35" s="241">
        <f t="shared" si="24"/>
        <v>0</v>
      </c>
      <c r="CA35" s="241">
        <f t="shared" si="25"/>
        <v>0</v>
      </c>
      <c r="CD35" s="241">
        <f t="shared" si="26"/>
        <v>0</v>
      </c>
      <c r="CG35" s="241">
        <f t="shared" si="27"/>
        <v>0</v>
      </c>
      <c r="CJ35" s="241">
        <f t="shared" si="28"/>
        <v>0</v>
      </c>
      <c r="CM35" s="241">
        <f t="shared" si="29"/>
        <v>0</v>
      </c>
      <c r="CP35" s="241">
        <f t="shared" si="30"/>
        <v>0</v>
      </c>
      <c r="CS35" s="241">
        <f t="shared" si="31"/>
        <v>0</v>
      </c>
      <c r="CV35" s="241">
        <f t="shared" si="32"/>
        <v>0</v>
      </c>
      <c r="CY35" s="241">
        <f t="shared" si="33"/>
        <v>0</v>
      </c>
      <c r="DB35" s="241">
        <f t="shared" si="34"/>
        <v>0</v>
      </c>
      <c r="DE35" s="241">
        <f t="shared" si="35"/>
        <v>0</v>
      </c>
      <c r="DH35" s="241">
        <f t="shared" si="36"/>
        <v>0</v>
      </c>
      <c r="DK35" s="241">
        <f t="shared" si="37"/>
        <v>0</v>
      </c>
      <c r="DN35" s="241">
        <f t="shared" si="38"/>
        <v>0</v>
      </c>
      <c r="DQ35" s="241">
        <f t="shared" si="39"/>
        <v>0</v>
      </c>
      <c r="DT35" s="241">
        <f t="shared" si="40"/>
        <v>0</v>
      </c>
      <c r="DW35" s="241">
        <f t="shared" si="41"/>
        <v>0</v>
      </c>
      <c r="DZ35" s="241"/>
      <c r="EA35" s="241"/>
      <c r="EB35" s="261">
        <f t="shared" si="42"/>
        <v>86800000</v>
      </c>
      <c r="EC35" s="261">
        <f t="shared" si="43"/>
        <v>55100000</v>
      </c>
      <c r="ED35" s="241">
        <f t="shared" si="44"/>
        <v>11628.888888888889</v>
      </c>
      <c r="EE35" s="242">
        <f t="shared" si="45"/>
        <v>4.8230414746543784E-2</v>
      </c>
      <c r="EG35" s="261">
        <f t="shared" si="46"/>
        <v>0</v>
      </c>
      <c r="EH35" s="241">
        <f t="shared" si="47"/>
        <v>0</v>
      </c>
      <c r="EI35" s="242">
        <f t="shared" si="48"/>
        <v>0</v>
      </c>
      <c r="EJ35" s="242"/>
      <c r="EK35" s="261">
        <f t="shared" si="49"/>
        <v>31700000</v>
      </c>
      <c r="EL35" s="261">
        <f t="shared" si="50"/>
        <v>0</v>
      </c>
      <c r="EM35" s="261">
        <f t="shared" si="51"/>
        <v>4358.75</v>
      </c>
      <c r="EN35" s="242">
        <f t="shared" si="52"/>
        <v>4.9500000000000002E-2</v>
      </c>
      <c r="EP35" s="241"/>
    </row>
    <row r="36" spans="1:146" x14ac:dyDescent="0.25">
      <c r="A36" s="255">
        <f t="shared" si="53"/>
        <v>45591</v>
      </c>
      <c r="B36" s="241">
        <v>55100000</v>
      </c>
      <c r="C36" s="242">
        <v>4.7500000000000001E-2</v>
      </c>
      <c r="D36" s="241">
        <f t="shared" si="2"/>
        <v>7270.1388888888887</v>
      </c>
      <c r="G36" s="241">
        <f t="shared" si="3"/>
        <v>0</v>
      </c>
      <c r="J36" s="241">
        <f t="shared" si="4"/>
        <v>0</v>
      </c>
      <c r="M36" s="241">
        <f t="shared" si="5"/>
        <v>0</v>
      </c>
      <c r="P36" s="241">
        <f t="shared" si="6"/>
        <v>0</v>
      </c>
      <c r="S36" s="241">
        <f t="shared" si="7"/>
        <v>0</v>
      </c>
      <c r="V36" s="241">
        <f t="shared" si="8"/>
        <v>0</v>
      </c>
      <c r="Y36" s="241">
        <f t="shared" si="9"/>
        <v>0</v>
      </c>
      <c r="AB36" s="241">
        <f t="shared" si="10"/>
        <v>0</v>
      </c>
      <c r="AE36" s="241">
        <v>0</v>
      </c>
      <c r="AH36" s="241">
        <v>0</v>
      </c>
      <c r="AI36" s="256">
        <f>31700000</f>
        <v>31700000</v>
      </c>
      <c r="AJ36" s="257">
        <v>4.9500000000000002E-2</v>
      </c>
      <c r="AK36" s="241">
        <f t="shared" si="11"/>
        <v>4358.75</v>
      </c>
      <c r="AL36" s="256"/>
      <c r="AM36" s="257"/>
      <c r="AN36" s="241">
        <f t="shared" si="12"/>
        <v>0</v>
      </c>
      <c r="AO36" s="256"/>
      <c r="AP36" s="257"/>
      <c r="AQ36" s="241">
        <f t="shared" si="13"/>
        <v>0</v>
      </c>
      <c r="AR36" s="256"/>
      <c r="AS36" s="257"/>
      <c r="AT36" s="241">
        <f t="shared" si="14"/>
        <v>0</v>
      </c>
      <c r="AW36" s="241">
        <f t="shared" si="15"/>
        <v>0</v>
      </c>
      <c r="AZ36" s="241">
        <f t="shared" si="16"/>
        <v>0</v>
      </c>
      <c r="BC36" s="241">
        <f t="shared" si="17"/>
        <v>0</v>
      </c>
      <c r="BF36" s="241">
        <f t="shared" si="18"/>
        <v>0</v>
      </c>
      <c r="BI36" s="241">
        <f t="shared" si="19"/>
        <v>0</v>
      </c>
      <c r="BL36" s="241">
        <f t="shared" si="20"/>
        <v>0</v>
      </c>
      <c r="BO36" s="241">
        <f t="shared" si="21"/>
        <v>0</v>
      </c>
      <c r="BR36" s="241">
        <f t="shared" si="22"/>
        <v>0</v>
      </c>
      <c r="BU36" s="241">
        <f t="shared" si="23"/>
        <v>0</v>
      </c>
      <c r="BX36" s="241">
        <f t="shared" si="24"/>
        <v>0</v>
      </c>
      <c r="CA36" s="241">
        <f t="shared" si="25"/>
        <v>0</v>
      </c>
      <c r="CD36" s="241">
        <f t="shared" si="26"/>
        <v>0</v>
      </c>
      <c r="CG36" s="241">
        <f t="shared" si="27"/>
        <v>0</v>
      </c>
      <c r="CJ36" s="241">
        <f t="shared" si="28"/>
        <v>0</v>
      </c>
      <c r="CM36" s="241">
        <f t="shared" si="29"/>
        <v>0</v>
      </c>
      <c r="CP36" s="241">
        <f t="shared" si="30"/>
        <v>0</v>
      </c>
      <c r="CS36" s="241">
        <f t="shared" si="31"/>
        <v>0</v>
      </c>
      <c r="CV36" s="241">
        <f t="shared" si="32"/>
        <v>0</v>
      </c>
      <c r="CY36" s="241">
        <f t="shared" si="33"/>
        <v>0</v>
      </c>
      <c r="DB36" s="241">
        <f t="shared" si="34"/>
        <v>0</v>
      </c>
      <c r="DE36" s="241">
        <f t="shared" si="35"/>
        <v>0</v>
      </c>
      <c r="DH36" s="241">
        <f t="shared" si="36"/>
        <v>0</v>
      </c>
      <c r="DK36" s="241">
        <f t="shared" si="37"/>
        <v>0</v>
      </c>
      <c r="DN36" s="241">
        <f t="shared" si="38"/>
        <v>0</v>
      </c>
      <c r="DQ36" s="241">
        <f t="shared" si="39"/>
        <v>0</v>
      </c>
      <c r="DT36" s="241">
        <f t="shared" si="40"/>
        <v>0</v>
      </c>
      <c r="DW36" s="241">
        <f t="shared" si="41"/>
        <v>0</v>
      </c>
      <c r="DZ36" s="241"/>
      <c r="EA36" s="241"/>
      <c r="EB36" s="261">
        <f t="shared" si="42"/>
        <v>86800000</v>
      </c>
      <c r="EC36" s="261">
        <f t="shared" si="43"/>
        <v>55100000</v>
      </c>
      <c r="ED36" s="241">
        <f t="shared" si="44"/>
        <v>11628.888888888889</v>
      </c>
      <c r="EE36" s="242">
        <f t="shared" si="45"/>
        <v>4.8230414746543784E-2</v>
      </c>
      <c r="EG36" s="261">
        <f t="shared" si="46"/>
        <v>0</v>
      </c>
      <c r="EH36" s="241">
        <f t="shared" si="47"/>
        <v>0</v>
      </c>
      <c r="EI36" s="242">
        <f t="shared" si="48"/>
        <v>0</v>
      </c>
      <c r="EJ36" s="242"/>
      <c r="EK36" s="261">
        <f t="shared" si="49"/>
        <v>31700000</v>
      </c>
      <c r="EL36" s="261">
        <f t="shared" si="50"/>
        <v>0</v>
      </c>
      <c r="EM36" s="261">
        <f t="shared" si="51"/>
        <v>4358.75</v>
      </c>
      <c r="EN36" s="242">
        <f t="shared" si="52"/>
        <v>4.9500000000000002E-2</v>
      </c>
      <c r="EP36" s="241"/>
    </row>
    <row r="37" spans="1:146" x14ac:dyDescent="0.25">
      <c r="A37" s="255">
        <f t="shared" si="53"/>
        <v>45592</v>
      </c>
      <c r="B37" s="241">
        <v>55100000</v>
      </c>
      <c r="C37" s="242">
        <v>4.7500000000000001E-2</v>
      </c>
      <c r="D37" s="241">
        <f t="shared" si="2"/>
        <v>7270.1388888888887</v>
      </c>
      <c r="G37" s="241">
        <f t="shared" si="3"/>
        <v>0</v>
      </c>
      <c r="J37" s="241">
        <f t="shared" si="4"/>
        <v>0</v>
      </c>
      <c r="M37" s="241">
        <f t="shared" si="5"/>
        <v>0</v>
      </c>
      <c r="P37" s="241">
        <f t="shared" si="6"/>
        <v>0</v>
      </c>
      <c r="S37" s="241">
        <f t="shared" si="7"/>
        <v>0</v>
      </c>
      <c r="V37" s="241">
        <f t="shared" si="8"/>
        <v>0</v>
      </c>
      <c r="Y37" s="241">
        <f t="shared" si="9"/>
        <v>0</v>
      </c>
      <c r="AB37" s="241">
        <f t="shared" si="10"/>
        <v>0</v>
      </c>
      <c r="AE37" s="241">
        <v>0</v>
      </c>
      <c r="AH37" s="241">
        <v>0</v>
      </c>
      <c r="AI37" s="256">
        <f>31700000</f>
        <v>31700000</v>
      </c>
      <c r="AJ37" s="257">
        <v>4.9500000000000002E-2</v>
      </c>
      <c r="AK37" s="241">
        <f t="shared" si="11"/>
        <v>4358.75</v>
      </c>
      <c r="AL37" s="256"/>
      <c r="AM37" s="257"/>
      <c r="AN37" s="241">
        <f t="shared" si="12"/>
        <v>0</v>
      </c>
      <c r="AO37" s="256"/>
      <c r="AP37" s="257"/>
      <c r="AQ37" s="241">
        <f t="shared" si="13"/>
        <v>0</v>
      </c>
      <c r="AR37" s="256"/>
      <c r="AS37" s="257"/>
      <c r="AT37" s="241">
        <f t="shared" si="14"/>
        <v>0</v>
      </c>
      <c r="AW37" s="241">
        <f t="shared" si="15"/>
        <v>0</v>
      </c>
      <c r="AZ37" s="241">
        <f t="shared" si="16"/>
        <v>0</v>
      </c>
      <c r="BC37" s="241">
        <f t="shared" si="17"/>
        <v>0</v>
      </c>
      <c r="BF37" s="241">
        <f t="shared" si="18"/>
        <v>0</v>
      </c>
      <c r="BI37" s="241">
        <f t="shared" si="19"/>
        <v>0</v>
      </c>
      <c r="BL37" s="241">
        <f t="shared" si="20"/>
        <v>0</v>
      </c>
      <c r="BO37" s="241">
        <f t="shared" si="21"/>
        <v>0</v>
      </c>
      <c r="BR37" s="241">
        <f t="shared" si="22"/>
        <v>0</v>
      </c>
      <c r="BU37" s="241">
        <f t="shared" si="23"/>
        <v>0</v>
      </c>
      <c r="BX37" s="241">
        <f t="shared" si="24"/>
        <v>0</v>
      </c>
      <c r="CA37" s="241">
        <f t="shared" si="25"/>
        <v>0</v>
      </c>
      <c r="CD37" s="241">
        <f t="shared" si="26"/>
        <v>0</v>
      </c>
      <c r="CG37" s="241">
        <f t="shared" si="27"/>
        <v>0</v>
      </c>
      <c r="CJ37" s="241">
        <f t="shared" si="28"/>
        <v>0</v>
      </c>
      <c r="CM37" s="241">
        <f t="shared" si="29"/>
        <v>0</v>
      </c>
      <c r="CP37" s="241">
        <f t="shared" si="30"/>
        <v>0</v>
      </c>
      <c r="CS37" s="241">
        <f t="shared" si="31"/>
        <v>0</v>
      </c>
      <c r="CV37" s="241">
        <f t="shared" si="32"/>
        <v>0</v>
      </c>
      <c r="CY37" s="241">
        <f t="shared" si="33"/>
        <v>0</v>
      </c>
      <c r="DB37" s="241">
        <f t="shared" si="34"/>
        <v>0</v>
      </c>
      <c r="DE37" s="241">
        <f t="shared" si="35"/>
        <v>0</v>
      </c>
      <c r="DH37" s="241">
        <f t="shared" si="36"/>
        <v>0</v>
      </c>
      <c r="DK37" s="241">
        <f t="shared" si="37"/>
        <v>0</v>
      </c>
      <c r="DN37" s="241">
        <f t="shared" si="38"/>
        <v>0</v>
      </c>
      <c r="DQ37" s="241">
        <f t="shared" si="39"/>
        <v>0</v>
      </c>
      <c r="DT37" s="241">
        <f t="shared" si="40"/>
        <v>0</v>
      </c>
      <c r="DW37" s="241">
        <f t="shared" si="41"/>
        <v>0</v>
      </c>
      <c r="DZ37" s="241"/>
      <c r="EA37" s="241"/>
      <c r="EB37" s="261">
        <f t="shared" si="42"/>
        <v>86800000</v>
      </c>
      <c r="EC37" s="261">
        <f t="shared" si="43"/>
        <v>55100000</v>
      </c>
      <c r="ED37" s="241">
        <f t="shared" si="44"/>
        <v>11628.888888888889</v>
      </c>
      <c r="EE37" s="242">
        <f t="shared" si="45"/>
        <v>4.8230414746543784E-2</v>
      </c>
      <c r="EG37" s="261">
        <f t="shared" si="46"/>
        <v>0</v>
      </c>
      <c r="EH37" s="241">
        <f t="shared" si="47"/>
        <v>0</v>
      </c>
      <c r="EI37" s="242">
        <f t="shared" si="48"/>
        <v>0</v>
      </c>
      <c r="EJ37" s="242"/>
      <c r="EK37" s="261">
        <f t="shared" si="49"/>
        <v>31700000</v>
      </c>
      <c r="EL37" s="261">
        <f t="shared" si="50"/>
        <v>0</v>
      </c>
      <c r="EM37" s="261">
        <f t="shared" si="51"/>
        <v>4358.75</v>
      </c>
      <c r="EN37" s="242">
        <f t="shared" si="52"/>
        <v>4.9500000000000002E-2</v>
      </c>
      <c r="EP37" s="241"/>
    </row>
    <row r="38" spans="1:146" x14ac:dyDescent="0.25">
      <c r="A38" s="255">
        <f t="shared" si="53"/>
        <v>45593</v>
      </c>
      <c r="B38" s="241">
        <v>37550000</v>
      </c>
      <c r="C38" s="242">
        <v>4.7100000000000003E-2</v>
      </c>
      <c r="D38" s="241">
        <f t="shared" si="2"/>
        <v>4912.791666666667</v>
      </c>
      <c r="G38" s="241">
        <f t="shared" si="3"/>
        <v>0</v>
      </c>
      <c r="J38" s="241">
        <f t="shared" si="4"/>
        <v>0</v>
      </c>
      <c r="M38" s="241">
        <f t="shared" si="5"/>
        <v>0</v>
      </c>
      <c r="P38" s="241">
        <f t="shared" si="6"/>
        <v>0</v>
      </c>
      <c r="S38" s="241">
        <f t="shared" si="7"/>
        <v>0</v>
      </c>
      <c r="V38" s="241">
        <f t="shared" si="8"/>
        <v>0</v>
      </c>
      <c r="Y38" s="241">
        <f t="shared" si="9"/>
        <v>0</v>
      </c>
      <c r="AB38" s="241">
        <f t="shared" si="10"/>
        <v>0</v>
      </c>
      <c r="AE38" s="241">
        <v>0</v>
      </c>
      <c r="AH38" s="241">
        <v>0</v>
      </c>
      <c r="AI38" s="256">
        <v>66325000</v>
      </c>
      <c r="AJ38" s="257">
        <v>4.9500000000000002E-2</v>
      </c>
      <c r="AK38" s="241">
        <f t="shared" si="11"/>
        <v>9119.6875</v>
      </c>
      <c r="AL38" s="256"/>
      <c r="AM38" s="257"/>
      <c r="AN38" s="241">
        <f t="shared" si="12"/>
        <v>0</v>
      </c>
      <c r="AO38" s="256"/>
      <c r="AP38" s="257"/>
      <c r="AQ38" s="241">
        <f t="shared" si="13"/>
        <v>0</v>
      </c>
      <c r="AR38" s="256"/>
      <c r="AS38" s="257"/>
      <c r="AT38" s="241">
        <f t="shared" si="14"/>
        <v>0</v>
      </c>
      <c r="AW38" s="241">
        <f t="shared" si="15"/>
        <v>0</v>
      </c>
      <c r="AZ38" s="241">
        <f t="shared" si="16"/>
        <v>0</v>
      </c>
      <c r="BC38" s="241">
        <f t="shared" si="17"/>
        <v>0</v>
      </c>
      <c r="BF38" s="241">
        <f t="shared" si="18"/>
        <v>0</v>
      </c>
      <c r="BI38" s="241">
        <f t="shared" si="19"/>
        <v>0</v>
      </c>
      <c r="BL38" s="241">
        <f t="shared" si="20"/>
        <v>0</v>
      </c>
      <c r="BO38" s="241">
        <f t="shared" si="21"/>
        <v>0</v>
      </c>
      <c r="BR38" s="241">
        <f t="shared" si="22"/>
        <v>0</v>
      </c>
      <c r="BU38" s="241">
        <f t="shared" si="23"/>
        <v>0</v>
      </c>
      <c r="BX38" s="241">
        <f t="shared" si="24"/>
        <v>0</v>
      </c>
      <c r="CA38" s="241">
        <f t="shared" si="25"/>
        <v>0</v>
      </c>
      <c r="CD38" s="241">
        <f t="shared" si="26"/>
        <v>0</v>
      </c>
      <c r="CG38" s="241">
        <f t="shared" si="27"/>
        <v>0</v>
      </c>
      <c r="CJ38" s="241">
        <f t="shared" si="28"/>
        <v>0</v>
      </c>
      <c r="CM38" s="241">
        <f t="shared" si="29"/>
        <v>0</v>
      </c>
      <c r="CP38" s="241">
        <f t="shared" si="30"/>
        <v>0</v>
      </c>
      <c r="CS38" s="241">
        <f t="shared" si="31"/>
        <v>0</v>
      </c>
      <c r="CV38" s="241">
        <f t="shared" si="32"/>
        <v>0</v>
      </c>
      <c r="CY38" s="241">
        <f t="shared" si="33"/>
        <v>0</v>
      </c>
      <c r="DB38" s="241">
        <f t="shared" si="34"/>
        <v>0</v>
      </c>
      <c r="DE38" s="241">
        <f t="shared" si="35"/>
        <v>0</v>
      </c>
      <c r="DH38" s="241">
        <f t="shared" si="36"/>
        <v>0</v>
      </c>
      <c r="DK38" s="241">
        <f t="shared" si="37"/>
        <v>0</v>
      </c>
      <c r="DN38" s="241">
        <f t="shared" si="38"/>
        <v>0</v>
      </c>
      <c r="DQ38" s="241">
        <f t="shared" si="39"/>
        <v>0</v>
      </c>
      <c r="DT38" s="241">
        <f t="shared" si="40"/>
        <v>0</v>
      </c>
      <c r="DW38" s="241">
        <f t="shared" si="41"/>
        <v>0</v>
      </c>
      <c r="DZ38" s="241"/>
      <c r="EA38" s="241"/>
      <c r="EB38" s="261">
        <f t="shared" si="42"/>
        <v>103875000</v>
      </c>
      <c r="EC38" s="261">
        <f t="shared" si="43"/>
        <v>37550000</v>
      </c>
      <c r="ED38" s="241">
        <f t="shared" si="44"/>
        <v>14032.479166666668</v>
      </c>
      <c r="EE38" s="242">
        <f t="shared" si="45"/>
        <v>4.8632418772563184E-2</v>
      </c>
      <c r="EG38" s="261">
        <f t="shared" si="46"/>
        <v>0</v>
      </c>
      <c r="EH38" s="241">
        <f t="shared" si="47"/>
        <v>0</v>
      </c>
      <c r="EI38" s="242">
        <f t="shared" si="48"/>
        <v>0</v>
      </c>
      <c r="EJ38" s="242"/>
      <c r="EK38" s="261">
        <f t="shared" si="49"/>
        <v>66325000</v>
      </c>
      <c r="EL38" s="261">
        <f t="shared" si="50"/>
        <v>0</v>
      </c>
      <c r="EM38" s="261">
        <f t="shared" si="51"/>
        <v>9119.6875</v>
      </c>
      <c r="EN38" s="242">
        <f t="shared" si="52"/>
        <v>4.9500000000000002E-2</v>
      </c>
      <c r="EP38" s="241"/>
    </row>
    <row r="39" spans="1:146" x14ac:dyDescent="0.25">
      <c r="A39" s="255">
        <f t="shared" si="53"/>
        <v>45594</v>
      </c>
      <c r="B39" s="241">
        <v>52450000</v>
      </c>
      <c r="C39" s="242">
        <v>4.7100000000000003E-2</v>
      </c>
      <c r="D39" s="241">
        <f t="shared" si="2"/>
        <v>6862.208333333333</v>
      </c>
      <c r="G39" s="241">
        <f t="shared" si="3"/>
        <v>0</v>
      </c>
      <c r="J39" s="241">
        <f t="shared" si="4"/>
        <v>0</v>
      </c>
      <c r="M39" s="241">
        <f t="shared" si="5"/>
        <v>0</v>
      </c>
      <c r="P39" s="241">
        <f t="shared" si="6"/>
        <v>0</v>
      </c>
      <c r="S39" s="241">
        <f t="shared" si="7"/>
        <v>0</v>
      </c>
      <c r="V39" s="241">
        <f t="shared" si="8"/>
        <v>0</v>
      </c>
      <c r="Y39" s="241">
        <f t="shared" si="9"/>
        <v>0</v>
      </c>
      <c r="AB39" s="241">
        <f t="shared" si="10"/>
        <v>0</v>
      </c>
      <c r="AE39" s="241">
        <v>0</v>
      </c>
      <c r="AH39" s="241">
        <v>0</v>
      </c>
      <c r="AI39" s="256">
        <f>34400000</f>
        <v>34400000</v>
      </c>
      <c r="AJ39" s="257">
        <v>4.9500000000000002E-2</v>
      </c>
      <c r="AK39" s="241">
        <f t="shared" si="11"/>
        <v>4730</v>
      </c>
      <c r="AL39" s="256"/>
      <c r="AM39" s="257"/>
      <c r="AN39" s="241">
        <f t="shared" si="12"/>
        <v>0</v>
      </c>
      <c r="AO39" s="256"/>
      <c r="AP39" s="257"/>
      <c r="AQ39" s="241">
        <f t="shared" si="13"/>
        <v>0</v>
      </c>
      <c r="AR39" s="256"/>
      <c r="AS39" s="257"/>
      <c r="AT39" s="241">
        <f t="shared" si="14"/>
        <v>0</v>
      </c>
      <c r="AW39" s="241">
        <f t="shared" si="15"/>
        <v>0</v>
      </c>
      <c r="AZ39" s="241">
        <f t="shared" si="16"/>
        <v>0</v>
      </c>
      <c r="BC39" s="241">
        <f t="shared" si="17"/>
        <v>0</v>
      </c>
      <c r="BF39" s="241">
        <f t="shared" si="18"/>
        <v>0</v>
      </c>
      <c r="BI39" s="241">
        <f t="shared" si="19"/>
        <v>0</v>
      </c>
      <c r="BL39" s="241">
        <f t="shared" si="20"/>
        <v>0</v>
      </c>
      <c r="BO39" s="241">
        <f t="shared" si="21"/>
        <v>0</v>
      </c>
      <c r="BR39" s="241">
        <f t="shared" si="22"/>
        <v>0</v>
      </c>
      <c r="BU39" s="241">
        <f t="shared" si="23"/>
        <v>0</v>
      </c>
      <c r="BX39" s="241">
        <f t="shared" si="24"/>
        <v>0</v>
      </c>
      <c r="CA39" s="241">
        <f t="shared" si="25"/>
        <v>0</v>
      </c>
      <c r="CD39" s="241">
        <f t="shared" si="26"/>
        <v>0</v>
      </c>
      <c r="CG39" s="241">
        <f t="shared" si="27"/>
        <v>0</v>
      </c>
      <c r="CJ39" s="241">
        <f t="shared" si="28"/>
        <v>0</v>
      </c>
      <c r="CM39" s="241">
        <f t="shared" si="29"/>
        <v>0</v>
      </c>
      <c r="CP39" s="241">
        <f t="shared" si="30"/>
        <v>0</v>
      </c>
      <c r="CS39" s="241">
        <f t="shared" si="31"/>
        <v>0</v>
      </c>
      <c r="CV39" s="241">
        <f t="shared" si="32"/>
        <v>0</v>
      </c>
      <c r="CY39" s="241">
        <f t="shared" si="33"/>
        <v>0</v>
      </c>
      <c r="DB39" s="241">
        <f t="shared" si="34"/>
        <v>0</v>
      </c>
      <c r="DE39" s="241">
        <f t="shared" si="35"/>
        <v>0</v>
      </c>
      <c r="DH39" s="241">
        <f t="shared" si="36"/>
        <v>0</v>
      </c>
      <c r="DK39" s="241">
        <f t="shared" si="37"/>
        <v>0</v>
      </c>
      <c r="DN39" s="241">
        <f t="shared" si="38"/>
        <v>0</v>
      </c>
      <c r="DQ39" s="241">
        <f t="shared" si="39"/>
        <v>0</v>
      </c>
      <c r="DT39" s="241">
        <f t="shared" si="40"/>
        <v>0</v>
      </c>
      <c r="DW39" s="241">
        <f t="shared" si="41"/>
        <v>0</v>
      </c>
      <c r="DZ39" s="241"/>
      <c r="EA39" s="241"/>
      <c r="EB39" s="261">
        <f t="shared" si="42"/>
        <v>86850000</v>
      </c>
      <c r="EC39" s="261">
        <f t="shared" si="43"/>
        <v>52450000</v>
      </c>
      <c r="ED39" s="241">
        <f t="shared" si="44"/>
        <v>11592.208333333332</v>
      </c>
      <c r="EE39" s="242">
        <f t="shared" si="45"/>
        <v>4.8050604490500859E-2</v>
      </c>
      <c r="EG39" s="261">
        <f t="shared" si="46"/>
        <v>0</v>
      </c>
      <c r="EH39" s="241">
        <f t="shared" si="47"/>
        <v>0</v>
      </c>
      <c r="EI39" s="242">
        <f t="shared" si="48"/>
        <v>0</v>
      </c>
      <c r="EJ39" s="242"/>
      <c r="EK39" s="261">
        <f t="shared" si="49"/>
        <v>34400000</v>
      </c>
      <c r="EL39" s="261">
        <f t="shared" si="50"/>
        <v>0</v>
      </c>
      <c r="EM39" s="261">
        <f t="shared" si="51"/>
        <v>4730</v>
      </c>
      <c r="EN39" s="242">
        <f t="shared" si="52"/>
        <v>4.9500000000000002E-2</v>
      </c>
      <c r="EP39" s="241"/>
    </row>
    <row r="40" spans="1:146" x14ac:dyDescent="0.25">
      <c r="A40" s="255">
        <f t="shared" si="53"/>
        <v>45595</v>
      </c>
      <c r="B40" s="241">
        <v>54675000</v>
      </c>
      <c r="C40" s="242">
        <v>4.7100000000000003E-2</v>
      </c>
      <c r="D40" s="241">
        <f t="shared" si="2"/>
        <v>7153.3125</v>
      </c>
      <c r="G40" s="241">
        <f t="shared" si="3"/>
        <v>0</v>
      </c>
      <c r="J40" s="241">
        <f t="shared" si="4"/>
        <v>0</v>
      </c>
      <c r="M40" s="241">
        <f t="shared" si="5"/>
        <v>0</v>
      </c>
      <c r="P40" s="241">
        <f t="shared" si="6"/>
        <v>0</v>
      </c>
      <c r="S40" s="241">
        <f t="shared" si="7"/>
        <v>0</v>
      </c>
      <c r="V40" s="241">
        <f t="shared" si="8"/>
        <v>0</v>
      </c>
      <c r="Y40" s="241">
        <f t="shared" si="9"/>
        <v>0</v>
      </c>
      <c r="AB40" s="241">
        <f t="shared" si="10"/>
        <v>0</v>
      </c>
      <c r="AE40" s="241">
        <v>0</v>
      </c>
      <c r="AH40" s="241">
        <v>0</v>
      </c>
      <c r="AI40" s="256">
        <f>70000000+65000000+86575000+40000000</f>
        <v>261575000</v>
      </c>
      <c r="AJ40" s="257">
        <v>4.9500000000000002E-2</v>
      </c>
      <c r="AK40" s="241">
        <f t="shared" si="11"/>
        <v>35966.5625</v>
      </c>
      <c r="AL40" s="256"/>
      <c r="AM40" s="257"/>
      <c r="AN40" s="241">
        <f t="shared" si="12"/>
        <v>0</v>
      </c>
      <c r="AO40" s="256"/>
      <c r="AP40" s="257"/>
      <c r="AQ40" s="241">
        <f t="shared" si="13"/>
        <v>0</v>
      </c>
      <c r="AR40" s="256"/>
      <c r="AS40" s="257"/>
      <c r="AT40" s="241">
        <f t="shared" si="14"/>
        <v>0</v>
      </c>
      <c r="AW40" s="241">
        <f t="shared" si="15"/>
        <v>0</v>
      </c>
      <c r="AZ40" s="241">
        <f t="shared" si="16"/>
        <v>0</v>
      </c>
      <c r="BC40" s="241">
        <f t="shared" si="17"/>
        <v>0</v>
      </c>
      <c r="BF40" s="241">
        <f t="shared" si="18"/>
        <v>0</v>
      </c>
      <c r="BI40" s="241">
        <f t="shared" si="19"/>
        <v>0</v>
      </c>
      <c r="BL40" s="241">
        <f t="shared" si="20"/>
        <v>0</v>
      </c>
      <c r="BO40" s="241">
        <f t="shared" si="21"/>
        <v>0</v>
      </c>
      <c r="BR40" s="241">
        <f t="shared" si="22"/>
        <v>0</v>
      </c>
      <c r="BU40" s="241">
        <f t="shared" si="23"/>
        <v>0</v>
      </c>
      <c r="BX40" s="241">
        <f t="shared" si="24"/>
        <v>0</v>
      </c>
      <c r="CA40" s="241">
        <f t="shared" si="25"/>
        <v>0</v>
      </c>
      <c r="CD40" s="241">
        <f t="shared" si="26"/>
        <v>0</v>
      </c>
      <c r="CG40" s="241">
        <f t="shared" si="27"/>
        <v>0</v>
      </c>
      <c r="CJ40" s="241">
        <f t="shared" si="28"/>
        <v>0</v>
      </c>
      <c r="CM40" s="241">
        <f t="shared" si="29"/>
        <v>0</v>
      </c>
      <c r="CP40" s="241">
        <f t="shared" si="30"/>
        <v>0</v>
      </c>
      <c r="CS40" s="241">
        <f t="shared" si="31"/>
        <v>0</v>
      </c>
      <c r="CV40" s="241">
        <f t="shared" si="32"/>
        <v>0</v>
      </c>
      <c r="CY40" s="241">
        <f t="shared" si="33"/>
        <v>0</v>
      </c>
      <c r="DB40" s="241">
        <f t="shared" si="34"/>
        <v>0</v>
      </c>
      <c r="DE40" s="241">
        <f t="shared" si="35"/>
        <v>0</v>
      </c>
      <c r="DH40" s="241">
        <f t="shared" si="36"/>
        <v>0</v>
      </c>
      <c r="DK40" s="241">
        <f t="shared" si="37"/>
        <v>0</v>
      </c>
      <c r="DN40" s="241">
        <f t="shared" si="38"/>
        <v>0</v>
      </c>
      <c r="DQ40" s="241">
        <f t="shared" si="39"/>
        <v>0</v>
      </c>
      <c r="DT40" s="241">
        <f t="shared" si="40"/>
        <v>0</v>
      </c>
      <c r="DW40" s="241">
        <f t="shared" si="41"/>
        <v>0</v>
      </c>
      <c r="DZ40" s="241"/>
      <c r="EA40" s="241"/>
      <c r="EB40" s="261">
        <f t="shared" si="42"/>
        <v>316250000</v>
      </c>
      <c r="EC40" s="261">
        <f t="shared" si="43"/>
        <v>54675000</v>
      </c>
      <c r="ED40" s="241">
        <f t="shared" si="44"/>
        <v>43119.875</v>
      </c>
      <c r="EE40" s="242">
        <f t="shared" si="45"/>
        <v>4.9085075098814226E-2</v>
      </c>
      <c r="EG40" s="261">
        <f t="shared" si="46"/>
        <v>0</v>
      </c>
      <c r="EH40" s="241">
        <f t="shared" si="47"/>
        <v>0</v>
      </c>
      <c r="EI40" s="242">
        <f t="shared" si="48"/>
        <v>0</v>
      </c>
      <c r="EJ40" s="242"/>
      <c r="EK40" s="261">
        <f t="shared" si="49"/>
        <v>261575000</v>
      </c>
      <c r="EL40" s="261">
        <f t="shared" si="50"/>
        <v>0</v>
      </c>
      <c r="EM40" s="261">
        <f t="shared" si="51"/>
        <v>35966.5625</v>
      </c>
      <c r="EN40" s="242">
        <f t="shared" si="52"/>
        <v>4.9500000000000002E-2</v>
      </c>
      <c r="EP40" s="241"/>
    </row>
    <row r="41" spans="1:146" x14ac:dyDescent="0.25">
      <c r="A41" s="255">
        <f t="shared" si="53"/>
        <v>45596</v>
      </c>
      <c r="B41" s="241">
        <v>48150000</v>
      </c>
      <c r="C41" s="242">
        <v>4.7100000000000003E-2</v>
      </c>
      <c r="D41" s="241">
        <f t="shared" si="2"/>
        <v>6299.625</v>
      </c>
      <c r="G41" s="241">
        <f t="shared" si="3"/>
        <v>0</v>
      </c>
      <c r="J41" s="241">
        <f t="shared" si="4"/>
        <v>0</v>
      </c>
      <c r="M41" s="241">
        <f t="shared" si="5"/>
        <v>0</v>
      </c>
      <c r="P41" s="241">
        <f t="shared" si="6"/>
        <v>0</v>
      </c>
      <c r="S41" s="241">
        <f t="shared" si="7"/>
        <v>0</v>
      </c>
      <c r="V41" s="241">
        <f t="shared" si="8"/>
        <v>0</v>
      </c>
      <c r="Y41" s="241">
        <f t="shared" si="9"/>
        <v>0</v>
      </c>
      <c r="AB41" s="241">
        <f t="shared" si="10"/>
        <v>0</v>
      </c>
      <c r="AE41" s="241">
        <v>0</v>
      </c>
      <c r="AH41" s="241">
        <v>0</v>
      </c>
      <c r="AI41" s="256">
        <f>85000000+64550000</f>
        <v>149550000</v>
      </c>
      <c r="AJ41" s="257">
        <v>4.9500000000000002E-2</v>
      </c>
      <c r="AK41" s="241">
        <f t="shared" si="11"/>
        <v>20563.125</v>
      </c>
      <c r="AL41" s="256">
        <f>80000000+65000000</f>
        <v>145000000</v>
      </c>
      <c r="AM41" s="257">
        <v>5.0299999999999997E-2</v>
      </c>
      <c r="AN41" s="241">
        <f t="shared" si="12"/>
        <v>20259.722222222223</v>
      </c>
      <c r="AO41" s="256"/>
      <c r="AP41" s="257"/>
      <c r="AQ41" s="241">
        <f t="shared" si="13"/>
        <v>0</v>
      </c>
      <c r="AR41" s="256"/>
      <c r="AS41" s="257"/>
      <c r="AT41" s="241">
        <f t="shared" si="14"/>
        <v>0</v>
      </c>
      <c r="AW41" s="241">
        <f t="shared" si="15"/>
        <v>0</v>
      </c>
      <c r="AZ41" s="241">
        <f t="shared" si="16"/>
        <v>0</v>
      </c>
      <c r="BC41" s="241">
        <f t="shared" si="17"/>
        <v>0</v>
      </c>
      <c r="BF41" s="241">
        <f t="shared" si="18"/>
        <v>0</v>
      </c>
      <c r="BI41" s="241">
        <f t="shared" si="19"/>
        <v>0</v>
      </c>
      <c r="BL41" s="241">
        <f t="shared" si="20"/>
        <v>0</v>
      </c>
      <c r="BO41" s="241">
        <f t="shared" si="21"/>
        <v>0</v>
      </c>
      <c r="BR41" s="241">
        <f t="shared" si="22"/>
        <v>0</v>
      </c>
      <c r="BU41" s="241">
        <f t="shared" si="23"/>
        <v>0</v>
      </c>
      <c r="BX41" s="241">
        <f t="shared" si="24"/>
        <v>0</v>
      </c>
      <c r="CA41" s="241">
        <f t="shared" si="25"/>
        <v>0</v>
      </c>
      <c r="CD41" s="241">
        <f t="shared" si="26"/>
        <v>0</v>
      </c>
      <c r="CG41" s="241">
        <f t="shared" si="27"/>
        <v>0</v>
      </c>
      <c r="CJ41" s="241">
        <f t="shared" si="28"/>
        <v>0</v>
      </c>
      <c r="CM41" s="241">
        <f t="shared" si="29"/>
        <v>0</v>
      </c>
      <c r="CP41" s="241">
        <f t="shared" si="30"/>
        <v>0</v>
      </c>
      <c r="CS41" s="241">
        <f t="shared" si="31"/>
        <v>0</v>
      </c>
      <c r="CV41" s="241">
        <f t="shared" si="32"/>
        <v>0</v>
      </c>
      <c r="CY41" s="241">
        <f t="shared" si="33"/>
        <v>0</v>
      </c>
      <c r="DB41" s="241">
        <f t="shared" si="34"/>
        <v>0</v>
      </c>
      <c r="DE41" s="241">
        <f t="shared" si="35"/>
        <v>0</v>
      </c>
      <c r="DH41" s="241">
        <f t="shared" si="36"/>
        <v>0</v>
      </c>
      <c r="DK41" s="241">
        <f t="shared" si="37"/>
        <v>0</v>
      </c>
      <c r="DN41" s="241">
        <f t="shared" si="38"/>
        <v>0</v>
      </c>
      <c r="DQ41" s="241">
        <f t="shared" si="39"/>
        <v>0</v>
      </c>
      <c r="DT41" s="241">
        <f t="shared" si="40"/>
        <v>0</v>
      </c>
      <c r="DW41" s="241">
        <f t="shared" si="41"/>
        <v>0</v>
      </c>
      <c r="DZ41" s="241"/>
      <c r="EA41" s="241"/>
      <c r="EB41" s="261">
        <f t="shared" si="42"/>
        <v>342700000</v>
      </c>
      <c r="EC41" s="261">
        <f t="shared" si="43"/>
        <v>48150000</v>
      </c>
      <c r="ED41" s="241">
        <f t="shared" si="44"/>
        <v>47122.472222222219</v>
      </c>
      <c r="EE41" s="242">
        <f t="shared" si="45"/>
        <v>4.9501283921797486E-2</v>
      </c>
      <c r="EG41" s="261">
        <f t="shared" si="46"/>
        <v>0</v>
      </c>
      <c r="EH41" s="241">
        <f t="shared" si="47"/>
        <v>0</v>
      </c>
      <c r="EI41" s="242">
        <f t="shared" si="48"/>
        <v>0</v>
      </c>
      <c r="EJ41" s="242"/>
      <c r="EK41" s="261">
        <f t="shared" si="49"/>
        <v>294550000</v>
      </c>
      <c r="EL41" s="261">
        <f t="shared" si="50"/>
        <v>0</v>
      </c>
      <c r="EM41" s="261">
        <f t="shared" si="51"/>
        <v>40822.847222222219</v>
      </c>
      <c r="EN41" s="242">
        <f t="shared" si="52"/>
        <v>4.9893821083007973E-2</v>
      </c>
      <c r="EP41" s="241"/>
    </row>
    <row r="42" spans="1:146" x14ac:dyDescent="0.25">
      <c r="A42" s="276" t="s">
        <v>35</v>
      </c>
      <c r="D42" s="258">
        <f>SUM(D11:D41)</f>
        <v>158548.60815972221</v>
      </c>
      <c r="G42" s="258">
        <f>SUM(G11:G41)</f>
        <v>0</v>
      </c>
      <c r="J42" s="258">
        <f>SUM(J11:J41)</f>
        <v>0</v>
      </c>
      <c r="M42" s="258">
        <f>SUM(M11:M41)</f>
        <v>0</v>
      </c>
      <c r="P42" s="258">
        <f>SUM(P11:P41)</f>
        <v>0</v>
      </c>
      <c r="S42" s="258">
        <f>SUM(S11:S41)</f>
        <v>0</v>
      </c>
      <c r="V42" s="258">
        <f>SUM(V11:V41)</f>
        <v>0</v>
      </c>
      <c r="Y42" s="258">
        <f>SUM(Y11:Y41)</f>
        <v>0</v>
      </c>
      <c r="AB42" s="258">
        <f>SUM(AB11:AB41)</f>
        <v>0</v>
      </c>
      <c r="AE42" s="258">
        <f>SUM(AE11:AE41)</f>
        <v>0</v>
      </c>
      <c r="AH42" s="258">
        <f>SUM(AH11:AH41)</f>
        <v>0</v>
      </c>
      <c r="AK42" s="258">
        <f>SUM(AK11:AK41)</f>
        <v>264199.375</v>
      </c>
      <c r="AN42" s="258">
        <f>SUM(AN11:AN41)</f>
        <v>165218.05555555556</v>
      </c>
      <c r="AQ42" s="258">
        <f>SUM(AQ11:AQ41)</f>
        <v>175350</v>
      </c>
      <c r="AT42" s="258">
        <f>SUM(AT11:AT41)</f>
        <v>7569.4444444444443</v>
      </c>
      <c r="AW42" s="258">
        <f>SUM(AW11:AW41)</f>
        <v>102161.11111111111</v>
      </c>
      <c r="AZ42" s="258">
        <f>SUM(AZ11:AZ41)</f>
        <v>0</v>
      </c>
      <c r="BC42" s="258">
        <f>SUM(BC11:BC41)</f>
        <v>0</v>
      </c>
      <c r="BF42" s="258">
        <f>SUM(BF11:BF41)</f>
        <v>0</v>
      </c>
      <c r="BI42" s="258">
        <f>SUM(BI11:BI41)</f>
        <v>0</v>
      </c>
      <c r="BL42" s="258">
        <f>SUM(BL11:BL41)</f>
        <v>0</v>
      </c>
      <c r="BO42" s="258">
        <f>SUM(BO11:BO41)</f>
        <v>0</v>
      </c>
      <c r="BR42" s="258">
        <f>SUM(BR11:BR41)</f>
        <v>0</v>
      </c>
      <c r="BU42" s="258">
        <f>SUM(BU11:BU41)</f>
        <v>0</v>
      </c>
      <c r="BX42" s="258">
        <f>SUM(BX11:BX41)</f>
        <v>0</v>
      </c>
      <c r="CA42" s="258">
        <f>SUM(CA11:CA41)</f>
        <v>0</v>
      </c>
      <c r="CD42" s="258">
        <f>SUM(CD11:CD41)</f>
        <v>0</v>
      </c>
      <c r="CG42" s="258">
        <f>SUM(CG11:CG41)</f>
        <v>0</v>
      </c>
      <c r="CJ42" s="258">
        <f>SUM(CJ11:CJ41)</f>
        <v>0</v>
      </c>
      <c r="CM42" s="258">
        <f>SUM(CM11:CM41)</f>
        <v>0</v>
      </c>
      <c r="CP42" s="258">
        <f>SUM(CP11:CP41)</f>
        <v>0</v>
      </c>
      <c r="CS42" s="258">
        <f>SUM(CS11:CS41)</f>
        <v>0</v>
      </c>
      <c r="CV42" s="258">
        <f>SUM(CV11:CV41)</f>
        <v>0</v>
      </c>
      <c r="CY42" s="258">
        <f>SUM(CY11:CY41)</f>
        <v>0</v>
      </c>
      <c r="DB42" s="258">
        <f>SUM(DB11:DB41)</f>
        <v>0</v>
      </c>
      <c r="DE42" s="258">
        <f>SUM(DE11:DE41)</f>
        <v>0</v>
      </c>
      <c r="DH42" s="258">
        <f>SUM(DH11:DH41)</f>
        <v>0</v>
      </c>
      <c r="DK42" s="258">
        <f>SUM(DK11:DK41)</f>
        <v>0</v>
      </c>
      <c r="DN42" s="258">
        <f>SUM(DN11:DN41)</f>
        <v>0</v>
      </c>
      <c r="DQ42" s="258">
        <f>SUM(DQ11:DQ41)</f>
        <v>0</v>
      </c>
      <c r="DT42" s="258">
        <f>SUM(DT11:DT41)</f>
        <v>0</v>
      </c>
      <c r="DW42" s="258">
        <f>SUM(DW11:DW41)</f>
        <v>0</v>
      </c>
      <c r="DZ42" s="241"/>
      <c r="EA42" s="241"/>
      <c r="EB42" s="241"/>
      <c r="EC42" s="241"/>
      <c r="ED42" s="258">
        <f>SUM(ED11:ED41)</f>
        <v>873046.59427083354</v>
      </c>
      <c r="EE42" s="242"/>
      <c r="EG42" s="241"/>
      <c r="EH42" s="258">
        <f>SUM(EH11:EH41)</f>
        <v>0</v>
      </c>
      <c r="EI42" s="242"/>
      <c r="EJ42" s="242"/>
      <c r="EK42" s="241"/>
      <c r="EL42" s="241"/>
      <c r="EM42" s="258">
        <f>SUM(EM11:EM41)</f>
        <v>714497.98611111112</v>
      </c>
      <c r="EN42" s="242"/>
    </row>
    <row r="44" spans="1:146" x14ac:dyDescent="0.25">
      <c r="EM44" s="259"/>
    </row>
    <row r="45" spans="1:146" x14ac:dyDescent="0.25">
      <c r="EM45" s="241"/>
    </row>
    <row r="46" spans="1:146" x14ac:dyDescent="0.25">
      <c r="EM46" s="241"/>
    </row>
    <row r="48" spans="1:146" x14ac:dyDescent="0.25">
      <c r="EM48" s="241"/>
    </row>
  </sheetData>
  <pageMargins left="0.7" right="0.7" top="0.75" bottom="0.75" header="0.3" footer="0.3"/>
  <pageSetup scale="63" orientation="portrait" r:id="rId1"/>
  <headerFooter>
    <oddFooter>&amp;CSchedule RL-1</oddFooter>
  </headerFooter>
  <colBreaks count="4" manualBreakCount="4">
    <brk id="7" max="1048575" man="1"/>
    <brk id="43" max="1048575" man="1"/>
    <brk id="52" max="41" man="1"/>
    <brk id="130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/>
  <dimension ref="A1:EQ47"/>
  <sheetViews>
    <sheetView zoomScaleNormal="100" workbookViewId="0">
      <selection activeCell="B1" sqref="B1"/>
    </sheetView>
  </sheetViews>
  <sheetFormatPr defaultRowHeight="15" x14ac:dyDescent="0.25"/>
  <cols>
    <col min="1" max="1" width="14.5703125" style="175" bestFit="1" customWidth="1"/>
    <col min="2" max="2" width="17.7109375" style="241" customWidth="1"/>
    <col min="3" max="3" width="15.42578125" style="242" bestFit="1" customWidth="1"/>
    <col min="4" max="4" width="15.42578125" style="175" bestFit="1" customWidth="1"/>
    <col min="5" max="5" width="15.5703125" style="241" bestFit="1" customWidth="1"/>
    <col min="6" max="6" width="12.28515625" style="242" bestFit="1" customWidth="1"/>
    <col min="7" max="7" width="19" style="175" customWidth="1"/>
    <col min="8" max="8" width="15.42578125" style="241" hidden="1" customWidth="1"/>
    <col min="9" max="9" width="10.28515625" style="242" hidden="1" customWidth="1"/>
    <col min="10" max="10" width="13.42578125" style="175" hidden="1" customWidth="1"/>
    <col min="11" max="11" width="14.42578125" style="241" hidden="1" customWidth="1"/>
    <col min="12" max="12" width="10.28515625" style="242" hidden="1" customWidth="1"/>
    <col min="13" max="13" width="11.7109375" style="175" hidden="1" customWidth="1"/>
    <col min="14" max="14" width="14.42578125" style="241" hidden="1" customWidth="1"/>
    <col min="15" max="15" width="10.28515625" style="242" hidden="1" customWidth="1"/>
    <col min="16" max="16" width="11.7109375" style="175" hidden="1" customWidth="1"/>
    <col min="17" max="17" width="15.42578125" style="241" hidden="1" customWidth="1"/>
    <col min="18" max="18" width="10.28515625" style="242" hidden="1" customWidth="1"/>
    <col min="19" max="19" width="11.7109375" style="175" hidden="1" customWidth="1"/>
    <col min="20" max="20" width="15.42578125" style="241" hidden="1" customWidth="1"/>
    <col min="21" max="21" width="10.28515625" style="242" hidden="1" customWidth="1"/>
    <col min="22" max="22" width="11.7109375" style="175" hidden="1" customWidth="1"/>
    <col min="23" max="23" width="15.42578125" style="241" hidden="1" customWidth="1"/>
    <col min="24" max="24" width="10.28515625" style="242" hidden="1" customWidth="1"/>
    <col min="25" max="25" width="11.7109375" style="175" hidden="1" customWidth="1"/>
    <col min="26" max="26" width="15.42578125" style="241" hidden="1" customWidth="1"/>
    <col min="27" max="27" width="10.28515625" style="242" hidden="1" customWidth="1"/>
    <col min="28" max="28" width="11.7109375" style="175" hidden="1" customWidth="1"/>
    <col min="29" max="29" width="15.42578125" style="241" hidden="1" customWidth="1"/>
    <col min="30" max="30" width="10.28515625" style="242" hidden="1" customWidth="1"/>
    <col min="31" max="31" width="11.7109375" style="175" hidden="1" customWidth="1"/>
    <col min="32" max="32" width="14.42578125" style="241" hidden="1" customWidth="1"/>
    <col min="33" max="33" width="10.28515625" style="242" hidden="1" customWidth="1"/>
    <col min="34" max="34" width="10.7109375" style="175" hidden="1" customWidth="1"/>
    <col min="35" max="35" width="14.42578125" style="241" customWidth="1"/>
    <col min="36" max="36" width="13.5703125" style="242" customWidth="1"/>
    <col min="37" max="37" width="13.7109375" style="175" bestFit="1" customWidth="1"/>
    <col min="38" max="38" width="14.42578125" style="241" customWidth="1"/>
    <col min="39" max="39" width="12.85546875" style="242" customWidth="1"/>
    <col min="40" max="40" width="14.140625" style="175" bestFit="1" customWidth="1"/>
    <col min="41" max="41" width="15.42578125" style="241" bestFit="1" customWidth="1"/>
    <col min="42" max="42" width="12.28515625" style="242" bestFit="1" customWidth="1"/>
    <col min="43" max="43" width="13.7109375" style="175" bestFit="1" customWidth="1"/>
    <col min="44" max="44" width="15.42578125" style="241" bestFit="1" customWidth="1"/>
    <col min="45" max="45" width="13.140625" style="242" customWidth="1"/>
    <col min="46" max="46" width="13" style="175" bestFit="1" customWidth="1"/>
    <col min="47" max="47" width="14.42578125" style="241" customWidth="1"/>
    <col min="48" max="48" width="10.28515625" style="242" customWidth="1"/>
    <col min="49" max="49" width="10.7109375" style="175" customWidth="1"/>
    <col min="50" max="50" width="14.42578125" style="241" customWidth="1"/>
    <col min="51" max="51" width="10.28515625" style="242" customWidth="1"/>
    <col min="52" max="52" width="10.7109375" style="175" customWidth="1"/>
    <col min="53" max="53" width="14.42578125" style="241" customWidth="1"/>
    <col min="54" max="54" width="10.28515625" style="242" customWidth="1"/>
    <col min="55" max="55" width="10.7109375" style="175" customWidth="1"/>
    <col min="56" max="56" width="14.42578125" style="241" customWidth="1"/>
    <col min="57" max="57" width="10.28515625" style="242" customWidth="1"/>
    <col min="58" max="58" width="10.7109375" style="175" customWidth="1"/>
    <col min="59" max="59" width="14.42578125" style="241" customWidth="1"/>
    <col min="60" max="60" width="10.28515625" style="242" customWidth="1"/>
    <col min="61" max="61" width="10.7109375" style="175" customWidth="1"/>
    <col min="62" max="62" width="14.42578125" style="241" customWidth="1"/>
    <col min="63" max="63" width="10.28515625" style="242" customWidth="1"/>
    <col min="64" max="64" width="10.7109375" style="175" customWidth="1"/>
    <col min="65" max="65" width="14.42578125" style="241" hidden="1" customWidth="1"/>
    <col min="66" max="66" width="10.28515625" style="242" hidden="1" customWidth="1"/>
    <col min="67" max="67" width="10.7109375" style="175" hidden="1" customWidth="1"/>
    <col min="68" max="68" width="14.42578125" style="241" hidden="1" customWidth="1"/>
    <col min="69" max="69" width="10.28515625" style="242" hidden="1" customWidth="1"/>
    <col min="70" max="70" width="10.7109375" style="175" hidden="1" customWidth="1"/>
    <col min="71" max="71" width="14.42578125" style="241" hidden="1" customWidth="1"/>
    <col min="72" max="72" width="10.28515625" style="242" hidden="1" customWidth="1"/>
    <col min="73" max="73" width="10.7109375" style="175" hidden="1" customWidth="1"/>
    <col min="74" max="74" width="14.42578125" style="241" hidden="1" customWidth="1"/>
    <col min="75" max="75" width="10.28515625" style="242" hidden="1" customWidth="1"/>
    <col min="76" max="76" width="10.7109375" style="175" hidden="1" customWidth="1"/>
    <col min="77" max="77" width="14.42578125" style="241" hidden="1" customWidth="1"/>
    <col min="78" max="78" width="10.28515625" style="242" hidden="1" customWidth="1"/>
    <col min="79" max="79" width="10.7109375" style="175" hidden="1" customWidth="1"/>
    <col min="80" max="80" width="14.42578125" style="241" hidden="1" customWidth="1"/>
    <col min="81" max="81" width="10.28515625" style="242" hidden="1" customWidth="1"/>
    <col min="82" max="82" width="10.7109375" style="175" hidden="1" customWidth="1"/>
    <col min="83" max="83" width="14.42578125" style="241" hidden="1" customWidth="1"/>
    <col min="84" max="84" width="10.28515625" style="242" hidden="1" customWidth="1"/>
    <col min="85" max="85" width="10.7109375" style="175" hidden="1" customWidth="1"/>
    <col min="86" max="86" width="14.42578125" style="241" hidden="1" customWidth="1"/>
    <col min="87" max="87" width="10.28515625" style="242" hidden="1" customWidth="1"/>
    <col min="88" max="88" width="10.7109375" style="175" hidden="1" customWidth="1"/>
    <col min="89" max="89" width="14.42578125" style="241" hidden="1" customWidth="1"/>
    <col min="90" max="90" width="10.28515625" style="242" hidden="1" customWidth="1"/>
    <col min="91" max="91" width="10.7109375" style="175" hidden="1" customWidth="1"/>
    <col min="92" max="92" width="14.42578125" style="241" hidden="1" customWidth="1"/>
    <col min="93" max="93" width="10.28515625" style="242" hidden="1" customWidth="1"/>
    <col min="94" max="94" width="10.7109375" style="175" hidden="1" customWidth="1"/>
    <col min="95" max="95" width="14.42578125" style="241" hidden="1" customWidth="1"/>
    <col min="96" max="96" width="10.28515625" style="242" hidden="1" customWidth="1"/>
    <col min="97" max="97" width="10.7109375" style="175" hidden="1" customWidth="1"/>
    <col min="98" max="98" width="14.42578125" style="241" hidden="1" customWidth="1"/>
    <col min="99" max="99" width="10.28515625" style="242" hidden="1" customWidth="1"/>
    <col min="100" max="100" width="10.7109375" style="175" hidden="1" customWidth="1"/>
    <col min="101" max="101" width="14.42578125" style="241" hidden="1" customWidth="1"/>
    <col min="102" max="102" width="10.28515625" style="242" hidden="1" customWidth="1"/>
    <col min="103" max="103" width="10.7109375" style="175" hidden="1" customWidth="1"/>
    <col min="104" max="104" width="14.42578125" style="241" hidden="1" customWidth="1"/>
    <col min="105" max="105" width="10.28515625" style="242" hidden="1" customWidth="1"/>
    <col min="106" max="106" width="10.7109375" style="175" hidden="1" customWidth="1"/>
    <col min="107" max="107" width="14.42578125" style="241" hidden="1" customWidth="1"/>
    <col min="108" max="108" width="10.28515625" style="242" hidden="1" customWidth="1"/>
    <col min="109" max="109" width="10.7109375" style="175" hidden="1" customWidth="1"/>
    <col min="110" max="110" width="14.42578125" style="241" hidden="1" customWidth="1"/>
    <col min="111" max="111" width="10.28515625" style="242" hidden="1" customWidth="1"/>
    <col min="112" max="112" width="10.7109375" style="175" hidden="1" customWidth="1"/>
    <col min="113" max="113" width="14.42578125" style="241" hidden="1" customWidth="1"/>
    <col min="114" max="114" width="10.28515625" style="242" hidden="1" customWidth="1"/>
    <col min="115" max="115" width="10.7109375" style="175" hidden="1" customWidth="1"/>
    <col min="116" max="116" width="14.42578125" style="241" hidden="1" customWidth="1"/>
    <col min="117" max="117" width="10.28515625" style="242" hidden="1" customWidth="1"/>
    <col min="118" max="118" width="10.7109375" style="175" hidden="1" customWidth="1"/>
    <col min="119" max="119" width="14.42578125" style="241" hidden="1" customWidth="1"/>
    <col min="120" max="120" width="10.28515625" style="242" hidden="1" customWidth="1"/>
    <col min="121" max="121" width="10.7109375" style="175" hidden="1" customWidth="1"/>
    <col min="122" max="122" width="14.42578125" style="241" hidden="1" customWidth="1"/>
    <col min="123" max="123" width="10.28515625" style="242" hidden="1" customWidth="1"/>
    <col min="124" max="124" width="10.7109375" style="175" hidden="1" customWidth="1"/>
    <col min="125" max="125" width="14.42578125" style="241" hidden="1" customWidth="1"/>
    <col min="126" max="126" width="10.28515625" style="242" hidden="1" customWidth="1"/>
    <col min="127" max="127" width="10.7109375" style="175" hidden="1" customWidth="1"/>
    <col min="128" max="128" width="14.42578125" style="241" hidden="1" customWidth="1"/>
    <col min="129" max="129" width="10.28515625" style="242" hidden="1" customWidth="1"/>
    <col min="130" max="130" width="10.7109375" style="175" hidden="1" customWidth="1"/>
    <col min="131" max="131" width="2.7109375" style="175" customWidth="1"/>
    <col min="132" max="132" width="18" style="175" customWidth="1"/>
    <col min="133" max="133" width="15.42578125" style="175" hidden="1" customWidth="1"/>
    <col min="134" max="134" width="14.42578125" style="175" bestFit="1" customWidth="1"/>
    <col min="135" max="135" width="21" style="175" customWidth="1"/>
    <col min="136" max="136" width="2.7109375" style="175" customWidth="1"/>
    <col min="137" max="137" width="15.42578125" style="175" hidden="1" customWidth="1"/>
    <col min="138" max="138" width="14.42578125" style="175" hidden="1" customWidth="1"/>
    <col min="139" max="139" width="12.42578125" style="175" hidden="1" customWidth="1"/>
    <col min="140" max="140" width="2.7109375" style="175" hidden="1" customWidth="1"/>
    <col min="141" max="141" width="20.42578125" style="175" customWidth="1"/>
    <col min="142" max="142" width="15.42578125" style="175" hidden="1" customWidth="1"/>
    <col min="143" max="143" width="14.42578125" style="175" bestFit="1" customWidth="1"/>
    <col min="144" max="144" width="18.7109375" style="175" customWidth="1"/>
    <col min="145" max="145" width="42.85546875" style="175" bestFit="1" customWidth="1"/>
    <col min="146" max="146" width="19.42578125" style="175" bestFit="1" customWidth="1"/>
    <col min="147" max="147" width="29.5703125" style="175" customWidth="1"/>
    <col min="148" max="16384" width="9.140625" style="175"/>
  </cols>
  <sheetData>
    <row r="1" spans="1:147" s="202" customFormat="1" x14ac:dyDescent="0.25">
      <c r="A1" s="260" t="s">
        <v>0</v>
      </c>
      <c r="B1" s="261"/>
      <c r="C1" s="262"/>
      <c r="E1" s="261"/>
      <c r="F1" s="262"/>
      <c r="H1" s="261"/>
      <c r="I1" s="262"/>
      <c r="K1" s="261"/>
      <c r="L1" s="262"/>
      <c r="N1" s="261"/>
      <c r="O1" s="262"/>
      <c r="Q1" s="261"/>
      <c r="R1" s="262"/>
      <c r="T1" s="261"/>
      <c r="U1" s="262"/>
      <c r="W1" s="261"/>
      <c r="X1" s="262"/>
      <c r="Z1" s="261"/>
      <c r="AA1" s="262"/>
      <c r="AC1" s="261"/>
      <c r="AD1" s="262"/>
      <c r="AF1" s="261"/>
      <c r="AG1" s="262"/>
      <c r="AI1" s="261"/>
      <c r="AJ1" s="262"/>
      <c r="AL1" s="261"/>
      <c r="AM1" s="262"/>
      <c r="AO1" s="261"/>
      <c r="AP1" s="262"/>
      <c r="AR1" s="261"/>
      <c r="AS1" s="262"/>
      <c r="AU1" s="261"/>
      <c r="AV1" s="262"/>
      <c r="AX1" s="261"/>
      <c r="AY1" s="262"/>
      <c r="BA1" s="261"/>
      <c r="BB1" s="262"/>
      <c r="BD1" s="261"/>
      <c r="BE1" s="262"/>
      <c r="BG1" s="261"/>
      <c r="BH1" s="262"/>
      <c r="BJ1" s="261"/>
      <c r="BK1" s="262"/>
      <c r="BM1" s="261"/>
      <c r="BN1" s="262"/>
      <c r="BP1" s="261"/>
      <c r="BQ1" s="262"/>
      <c r="BS1" s="261"/>
      <c r="BT1" s="262"/>
      <c r="BV1" s="261"/>
      <c r="BW1" s="262"/>
      <c r="BY1" s="261"/>
      <c r="BZ1" s="262"/>
      <c r="CB1" s="261"/>
      <c r="CC1" s="262"/>
      <c r="CE1" s="261"/>
      <c r="CF1" s="262"/>
      <c r="CH1" s="261"/>
      <c r="CI1" s="262"/>
      <c r="CK1" s="261"/>
      <c r="CL1" s="262"/>
      <c r="CN1" s="261"/>
      <c r="CO1" s="262"/>
      <c r="CQ1" s="261"/>
      <c r="CR1" s="262"/>
      <c r="CT1" s="261"/>
      <c r="CU1" s="262"/>
      <c r="CW1" s="261"/>
      <c r="CX1" s="262"/>
      <c r="CZ1" s="261"/>
      <c r="DA1" s="262"/>
      <c r="DC1" s="261"/>
      <c r="DD1" s="262"/>
      <c r="DF1" s="261"/>
      <c r="DG1" s="262"/>
      <c r="DI1" s="261"/>
      <c r="DJ1" s="262"/>
      <c r="DL1" s="261"/>
      <c r="DM1" s="262"/>
      <c r="DO1" s="261"/>
      <c r="DP1" s="262"/>
      <c r="DR1" s="261"/>
      <c r="DS1" s="262"/>
      <c r="DU1" s="261"/>
      <c r="DV1" s="262"/>
      <c r="DX1" s="261"/>
      <c r="DY1" s="262"/>
      <c r="DZ1" s="263"/>
      <c r="ED1" s="191"/>
      <c r="EE1" s="264" t="s">
        <v>37</v>
      </c>
      <c r="EI1" s="191" t="s">
        <v>38</v>
      </c>
      <c r="EM1" s="191"/>
      <c r="EN1" s="191" t="s">
        <v>39</v>
      </c>
      <c r="EO1" s="260" t="s">
        <v>40</v>
      </c>
      <c r="EP1" s="260" t="s">
        <v>41</v>
      </c>
      <c r="EQ1" s="260" t="s">
        <v>42</v>
      </c>
    </row>
    <row r="2" spans="1:147" s="202" customFormat="1" ht="15.75" thickBot="1" x14ac:dyDescent="0.3">
      <c r="A2" s="260" t="s">
        <v>43</v>
      </c>
      <c r="B2" s="261"/>
      <c r="C2" s="262"/>
      <c r="E2" s="263"/>
      <c r="F2" s="262"/>
      <c r="G2" s="191"/>
      <c r="H2" s="261"/>
      <c r="I2" s="262"/>
      <c r="K2" s="261"/>
      <c r="L2" s="262"/>
      <c r="N2" s="261"/>
      <c r="O2" s="262"/>
      <c r="Q2" s="261"/>
      <c r="R2" s="262"/>
      <c r="T2" s="261"/>
      <c r="U2" s="262"/>
      <c r="W2" s="261"/>
      <c r="X2" s="262"/>
      <c r="Z2" s="261"/>
      <c r="AA2" s="262"/>
      <c r="AC2" s="261"/>
      <c r="AD2" s="262"/>
      <c r="AF2" s="261"/>
      <c r="AG2" s="262"/>
      <c r="AI2" s="261"/>
      <c r="AJ2" s="262"/>
      <c r="AL2" s="261"/>
      <c r="AM2" s="262"/>
      <c r="AO2" s="261"/>
      <c r="AP2" s="262"/>
      <c r="AR2" s="261"/>
      <c r="AS2" s="262"/>
      <c r="AU2" s="261"/>
      <c r="AV2" s="262"/>
      <c r="AX2" s="261"/>
      <c r="AY2" s="262"/>
      <c r="BA2" s="261"/>
      <c r="BB2" s="262"/>
      <c r="BD2" s="261"/>
      <c r="BE2" s="262"/>
      <c r="BG2" s="261"/>
      <c r="BH2" s="262"/>
      <c r="BJ2" s="261"/>
      <c r="BK2" s="262"/>
      <c r="BM2" s="261"/>
      <c r="BN2" s="262"/>
      <c r="BP2" s="261"/>
      <c r="BQ2" s="262"/>
      <c r="BS2" s="261"/>
      <c r="BT2" s="262"/>
      <c r="BV2" s="261"/>
      <c r="BW2" s="262"/>
      <c r="BY2" s="261"/>
      <c r="BZ2" s="262"/>
      <c r="CB2" s="261"/>
      <c r="CC2" s="262"/>
      <c r="CE2" s="261"/>
      <c r="CF2" s="262"/>
      <c r="CH2" s="261"/>
      <c r="CI2" s="262"/>
      <c r="CK2" s="261"/>
      <c r="CL2" s="262"/>
      <c r="CN2" s="261"/>
      <c r="CO2" s="262"/>
      <c r="CQ2" s="261"/>
      <c r="CR2" s="262"/>
      <c r="CT2" s="261"/>
      <c r="CU2" s="262"/>
      <c r="CW2" s="261"/>
      <c r="CX2" s="262"/>
      <c r="CZ2" s="261"/>
      <c r="DA2" s="262"/>
      <c r="DC2" s="261"/>
      <c r="DD2" s="262"/>
      <c r="DF2" s="261"/>
      <c r="DG2" s="262"/>
      <c r="DI2" s="261"/>
      <c r="DJ2" s="262"/>
      <c r="DL2" s="261"/>
      <c r="DM2" s="262"/>
      <c r="DO2" s="261"/>
      <c r="DP2" s="262"/>
      <c r="DR2" s="261"/>
      <c r="DS2" s="262"/>
      <c r="DU2" s="261"/>
      <c r="DV2" s="262"/>
      <c r="DX2" s="261"/>
      <c r="DY2" s="262"/>
      <c r="EB2" s="175" t="s">
        <v>44</v>
      </c>
      <c r="EC2" s="175"/>
      <c r="ED2" s="241"/>
      <c r="EE2" s="241">
        <f>EB40</f>
        <v>375025000</v>
      </c>
      <c r="EI2" s="241">
        <f>EG40</f>
        <v>0</v>
      </c>
      <c r="EM2" s="241"/>
      <c r="EN2" s="241">
        <f>EK40</f>
        <v>279900000</v>
      </c>
      <c r="EO2" s="265">
        <v>-37421.839999999997</v>
      </c>
      <c r="EP2" s="261">
        <f>EN2+EO2</f>
        <v>279862578.16000003</v>
      </c>
      <c r="EQ2" s="261">
        <f>EE2+EO2</f>
        <v>374987578.16000003</v>
      </c>
    </row>
    <row r="3" spans="1:147" ht="15.75" thickTop="1" x14ac:dyDescent="0.25">
      <c r="A3" s="266" t="s">
        <v>254</v>
      </c>
      <c r="E3" s="267" t="s">
        <v>45</v>
      </c>
      <c r="F3" s="243"/>
      <c r="G3" s="244"/>
      <c r="EB3" s="175" t="s">
        <v>46</v>
      </c>
      <c r="ED3" s="241"/>
      <c r="EE3" s="241">
        <f>AVERAGE(EB11:EB40)</f>
        <v>326445833.33333331</v>
      </c>
      <c r="EI3" s="241">
        <f>AVERAGE(EG11:EG40)</f>
        <v>0</v>
      </c>
      <c r="EM3" s="241"/>
      <c r="EN3" s="241">
        <f>AVERAGE(EK11:EK40)</f>
        <v>234622500</v>
      </c>
    </row>
    <row r="4" spans="1:147" x14ac:dyDescent="0.25">
      <c r="E4" s="245" t="s">
        <v>44</v>
      </c>
      <c r="F4" s="241"/>
      <c r="G4" s="246">
        <f>EQ2</f>
        <v>374987578.16000003</v>
      </c>
      <c r="AI4" s="260" t="s">
        <v>47</v>
      </c>
      <c r="EB4" s="175" t="s">
        <v>48</v>
      </c>
      <c r="ED4" s="242"/>
      <c r="EE4" s="242">
        <f>IF(EE3=0,0,360*(AVERAGE(ED11:ED40)/EE3))</f>
        <v>4.8447597482992349E-2</v>
      </c>
      <c r="EI4" s="242">
        <f>IF(EI3=0,0,360*(AVERAGE(EH11:EH40)/EI3))</f>
        <v>0</v>
      </c>
      <c r="EM4" s="242"/>
      <c r="EN4" s="242">
        <f>IF(EN3=0,0,360*(AVERAGE(EM11:EM40)/EN3))</f>
        <v>4.9425315844246247E-2</v>
      </c>
      <c r="EO4" s="202" t="s">
        <v>241</v>
      </c>
      <c r="EQ4" s="191" t="s">
        <v>47</v>
      </c>
    </row>
    <row r="5" spans="1:147" x14ac:dyDescent="0.25">
      <c r="E5" s="245" t="s">
        <v>46</v>
      </c>
      <c r="F5" s="241"/>
      <c r="G5" s="246">
        <f>EE3</f>
        <v>326445833.33333331</v>
      </c>
      <c r="AI5" s="268" t="s">
        <v>39</v>
      </c>
      <c r="EB5" s="175" t="s">
        <v>49</v>
      </c>
      <c r="ED5" s="241"/>
      <c r="EE5" s="241">
        <f>MAX(EB11:EB40)</f>
        <v>375025000</v>
      </c>
      <c r="EI5" s="241">
        <f>MAX(EG11:EG40)</f>
        <v>0</v>
      </c>
      <c r="EM5" s="241"/>
      <c r="EN5" s="241">
        <f>MAX(EK11:EK40)</f>
        <v>293225000</v>
      </c>
      <c r="EO5" s="175" t="s">
        <v>242</v>
      </c>
    </row>
    <row r="6" spans="1:147" x14ac:dyDescent="0.25">
      <c r="E6" s="245" t="s">
        <v>48</v>
      </c>
      <c r="F6" s="241"/>
      <c r="G6" s="247">
        <f>EE4</f>
        <v>4.8447597482992349E-2</v>
      </c>
    </row>
    <row r="7" spans="1:147" ht="15.75" thickBot="1" x14ac:dyDescent="0.3">
      <c r="E7" s="248" t="s">
        <v>49</v>
      </c>
      <c r="F7" s="249"/>
      <c r="G7" s="250">
        <f>EE5</f>
        <v>375025000</v>
      </c>
      <c r="AI7" s="268" t="s">
        <v>39</v>
      </c>
      <c r="EB7" s="269" t="s">
        <v>50</v>
      </c>
      <c r="EC7" s="269"/>
      <c r="ED7" s="251"/>
      <c r="EE7" s="251"/>
      <c r="EG7" s="269" t="s">
        <v>51</v>
      </c>
      <c r="EH7" s="251"/>
      <c r="EI7" s="251"/>
      <c r="EJ7" s="174"/>
      <c r="EK7" s="269" t="s">
        <v>52</v>
      </c>
      <c r="EL7" s="269"/>
      <c r="EM7" s="251"/>
      <c r="EN7" s="251"/>
    </row>
    <row r="8" spans="1:147" ht="15.75" thickTop="1" x14ac:dyDescent="0.25">
      <c r="AI8" s="263" t="s">
        <v>53</v>
      </c>
      <c r="AL8" s="263" t="s">
        <v>53</v>
      </c>
      <c r="AO8" s="263" t="s">
        <v>53</v>
      </c>
      <c r="AR8" s="263" t="s">
        <v>53</v>
      </c>
      <c r="AU8" s="263" t="s">
        <v>53</v>
      </c>
      <c r="AX8" s="263" t="s">
        <v>53</v>
      </c>
      <c r="BA8" s="263" t="s">
        <v>53</v>
      </c>
      <c r="BD8" s="263" t="s">
        <v>53</v>
      </c>
      <c r="BG8" s="263" t="s">
        <v>53</v>
      </c>
      <c r="BJ8" s="263" t="s">
        <v>53</v>
      </c>
      <c r="BM8" s="263" t="s">
        <v>53</v>
      </c>
      <c r="BP8" s="263" t="s">
        <v>53</v>
      </c>
      <c r="BS8" s="263" t="s">
        <v>53</v>
      </c>
      <c r="BV8" s="263" t="s">
        <v>53</v>
      </c>
      <c r="BY8" s="263" t="s">
        <v>53</v>
      </c>
      <c r="CB8" s="263" t="s">
        <v>53</v>
      </c>
      <c r="CE8" s="263" t="s">
        <v>53</v>
      </c>
      <c r="CH8" s="263" t="s">
        <v>53</v>
      </c>
      <c r="CK8" s="263" t="s">
        <v>53</v>
      </c>
      <c r="CN8" s="263" t="s">
        <v>53</v>
      </c>
      <c r="CQ8" s="263" t="s">
        <v>53</v>
      </c>
      <c r="CT8" s="263" t="s">
        <v>53</v>
      </c>
      <c r="CW8" s="263" t="s">
        <v>53</v>
      </c>
      <c r="CZ8" s="263" t="s">
        <v>53</v>
      </c>
      <c r="DC8" s="263" t="s">
        <v>53</v>
      </c>
      <c r="DF8" s="263" t="s">
        <v>53</v>
      </c>
      <c r="DI8" s="263" t="s">
        <v>53</v>
      </c>
      <c r="DL8" s="263" t="s">
        <v>53</v>
      </c>
      <c r="DO8" s="263" t="s">
        <v>53</v>
      </c>
      <c r="DR8" s="263" t="s">
        <v>53</v>
      </c>
      <c r="EB8" s="252"/>
      <c r="EC8" s="252"/>
      <c r="ED8" s="252"/>
      <c r="EE8" s="252" t="s">
        <v>54</v>
      </c>
      <c r="EG8" s="252"/>
      <c r="EH8" s="270" t="s">
        <v>38</v>
      </c>
      <c r="EI8" s="252" t="s">
        <v>54</v>
      </c>
      <c r="EJ8" s="252"/>
      <c r="EK8" s="191" t="s">
        <v>55</v>
      </c>
      <c r="EL8" s="191" t="s">
        <v>56</v>
      </c>
      <c r="EM8" s="270" t="s">
        <v>57</v>
      </c>
      <c r="EN8" s="252" t="s">
        <v>54</v>
      </c>
    </row>
    <row r="9" spans="1:147" x14ac:dyDescent="0.25">
      <c r="B9" s="253" t="s">
        <v>58</v>
      </c>
      <c r="C9" s="254"/>
      <c r="D9" s="251"/>
      <c r="E9" s="253" t="s">
        <v>59</v>
      </c>
      <c r="F9" s="254"/>
      <c r="G9" s="251"/>
      <c r="H9" s="253" t="s">
        <v>60</v>
      </c>
      <c r="I9" s="254"/>
      <c r="J9" s="251"/>
      <c r="K9" s="253" t="s">
        <v>61</v>
      </c>
      <c r="L9" s="254"/>
      <c r="M9" s="251"/>
      <c r="N9" s="253" t="s">
        <v>62</v>
      </c>
      <c r="O9" s="254"/>
      <c r="P9" s="251"/>
      <c r="Q9" s="253" t="s">
        <v>63</v>
      </c>
      <c r="R9" s="254"/>
      <c r="S9" s="251"/>
      <c r="T9" s="253" t="s">
        <v>64</v>
      </c>
      <c r="U9" s="254"/>
      <c r="V9" s="251"/>
      <c r="W9" s="253" t="s">
        <v>65</v>
      </c>
      <c r="X9" s="254"/>
      <c r="Y9" s="251"/>
      <c r="Z9" s="253" t="s">
        <v>66</v>
      </c>
      <c r="AA9" s="254"/>
      <c r="AB9" s="251"/>
      <c r="AC9" s="271" t="s">
        <v>67</v>
      </c>
      <c r="AD9" s="254"/>
      <c r="AE9" s="251"/>
      <c r="AF9" s="271" t="s">
        <v>68</v>
      </c>
      <c r="AG9" s="254"/>
      <c r="AH9" s="251"/>
      <c r="AI9" s="253" t="s">
        <v>69</v>
      </c>
      <c r="AJ9" s="254"/>
      <c r="AK9" s="251"/>
      <c r="AL9" s="253" t="s">
        <v>70</v>
      </c>
      <c r="AM9" s="254"/>
      <c r="AN9" s="251"/>
      <c r="AO9" s="253" t="s">
        <v>71</v>
      </c>
      <c r="AP9" s="254"/>
      <c r="AQ9" s="251"/>
      <c r="AR9" s="253" t="s">
        <v>72</v>
      </c>
      <c r="AS9" s="254"/>
      <c r="AT9" s="251"/>
      <c r="AU9" s="253" t="s">
        <v>73</v>
      </c>
      <c r="AV9" s="254"/>
      <c r="AW9" s="251"/>
      <c r="AX9" s="253" t="s">
        <v>74</v>
      </c>
      <c r="AY9" s="254"/>
      <c r="AZ9" s="251"/>
      <c r="BA9" s="253" t="s">
        <v>75</v>
      </c>
      <c r="BB9" s="254"/>
      <c r="BC9" s="251"/>
      <c r="BD9" s="253" t="s">
        <v>76</v>
      </c>
      <c r="BE9" s="254"/>
      <c r="BF9" s="251"/>
      <c r="BG9" s="253" t="s">
        <v>77</v>
      </c>
      <c r="BH9" s="254"/>
      <c r="BI9" s="251"/>
      <c r="BJ9" s="253" t="s">
        <v>78</v>
      </c>
      <c r="BK9" s="254"/>
      <c r="BL9" s="251"/>
      <c r="BM9" s="253" t="s">
        <v>79</v>
      </c>
      <c r="BN9" s="254"/>
      <c r="BO9" s="251"/>
      <c r="BP9" s="253" t="s">
        <v>80</v>
      </c>
      <c r="BQ9" s="254"/>
      <c r="BR9" s="251"/>
      <c r="BS9" s="253" t="s">
        <v>81</v>
      </c>
      <c r="BT9" s="254"/>
      <c r="BU9" s="251"/>
      <c r="BV9" s="253" t="s">
        <v>82</v>
      </c>
      <c r="BW9" s="254"/>
      <c r="BX9" s="251"/>
      <c r="BY9" s="253" t="s">
        <v>83</v>
      </c>
      <c r="BZ9" s="254"/>
      <c r="CA9" s="251"/>
      <c r="CB9" s="253" t="s">
        <v>84</v>
      </c>
      <c r="CC9" s="254"/>
      <c r="CD9" s="251"/>
      <c r="CE9" s="253" t="s">
        <v>85</v>
      </c>
      <c r="CF9" s="254"/>
      <c r="CG9" s="251"/>
      <c r="CH9" s="253" t="s">
        <v>86</v>
      </c>
      <c r="CI9" s="254"/>
      <c r="CJ9" s="251"/>
      <c r="CK9" s="253" t="s">
        <v>87</v>
      </c>
      <c r="CL9" s="254"/>
      <c r="CM9" s="251"/>
      <c r="CN9" s="253" t="s">
        <v>88</v>
      </c>
      <c r="CO9" s="254"/>
      <c r="CP9" s="251"/>
      <c r="CQ9" s="253" t="s">
        <v>89</v>
      </c>
      <c r="CR9" s="254"/>
      <c r="CS9" s="251"/>
      <c r="CT9" s="253" t="s">
        <v>90</v>
      </c>
      <c r="CU9" s="254"/>
      <c r="CV9" s="251"/>
      <c r="CW9" s="253" t="s">
        <v>91</v>
      </c>
      <c r="CX9" s="254"/>
      <c r="CY9" s="251"/>
      <c r="CZ9" s="253" t="s">
        <v>92</v>
      </c>
      <c r="DA9" s="254"/>
      <c r="DB9" s="251"/>
      <c r="DC9" s="253" t="s">
        <v>93</v>
      </c>
      <c r="DD9" s="254"/>
      <c r="DE9" s="251"/>
      <c r="DF9" s="253" t="s">
        <v>94</v>
      </c>
      <c r="DG9" s="254"/>
      <c r="DH9" s="251"/>
      <c r="DI9" s="253" t="s">
        <v>95</v>
      </c>
      <c r="DJ9" s="254"/>
      <c r="DK9" s="251"/>
      <c r="DL9" s="253" t="s">
        <v>96</v>
      </c>
      <c r="DM9" s="254"/>
      <c r="DN9" s="251"/>
      <c r="DO9" s="253" t="s">
        <v>97</v>
      </c>
      <c r="DP9" s="254"/>
      <c r="DQ9" s="251"/>
      <c r="DR9" s="253" t="s">
        <v>98</v>
      </c>
      <c r="DS9" s="254"/>
      <c r="DT9" s="251"/>
      <c r="DU9" s="253" t="s">
        <v>99</v>
      </c>
      <c r="DV9" s="254"/>
      <c r="DW9" s="251"/>
      <c r="DX9" s="272" t="s">
        <v>100</v>
      </c>
      <c r="DY9" s="254"/>
      <c r="DZ9" s="251"/>
      <c r="EA9" s="174"/>
      <c r="EB9" s="191" t="s">
        <v>101</v>
      </c>
      <c r="EC9" s="191" t="s">
        <v>102</v>
      </c>
      <c r="ED9" s="252" t="s">
        <v>103</v>
      </c>
      <c r="EE9" s="252" t="s">
        <v>104</v>
      </c>
      <c r="EG9" s="270" t="s">
        <v>105</v>
      </c>
      <c r="EH9" s="252" t="s">
        <v>103</v>
      </c>
      <c r="EI9" s="252" t="s">
        <v>104</v>
      </c>
      <c r="EJ9" s="252"/>
      <c r="EK9" s="270" t="s">
        <v>57</v>
      </c>
      <c r="EL9" s="270" t="s">
        <v>57</v>
      </c>
      <c r="EM9" s="252" t="s">
        <v>103</v>
      </c>
      <c r="EN9" s="252" t="s">
        <v>104</v>
      </c>
    </row>
    <row r="10" spans="1:147" x14ac:dyDescent="0.25">
      <c r="A10" s="252" t="s">
        <v>106</v>
      </c>
      <c r="B10" s="273" t="s">
        <v>107</v>
      </c>
      <c r="C10" s="274" t="s">
        <v>108</v>
      </c>
      <c r="D10" s="275" t="s">
        <v>12</v>
      </c>
      <c r="E10" s="273" t="s">
        <v>107</v>
      </c>
      <c r="F10" s="274" t="s">
        <v>108</v>
      </c>
      <c r="G10" s="275" t="s">
        <v>12</v>
      </c>
      <c r="H10" s="273" t="s">
        <v>107</v>
      </c>
      <c r="I10" s="274" t="s">
        <v>108</v>
      </c>
      <c r="J10" s="275" t="s">
        <v>12</v>
      </c>
      <c r="K10" s="273" t="s">
        <v>107</v>
      </c>
      <c r="L10" s="274" t="s">
        <v>108</v>
      </c>
      <c r="M10" s="275" t="s">
        <v>12</v>
      </c>
      <c r="N10" s="273" t="s">
        <v>107</v>
      </c>
      <c r="O10" s="274" t="s">
        <v>108</v>
      </c>
      <c r="P10" s="275" t="s">
        <v>12</v>
      </c>
      <c r="Q10" s="273" t="s">
        <v>107</v>
      </c>
      <c r="R10" s="274" t="s">
        <v>108</v>
      </c>
      <c r="S10" s="275" t="s">
        <v>12</v>
      </c>
      <c r="T10" s="273" t="s">
        <v>107</v>
      </c>
      <c r="U10" s="274" t="s">
        <v>108</v>
      </c>
      <c r="V10" s="275" t="s">
        <v>12</v>
      </c>
      <c r="W10" s="273" t="s">
        <v>107</v>
      </c>
      <c r="X10" s="274" t="s">
        <v>108</v>
      </c>
      <c r="Y10" s="275" t="s">
        <v>12</v>
      </c>
      <c r="Z10" s="273" t="s">
        <v>107</v>
      </c>
      <c r="AA10" s="274" t="s">
        <v>108</v>
      </c>
      <c r="AB10" s="275" t="s">
        <v>12</v>
      </c>
      <c r="AC10" s="273" t="s">
        <v>107</v>
      </c>
      <c r="AD10" s="274" t="s">
        <v>108</v>
      </c>
      <c r="AE10" s="275" t="s">
        <v>12</v>
      </c>
      <c r="AF10" s="273" t="s">
        <v>107</v>
      </c>
      <c r="AG10" s="274" t="s">
        <v>108</v>
      </c>
      <c r="AH10" s="275" t="s">
        <v>12</v>
      </c>
      <c r="AI10" s="273" t="s">
        <v>107</v>
      </c>
      <c r="AJ10" s="274" t="s">
        <v>108</v>
      </c>
      <c r="AK10" s="275" t="s">
        <v>12</v>
      </c>
      <c r="AL10" s="273" t="s">
        <v>107</v>
      </c>
      <c r="AM10" s="274" t="s">
        <v>108</v>
      </c>
      <c r="AN10" s="275" t="s">
        <v>12</v>
      </c>
      <c r="AO10" s="273" t="s">
        <v>107</v>
      </c>
      <c r="AP10" s="274" t="s">
        <v>108</v>
      </c>
      <c r="AQ10" s="275" t="s">
        <v>12</v>
      </c>
      <c r="AR10" s="273" t="s">
        <v>107</v>
      </c>
      <c r="AS10" s="274" t="s">
        <v>108</v>
      </c>
      <c r="AT10" s="275" t="s">
        <v>12</v>
      </c>
      <c r="AU10" s="273" t="s">
        <v>107</v>
      </c>
      <c r="AV10" s="274" t="s">
        <v>108</v>
      </c>
      <c r="AW10" s="275" t="s">
        <v>12</v>
      </c>
      <c r="AX10" s="273" t="s">
        <v>107</v>
      </c>
      <c r="AY10" s="274" t="s">
        <v>108</v>
      </c>
      <c r="AZ10" s="275" t="s">
        <v>12</v>
      </c>
      <c r="BA10" s="273" t="s">
        <v>107</v>
      </c>
      <c r="BB10" s="274" t="s">
        <v>108</v>
      </c>
      <c r="BC10" s="275" t="s">
        <v>12</v>
      </c>
      <c r="BD10" s="273" t="s">
        <v>107</v>
      </c>
      <c r="BE10" s="274" t="s">
        <v>108</v>
      </c>
      <c r="BF10" s="275" t="s">
        <v>12</v>
      </c>
      <c r="BG10" s="273" t="s">
        <v>107</v>
      </c>
      <c r="BH10" s="274" t="s">
        <v>108</v>
      </c>
      <c r="BI10" s="275" t="s">
        <v>12</v>
      </c>
      <c r="BJ10" s="273" t="s">
        <v>107</v>
      </c>
      <c r="BK10" s="274" t="s">
        <v>108</v>
      </c>
      <c r="BL10" s="275" t="s">
        <v>12</v>
      </c>
      <c r="BM10" s="273" t="s">
        <v>107</v>
      </c>
      <c r="BN10" s="274" t="s">
        <v>108</v>
      </c>
      <c r="BO10" s="275" t="s">
        <v>12</v>
      </c>
      <c r="BP10" s="273" t="s">
        <v>107</v>
      </c>
      <c r="BQ10" s="274" t="s">
        <v>108</v>
      </c>
      <c r="BR10" s="275" t="s">
        <v>12</v>
      </c>
      <c r="BS10" s="273" t="s">
        <v>107</v>
      </c>
      <c r="BT10" s="274" t="s">
        <v>108</v>
      </c>
      <c r="BU10" s="275" t="s">
        <v>12</v>
      </c>
      <c r="BV10" s="273" t="s">
        <v>107</v>
      </c>
      <c r="BW10" s="274" t="s">
        <v>108</v>
      </c>
      <c r="BX10" s="275" t="s">
        <v>12</v>
      </c>
      <c r="BY10" s="273" t="s">
        <v>107</v>
      </c>
      <c r="BZ10" s="274" t="s">
        <v>108</v>
      </c>
      <c r="CA10" s="275" t="s">
        <v>12</v>
      </c>
      <c r="CB10" s="273" t="s">
        <v>107</v>
      </c>
      <c r="CC10" s="274" t="s">
        <v>108</v>
      </c>
      <c r="CD10" s="275" t="s">
        <v>12</v>
      </c>
      <c r="CE10" s="273" t="s">
        <v>107</v>
      </c>
      <c r="CF10" s="274" t="s">
        <v>108</v>
      </c>
      <c r="CG10" s="275" t="s">
        <v>12</v>
      </c>
      <c r="CH10" s="273" t="s">
        <v>107</v>
      </c>
      <c r="CI10" s="274" t="s">
        <v>108</v>
      </c>
      <c r="CJ10" s="275" t="s">
        <v>12</v>
      </c>
      <c r="CK10" s="273" t="s">
        <v>107</v>
      </c>
      <c r="CL10" s="274" t="s">
        <v>108</v>
      </c>
      <c r="CM10" s="275" t="s">
        <v>12</v>
      </c>
      <c r="CN10" s="273" t="s">
        <v>107</v>
      </c>
      <c r="CO10" s="274" t="s">
        <v>108</v>
      </c>
      <c r="CP10" s="275" t="s">
        <v>12</v>
      </c>
      <c r="CQ10" s="273" t="s">
        <v>107</v>
      </c>
      <c r="CR10" s="274" t="s">
        <v>108</v>
      </c>
      <c r="CS10" s="275" t="s">
        <v>12</v>
      </c>
      <c r="CT10" s="273" t="s">
        <v>107</v>
      </c>
      <c r="CU10" s="274" t="s">
        <v>108</v>
      </c>
      <c r="CV10" s="275" t="s">
        <v>12</v>
      </c>
      <c r="CW10" s="273" t="s">
        <v>107</v>
      </c>
      <c r="CX10" s="274" t="s">
        <v>108</v>
      </c>
      <c r="CY10" s="275" t="s">
        <v>12</v>
      </c>
      <c r="CZ10" s="273" t="s">
        <v>107</v>
      </c>
      <c r="DA10" s="274" t="s">
        <v>108</v>
      </c>
      <c r="DB10" s="275" t="s">
        <v>12</v>
      </c>
      <c r="DC10" s="273" t="s">
        <v>107</v>
      </c>
      <c r="DD10" s="274" t="s">
        <v>108</v>
      </c>
      <c r="DE10" s="275" t="s">
        <v>12</v>
      </c>
      <c r="DF10" s="273" t="s">
        <v>107</v>
      </c>
      <c r="DG10" s="274" t="s">
        <v>108</v>
      </c>
      <c r="DH10" s="275" t="s">
        <v>12</v>
      </c>
      <c r="DI10" s="273" t="s">
        <v>107</v>
      </c>
      <c r="DJ10" s="274" t="s">
        <v>108</v>
      </c>
      <c r="DK10" s="275" t="s">
        <v>12</v>
      </c>
      <c r="DL10" s="273" t="s">
        <v>107</v>
      </c>
      <c r="DM10" s="274" t="s">
        <v>108</v>
      </c>
      <c r="DN10" s="275" t="s">
        <v>12</v>
      </c>
      <c r="DO10" s="273" t="s">
        <v>107</v>
      </c>
      <c r="DP10" s="274" t="s">
        <v>108</v>
      </c>
      <c r="DQ10" s="275" t="s">
        <v>12</v>
      </c>
      <c r="DR10" s="273" t="s">
        <v>107</v>
      </c>
      <c r="DS10" s="274" t="s">
        <v>108</v>
      </c>
      <c r="DT10" s="275" t="s">
        <v>12</v>
      </c>
      <c r="DU10" s="273" t="s">
        <v>107</v>
      </c>
      <c r="DV10" s="274" t="s">
        <v>108</v>
      </c>
      <c r="DW10" s="275" t="s">
        <v>12</v>
      </c>
      <c r="DX10" s="273" t="s">
        <v>107</v>
      </c>
      <c r="DY10" s="274"/>
      <c r="DZ10" s="275"/>
      <c r="EA10" s="275"/>
      <c r="EB10" s="275" t="s">
        <v>109</v>
      </c>
      <c r="EC10" s="275" t="s">
        <v>109</v>
      </c>
      <c r="ED10" s="275" t="s">
        <v>12</v>
      </c>
      <c r="EE10" s="275" t="s">
        <v>108</v>
      </c>
      <c r="EG10" s="275" t="s">
        <v>109</v>
      </c>
      <c r="EH10" s="275" t="s">
        <v>12</v>
      </c>
      <c r="EI10" s="275" t="s">
        <v>108</v>
      </c>
      <c r="EJ10" s="275"/>
      <c r="EK10" s="275" t="s">
        <v>109</v>
      </c>
      <c r="EL10" s="275" t="s">
        <v>109</v>
      </c>
      <c r="EM10" s="275" t="s">
        <v>12</v>
      </c>
      <c r="EN10" s="275" t="s">
        <v>108</v>
      </c>
    </row>
    <row r="11" spans="1:147" x14ac:dyDescent="0.25">
      <c r="A11" s="255">
        <v>45597</v>
      </c>
      <c r="B11" s="241">
        <v>53075000</v>
      </c>
      <c r="C11" s="242">
        <v>4.7599999999999996E-2</v>
      </c>
      <c r="D11" s="241">
        <f>(B11*C11)/360</f>
        <v>7017.6944444444443</v>
      </c>
      <c r="G11" s="241">
        <f>(E11*F11)/360</f>
        <v>0</v>
      </c>
      <c r="J11" s="241">
        <f>(H11*I11)/360</f>
        <v>0</v>
      </c>
      <c r="M11" s="241">
        <f>(K11*L11)/360</f>
        <v>0</v>
      </c>
      <c r="P11" s="241">
        <f>(N11*O11)/360</f>
        <v>0</v>
      </c>
      <c r="S11" s="241">
        <f>(Q11*R11)/360</f>
        <v>0</v>
      </c>
      <c r="V11" s="241">
        <f>(T11*U11)/360</f>
        <v>0</v>
      </c>
      <c r="Y11" s="241">
        <f>(W11*X11)/360</f>
        <v>0</v>
      </c>
      <c r="AB11" s="241">
        <f>(Z11*AA11)/360</f>
        <v>0</v>
      </c>
      <c r="AE11" s="241">
        <v>0</v>
      </c>
      <c r="AH11" s="241">
        <v>0</v>
      </c>
      <c r="AI11" s="256">
        <f>62575000+20000000+100000</f>
        <v>82675000</v>
      </c>
      <c r="AJ11" s="257">
        <v>4.9500000000000002E-2</v>
      </c>
      <c r="AK11" s="241">
        <f>(AI11*AJ11)/360</f>
        <v>11367.8125</v>
      </c>
      <c r="AL11" s="256">
        <f t="shared" ref="AL11:AL38" si="0">80000000+65000000</f>
        <v>145000000</v>
      </c>
      <c r="AM11" s="257">
        <v>5.0299999999999997E-2</v>
      </c>
      <c r="AN11" s="241">
        <f>(AL11*AM11)/360</f>
        <v>20259.722222222223</v>
      </c>
      <c r="AO11" s="256">
        <f t="shared" ref="AO11:AO23" si="1">60000000</f>
        <v>60000000</v>
      </c>
      <c r="AP11" s="257">
        <v>4.9299999999999997E-2</v>
      </c>
      <c r="AQ11" s="241">
        <f>(AO11*AP11)/360</f>
        <v>8216.6666666666661</v>
      </c>
      <c r="AR11" s="256"/>
      <c r="AS11" s="257"/>
      <c r="AT11" s="241">
        <f>(AR11*AS11)/360</f>
        <v>0</v>
      </c>
      <c r="AW11" s="241">
        <f>(AU11*AV11)/360</f>
        <v>0</v>
      </c>
      <c r="AZ11" s="241">
        <f>(AX11*AY11)/360</f>
        <v>0</v>
      </c>
      <c r="BC11" s="241">
        <f>(BA11*BB11)/360</f>
        <v>0</v>
      </c>
      <c r="BF11" s="241">
        <f>(BD11*BE11)/360</f>
        <v>0</v>
      </c>
      <c r="BI11" s="241">
        <f>(BG11*BH11)/360</f>
        <v>0</v>
      </c>
      <c r="BL11" s="241">
        <f>(BJ11*BK11)/360</f>
        <v>0</v>
      </c>
      <c r="BO11" s="241">
        <f>(BM11*BN11)/360</f>
        <v>0</v>
      </c>
      <c r="BR11" s="241">
        <f>(BP11*BQ11)/360</f>
        <v>0</v>
      </c>
      <c r="BU11" s="241">
        <f>(BS11*BT11)/360</f>
        <v>0</v>
      </c>
      <c r="BX11" s="241">
        <f>(BV11*BW11)/360</f>
        <v>0</v>
      </c>
      <c r="CA11" s="241">
        <f>(BY11*BZ11)/360</f>
        <v>0</v>
      </c>
      <c r="CD11" s="241">
        <f>(CB11*CC11)/360</f>
        <v>0</v>
      </c>
      <c r="CG11" s="241">
        <f>(CE11*CF11)/360</f>
        <v>0</v>
      </c>
      <c r="CJ11" s="241">
        <f>(CH11*CI11)/360</f>
        <v>0</v>
      </c>
      <c r="CM11" s="241">
        <f>(CK11*CL11)/360</f>
        <v>0</v>
      </c>
      <c r="CP11" s="241">
        <f>(CN11*CO11)/360</f>
        <v>0</v>
      </c>
      <c r="CS11" s="241">
        <f>(CQ11*CR11)/360</f>
        <v>0</v>
      </c>
      <c r="CV11" s="241">
        <f>(CT11*CU11)/360</f>
        <v>0</v>
      </c>
      <c r="CY11" s="241">
        <f>(CW11*CX11)/360</f>
        <v>0</v>
      </c>
      <c r="DB11" s="241">
        <f>(CZ11*DA11)/360</f>
        <v>0</v>
      </c>
      <c r="DE11" s="241">
        <f>(DC11*DD11)/360</f>
        <v>0</v>
      </c>
      <c r="DH11" s="241">
        <f>(DF11*DG11)/360</f>
        <v>0</v>
      </c>
      <c r="DK11" s="241">
        <f>(DI11*DJ11)/360</f>
        <v>0</v>
      </c>
      <c r="DN11" s="241">
        <f>(DL11*DM11)/360</f>
        <v>0</v>
      </c>
      <c r="DQ11" s="241">
        <f>(DO11*DP11)/360</f>
        <v>0</v>
      </c>
      <c r="DT11" s="241">
        <f>(DR11*DS11)/360</f>
        <v>0</v>
      </c>
      <c r="DW11" s="241">
        <f>(DU11*DV11)/360</f>
        <v>0</v>
      </c>
      <c r="DZ11" s="241"/>
      <c r="EA11" s="241"/>
      <c r="EB11" s="261">
        <f>B11+E11+H11+K11+N11+Q11+T11+W11+Z11+AC11+AF11+AL11+AO11+AR11+AU11+AX11+BA11+BD11+BG11+DU11+AI11+DR11+DO11+DL11+DI11+DF11+DC11+CZ11+CW11+CT11+CQ11+CN11+CK11+CH11+CE11+CB11+BY11+BV11+BS11+BP11+BM11+BJ11</f>
        <v>340750000</v>
      </c>
      <c r="EC11" s="261">
        <f>EB11-EK11+EL11</f>
        <v>53075000</v>
      </c>
      <c r="ED11" s="241">
        <f>D11+G11+J11+M11+P11+S11+V11+Y11+AB11+AE11+AH11+AK11+AN11+AQ11+AT11+AW11+AZ11+BC11+BF11+BI11+DW11+DT11+DQ11+DN11+DK11+DH11+DE11+DB11+CY11+CV11+CS11+CP11+CM11+CJ11+CG11+CD11+CA11+BX11+BU11+BR11+BO11+BL11</f>
        <v>46861.895833333336</v>
      </c>
      <c r="EE11" s="242">
        <f>IF(EB11&lt;&gt;0,((ED11/EB11)*360),0)</f>
        <v>4.9509266324284665E-2</v>
      </c>
      <c r="EG11" s="261">
        <f>Q11+T11+W11+Z11+AC11+AF11</f>
        <v>0</v>
      </c>
      <c r="EH11" s="241">
        <f>S11+V11+Y11+AB11+AE11+AH11</f>
        <v>0</v>
      </c>
      <c r="EI11" s="242">
        <f>IF(EG11&lt;&gt;0,((EH11/EG11)*360),0)</f>
        <v>0</v>
      </c>
      <c r="EJ11" s="242"/>
      <c r="EK11" s="261">
        <f>DR11+DL11+DI11+DF11+DC11+CZ11+CW11+CT11+CQ11+CN11+CK11+CH11+CE11+CB11+BY11+BV11+BS11+BP11+BM11+BJ11+BG11+BD11+BA11+AX11+AU11+AR11+AO11+AL11+AI11+DO11</f>
        <v>287675000</v>
      </c>
      <c r="EL11" s="261">
        <f>DX11</f>
        <v>0</v>
      </c>
      <c r="EM11" s="261">
        <f>DT11+DQ11+DN11+DK11+DH11+DE11+DB11+CY11+CV11+CS11+CP11+CM11+CJ11+CG11+CD11+CA11+BX11+BU11+BR11+BO11+BL11+BI11+BF11+BC11+AZ11+AW11+AT11+AQ11+AN11+AK11</f>
        <v>39844.201388888891</v>
      </c>
      <c r="EN11" s="242">
        <f>IF(EK11&lt;&gt;0,((EM11/EK11)*360),0)</f>
        <v>4.9861519075345445E-2</v>
      </c>
      <c r="EP11" s="241"/>
    </row>
    <row r="12" spans="1:147" x14ac:dyDescent="0.25">
      <c r="A12" s="255">
        <f>1+A11</f>
        <v>45598</v>
      </c>
      <c r="B12" s="241">
        <v>53075000</v>
      </c>
      <c r="C12" s="242">
        <v>4.7599999999999996E-2</v>
      </c>
      <c r="D12" s="241">
        <f t="shared" ref="D12:D40" si="2">(B12*C12)/360</f>
        <v>7017.6944444444443</v>
      </c>
      <c r="G12" s="241">
        <f t="shared" ref="G12:G40" si="3">(E12*F12)/360</f>
        <v>0</v>
      </c>
      <c r="J12" s="241">
        <f t="shared" ref="J12:J40" si="4">(H12*I12)/360</f>
        <v>0</v>
      </c>
      <c r="M12" s="241">
        <f t="shared" ref="M12:M40" si="5">(K12*L12)/360</f>
        <v>0</v>
      </c>
      <c r="P12" s="241">
        <f t="shared" ref="P12:P40" si="6">(N12*O12)/360</f>
        <v>0</v>
      </c>
      <c r="S12" s="241">
        <f t="shared" ref="S12:S40" si="7">(Q12*R12)/360</f>
        <v>0</v>
      </c>
      <c r="V12" s="241">
        <f t="shared" ref="V12:V40" si="8">(T12*U12)/360</f>
        <v>0</v>
      </c>
      <c r="Y12" s="241">
        <f t="shared" ref="Y12:Y40" si="9">(W12*X12)/360</f>
        <v>0</v>
      </c>
      <c r="AB12" s="241">
        <f t="shared" ref="AB12:AB40" si="10">(Z12*AA12)/360</f>
        <v>0</v>
      </c>
      <c r="AE12" s="241">
        <v>0</v>
      </c>
      <c r="AH12" s="241">
        <v>0</v>
      </c>
      <c r="AI12" s="256">
        <f>62575000+20000000+100000</f>
        <v>82675000</v>
      </c>
      <c r="AJ12" s="257">
        <v>4.9500000000000002E-2</v>
      </c>
      <c r="AK12" s="241">
        <f t="shared" ref="AK12:AK40" si="11">(AI12*AJ12)/360</f>
        <v>11367.8125</v>
      </c>
      <c r="AL12" s="256">
        <f t="shared" si="0"/>
        <v>145000000</v>
      </c>
      <c r="AM12" s="257">
        <v>5.0299999999999997E-2</v>
      </c>
      <c r="AN12" s="241">
        <f t="shared" ref="AN12:AN40" si="12">(AL12*AM12)/360</f>
        <v>20259.722222222223</v>
      </c>
      <c r="AO12" s="256">
        <f t="shared" si="1"/>
        <v>60000000</v>
      </c>
      <c r="AP12" s="257">
        <v>4.9299999999999997E-2</v>
      </c>
      <c r="AQ12" s="241">
        <f t="shared" ref="AQ12:AQ40" si="13">(AO12*AP12)/360</f>
        <v>8216.6666666666661</v>
      </c>
      <c r="AR12" s="256"/>
      <c r="AS12" s="257"/>
      <c r="AT12" s="241">
        <f t="shared" ref="AT12:AT40" si="14">(AR12*AS12)/360</f>
        <v>0</v>
      </c>
      <c r="AW12" s="241">
        <f t="shared" ref="AW12:AW40" si="15">(AU12*AV12)/360</f>
        <v>0</v>
      </c>
      <c r="AZ12" s="241">
        <f t="shared" ref="AZ12:AZ40" si="16">(AX12*AY12)/360</f>
        <v>0</v>
      </c>
      <c r="BC12" s="241">
        <f t="shared" ref="BC12:BC40" si="17">(BA12*BB12)/360</f>
        <v>0</v>
      </c>
      <c r="BF12" s="241">
        <f t="shared" ref="BF12:BF40" si="18">(BD12*BE12)/360</f>
        <v>0</v>
      </c>
      <c r="BI12" s="241">
        <f t="shared" ref="BI12:BI40" si="19">(BG12*BH12)/360</f>
        <v>0</v>
      </c>
      <c r="BL12" s="241">
        <f t="shared" ref="BL12:BL40" si="20">(BJ12*BK12)/360</f>
        <v>0</v>
      </c>
      <c r="BO12" s="241">
        <f t="shared" ref="BO12:BO40" si="21">(BM12*BN12)/360</f>
        <v>0</v>
      </c>
      <c r="BR12" s="241">
        <f t="shared" ref="BR12:BR40" si="22">(BP12*BQ12)/360</f>
        <v>0</v>
      </c>
      <c r="BU12" s="241">
        <f t="shared" ref="BU12:BU40" si="23">(BS12*BT12)/360</f>
        <v>0</v>
      </c>
      <c r="BX12" s="241">
        <f t="shared" ref="BX12:BX40" si="24">(BV12*BW12)/360</f>
        <v>0</v>
      </c>
      <c r="CA12" s="241">
        <f t="shared" ref="CA12:CA40" si="25">(BY12*BZ12)/360</f>
        <v>0</v>
      </c>
      <c r="CD12" s="241">
        <f t="shared" ref="CD12:CD40" si="26">(CB12*CC12)/360</f>
        <v>0</v>
      </c>
      <c r="CG12" s="241">
        <f t="shared" ref="CG12:CG40" si="27">(CE12*CF12)/360</f>
        <v>0</v>
      </c>
      <c r="CJ12" s="241">
        <f t="shared" ref="CJ12:CJ40" si="28">(CH12*CI12)/360</f>
        <v>0</v>
      </c>
      <c r="CM12" s="241">
        <f t="shared" ref="CM12:CM40" si="29">(CK12*CL12)/360</f>
        <v>0</v>
      </c>
      <c r="CP12" s="241">
        <f t="shared" ref="CP12:CP40" si="30">(CN12*CO12)/360</f>
        <v>0</v>
      </c>
      <c r="CS12" s="241">
        <f t="shared" ref="CS12:CS40" si="31">(CQ12*CR12)/360</f>
        <v>0</v>
      </c>
      <c r="CV12" s="241">
        <f t="shared" ref="CV12:CV40" si="32">(CT12*CU12)/360</f>
        <v>0</v>
      </c>
      <c r="CY12" s="241">
        <f t="shared" ref="CY12:CY40" si="33">(CW12*CX12)/360</f>
        <v>0</v>
      </c>
      <c r="DB12" s="241">
        <f t="shared" ref="DB12:DB40" si="34">(CZ12*DA12)/360</f>
        <v>0</v>
      </c>
      <c r="DE12" s="241">
        <f t="shared" ref="DE12:DE40" si="35">(DC12*DD12)/360</f>
        <v>0</v>
      </c>
      <c r="DH12" s="241">
        <f t="shared" ref="DH12:DH40" si="36">(DF12*DG12)/360</f>
        <v>0</v>
      </c>
      <c r="DK12" s="241">
        <f t="shared" ref="DK12:DK40" si="37">(DI12*DJ12)/360</f>
        <v>0</v>
      </c>
      <c r="DN12" s="241">
        <f t="shared" ref="DN12:DN40" si="38">(DL12*DM12)/360</f>
        <v>0</v>
      </c>
      <c r="DQ12" s="241">
        <f t="shared" ref="DQ12:DQ40" si="39">(DO12*DP12)/360</f>
        <v>0</v>
      </c>
      <c r="DT12" s="241">
        <f t="shared" ref="DT12:DT40" si="40">(DR12*DS12)/360</f>
        <v>0</v>
      </c>
      <c r="DW12" s="241">
        <f t="shared" ref="DW12:DW40" si="41">(DU12*DV12)/360</f>
        <v>0</v>
      </c>
      <c r="DZ12" s="241"/>
      <c r="EA12" s="241"/>
      <c r="EB12" s="261">
        <f t="shared" ref="EB12:EB40" si="42">B12+E12+H12+K12+N12+Q12+T12+W12+Z12+AC12+AF12+AL12+AO12+AR12+AU12+AX12+BA12+BD12+BG12+DU12+AI12+DR12+DO12+DL12+DI12+DF12+DC12+CZ12+CW12+CT12+CQ12+CN12+CK12+CH12+CE12+CB12+BY12+BV12+BS12+BP12+BM12+BJ12</f>
        <v>340750000</v>
      </c>
      <c r="EC12" s="261">
        <f t="shared" ref="EC12:EC40" si="43">EB12-EK12+EL12</f>
        <v>53075000</v>
      </c>
      <c r="ED12" s="241">
        <f t="shared" ref="ED12:ED40" si="44">D12+G12+J12+M12+P12+S12+V12+Y12+AB12+AE12+AH12+AK12+AN12+AQ12+AT12+AW12+AZ12+BC12+BF12+BI12+DW12+DT12+DQ12+DN12+DK12+DH12+DE12+DB12+CY12+CV12+CS12+CP12+CM12+CJ12+CG12+CD12+CA12+BX12+BU12+BR12+BO12+BL12</f>
        <v>46861.895833333336</v>
      </c>
      <c r="EE12" s="242">
        <f t="shared" ref="EE12:EE40" si="45">IF(EB12&lt;&gt;0,((ED12/EB12)*360),0)</f>
        <v>4.9509266324284665E-2</v>
      </c>
      <c r="EG12" s="261">
        <f t="shared" ref="EG12:EG40" si="46">Q12+T12+W12+Z12+AC12+AF12</f>
        <v>0</v>
      </c>
      <c r="EH12" s="241">
        <f t="shared" ref="EH12:EH40" si="47">S12+V12+Y12+AB12+AE12+AH12</f>
        <v>0</v>
      </c>
      <c r="EI12" s="242">
        <f t="shared" ref="EI12:EI40" si="48">IF(EG12&lt;&gt;0,((EH12/EG12)*360),0)</f>
        <v>0</v>
      </c>
      <c r="EJ12" s="242"/>
      <c r="EK12" s="261">
        <f t="shared" ref="EK12:EK40" si="49">DR12+DL12+DI12+DF12+DC12+CZ12+CW12+CT12+CQ12+CN12+CK12+CH12+CE12+CB12+BY12+BV12+BS12+BP12+BM12+BJ12+BG12+BD12+BA12+AX12+AU12+AR12+AO12+AL12+AI12+DO12</f>
        <v>287675000</v>
      </c>
      <c r="EL12" s="261">
        <f t="shared" ref="EL12:EL40" si="50">DX12</f>
        <v>0</v>
      </c>
      <c r="EM12" s="261">
        <f t="shared" ref="EM12:EM40" si="51">DT12+DQ12+DN12+DK12+DH12+DE12+DB12+CY12+CV12+CS12+CP12+CM12+CJ12+CG12+CD12+CA12+BX12+BU12+BR12+BO12+BL12+BI12+BF12+BC12+AZ12+AW12+AT12+AQ12+AN12+AK12</f>
        <v>39844.201388888891</v>
      </c>
      <c r="EN12" s="242">
        <f t="shared" ref="EN12:EN40" si="52">IF(EK12&lt;&gt;0,((EM12/EK12)*360),0)</f>
        <v>4.9861519075345445E-2</v>
      </c>
      <c r="EP12" s="241"/>
    </row>
    <row r="13" spans="1:147" x14ac:dyDescent="0.25">
      <c r="A13" s="255">
        <f t="shared" ref="A13:A40" si="53">1+A12</f>
        <v>45599</v>
      </c>
      <c r="B13" s="241">
        <v>53075000</v>
      </c>
      <c r="C13" s="242">
        <v>4.7599999999999996E-2</v>
      </c>
      <c r="D13" s="241">
        <f t="shared" si="2"/>
        <v>7017.6944444444443</v>
      </c>
      <c r="G13" s="241">
        <f t="shared" si="3"/>
        <v>0</v>
      </c>
      <c r="J13" s="241">
        <f t="shared" si="4"/>
        <v>0</v>
      </c>
      <c r="M13" s="241">
        <f t="shared" si="5"/>
        <v>0</v>
      </c>
      <c r="P13" s="241">
        <f t="shared" si="6"/>
        <v>0</v>
      </c>
      <c r="S13" s="241">
        <f t="shared" si="7"/>
        <v>0</v>
      </c>
      <c r="V13" s="241">
        <f t="shared" si="8"/>
        <v>0</v>
      </c>
      <c r="Y13" s="241">
        <f t="shared" si="9"/>
        <v>0</v>
      </c>
      <c r="AB13" s="241">
        <f t="shared" si="10"/>
        <v>0</v>
      </c>
      <c r="AE13" s="241">
        <v>0</v>
      </c>
      <c r="AH13" s="241">
        <v>0</v>
      </c>
      <c r="AI13" s="256">
        <f>62575000+20000000+100000</f>
        <v>82675000</v>
      </c>
      <c r="AJ13" s="257">
        <v>4.9500000000000002E-2</v>
      </c>
      <c r="AK13" s="241">
        <f t="shared" si="11"/>
        <v>11367.8125</v>
      </c>
      <c r="AL13" s="256">
        <f t="shared" si="0"/>
        <v>145000000</v>
      </c>
      <c r="AM13" s="257">
        <v>5.0299999999999997E-2</v>
      </c>
      <c r="AN13" s="241">
        <f t="shared" si="12"/>
        <v>20259.722222222223</v>
      </c>
      <c r="AO13" s="256">
        <f t="shared" si="1"/>
        <v>60000000</v>
      </c>
      <c r="AP13" s="257">
        <v>4.9299999999999997E-2</v>
      </c>
      <c r="AQ13" s="241">
        <f t="shared" si="13"/>
        <v>8216.6666666666661</v>
      </c>
      <c r="AR13" s="256"/>
      <c r="AS13" s="257"/>
      <c r="AT13" s="241">
        <f t="shared" si="14"/>
        <v>0</v>
      </c>
      <c r="AW13" s="241">
        <f t="shared" si="15"/>
        <v>0</v>
      </c>
      <c r="AZ13" s="241">
        <f t="shared" si="16"/>
        <v>0</v>
      </c>
      <c r="BC13" s="241">
        <f t="shared" si="17"/>
        <v>0</v>
      </c>
      <c r="BF13" s="241">
        <f t="shared" si="18"/>
        <v>0</v>
      </c>
      <c r="BI13" s="241">
        <f t="shared" si="19"/>
        <v>0</v>
      </c>
      <c r="BL13" s="241">
        <f t="shared" si="20"/>
        <v>0</v>
      </c>
      <c r="BO13" s="241">
        <f t="shared" si="21"/>
        <v>0</v>
      </c>
      <c r="BR13" s="241">
        <f t="shared" si="22"/>
        <v>0</v>
      </c>
      <c r="BU13" s="241">
        <f t="shared" si="23"/>
        <v>0</v>
      </c>
      <c r="BX13" s="241">
        <f t="shared" si="24"/>
        <v>0</v>
      </c>
      <c r="CA13" s="241">
        <f t="shared" si="25"/>
        <v>0</v>
      </c>
      <c r="CD13" s="241">
        <f t="shared" si="26"/>
        <v>0</v>
      </c>
      <c r="CG13" s="241">
        <f t="shared" si="27"/>
        <v>0</v>
      </c>
      <c r="CJ13" s="241">
        <f t="shared" si="28"/>
        <v>0</v>
      </c>
      <c r="CM13" s="241">
        <f t="shared" si="29"/>
        <v>0</v>
      </c>
      <c r="CP13" s="241">
        <f t="shared" si="30"/>
        <v>0</v>
      </c>
      <c r="CS13" s="241">
        <f t="shared" si="31"/>
        <v>0</v>
      </c>
      <c r="CV13" s="241">
        <f t="shared" si="32"/>
        <v>0</v>
      </c>
      <c r="CY13" s="241">
        <f t="shared" si="33"/>
        <v>0</v>
      </c>
      <c r="DB13" s="241">
        <f t="shared" si="34"/>
        <v>0</v>
      </c>
      <c r="DE13" s="241">
        <f t="shared" si="35"/>
        <v>0</v>
      </c>
      <c r="DH13" s="241">
        <f t="shared" si="36"/>
        <v>0</v>
      </c>
      <c r="DK13" s="241">
        <f t="shared" si="37"/>
        <v>0</v>
      </c>
      <c r="DN13" s="241">
        <f t="shared" si="38"/>
        <v>0</v>
      </c>
      <c r="DQ13" s="241">
        <f t="shared" si="39"/>
        <v>0</v>
      </c>
      <c r="DT13" s="241">
        <f t="shared" si="40"/>
        <v>0</v>
      </c>
      <c r="DW13" s="241">
        <f t="shared" si="41"/>
        <v>0</v>
      </c>
      <c r="DZ13" s="241"/>
      <c r="EA13" s="241"/>
      <c r="EB13" s="261">
        <f t="shared" si="42"/>
        <v>340750000</v>
      </c>
      <c r="EC13" s="261">
        <f t="shared" si="43"/>
        <v>53075000</v>
      </c>
      <c r="ED13" s="241">
        <f t="shared" si="44"/>
        <v>46861.895833333336</v>
      </c>
      <c r="EE13" s="242">
        <f t="shared" si="45"/>
        <v>4.9509266324284665E-2</v>
      </c>
      <c r="EG13" s="261">
        <f t="shared" si="46"/>
        <v>0</v>
      </c>
      <c r="EH13" s="241">
        <f t="shared" si="47"/>
        <v>0</v>
      </c>
      <c r="EI13" s="242">
        <f t="shared" si="48"/>
        <v>0</v>
      </c>
      <c r="EJ13" s="242"/>
      <c r="EK13" s="261">
        <f t="shared" si="49"/>
        <v>287675000</v>
      </c>
      <c r="EL13" s="261">
        <f t="shared" si="50"/>
        <v>0</v>
      </c>
      <c r="EM13" s="261">
        <f t="shared" si="51"/>
        <v>39844.201388888891</v>
      </c>
      <c r="EN13" s="242">
        <f t="shared" si="52"/>
        <v>4.9861519075345445E-2</v>
      </c>
      <c r="EP13" s="241"/>
    </row>
    <row r="14" spans="1:147" x14ac:dyDescent="0.25">
      <c r="A14" s="255">
        <f t="shared" si="53"/>
        <v>45600</v>
      </c>
      <c r="B14" s="241">
        <v>48900000</v>
      </c>
      <c r="C14" s="242">
        <v>4.7E-2</v>
      </c>
      <c r="D14" s="241">
        <f t="shared" si="2"/>
        <v>6384.166666666667</v>
      </c>
      <c r="G14" s="241">
        <f t="shared" si="3"/>
        <v>0</v>
      </c>
      <c r="J14" s="241">
        <f t="shared" si="4"/>
        <v>0</v>
      </c>
      <c r="M14" s="241">
        <f t="shared" si="5"/>
        <v>0</v>
      </c>
      <c r="P14" s="241">
        <f t="shared" si="6"/>
        <v>0</v>
      </c>
      <c r="S14" s="241">
        <f t="shared" si="7"/>
        <v>0</v>
      </c>
      <c r="V14" s="241">
        <f t="shared" si="8"/>
        <v>0</v>
      </c>
      <c r="Y14" s="241">
        <f t="shared" si="9"/>
        <v>0</v>
      </c>
      <c r="AB14" s="241">
        <f t="shared" si="10"/>
        <v>0</v>
      </c>
      <c r="AE14" s="241">
        <v>0</v>
      </c>
      <c r="AH14" s="241">
        <v>0</v>
      </c>
      <c r="AI14" s="256">
        <f>50000000+38225000</f>
        <v>88225000</v>
      </c>
      <c r="AJ14" s="257">
        <v>4.9500000000000002E-2</v>
      </c>
      <c r="AK14" s="241">
        <f t="shared" si="11"/>
        <v>12130.9375</v>
      </c>
      <c r="AL14" s="256">
        <f t="shared" si="0"/>
        <v>145000000</v>
      </c>
      <c r="AM14" s="257">
        <v>5.0299999999999997E-2</v>
      </c>
      <c r="AN14" s="241">
        <f t="shared" si="12"/>
        <v>20259.722222222223</v>
      </c>
      <c r="AO14" s="256">
        <f t="shared" si="1"/>
        <v>60000000</v>
      </c>
      <c r="AP14" s="257">
        <v>4.9299999999999997E-2</v>
      </c>
      <c r="AQ14" s="241">
        <f t="shared" si="13"/>
        <v>8216.6666666666661</v>
      </c>
      <c r="AR14" s="256"/>
      <c r="AS14" s="257"/>
      <c r="AT14" s="241">
        <f t="shared" si="14"/>
        <v>0</v>
      </c>
      <c r="AW14" s="241">
        <f t="shared" si="15"/>
        <v>0</v>
      </c>
      <c r="AZ14" s="241">
        <f t="shared" si="16"/>
        <v>0</v>
      </c>
      <c r="BC14" s="241">
        <f t="shared" si="17"/>
        <v>0</v>
      </c>
      <c r="BF14" s="241">
        <f t="shared" si="18"/>
        <v>0</v>
      </c>
      <c r="BI14" s="241">
        <f t="shared" si="19"/>
        <v>0</v>
      </c>
      <c r="BL14" s="241">
        <f t="shared" si="20"/>
        <v>0</v>
      </c>
      <c r="BO14" s="241">
        <f t="shared" si="21"/>
        <v>0</v>
      </c>
      <c r="BR14" s="241">
        <f t="shared" si="22"/>
        <v>0</v>
      </c>
      <c r="BU14" s="241">
        <f t="shared" si="23"/>
        <v>0</v>
      </c>
      <c r="BX14" s="241">
        <f t="shared" si="24"/>
        <v>0</v>
      </c>
      <c r="CA14" s="241">
        <f t="shared" si="25"/>
        <v>0</v>
      </c>
      <c r="CD14" s="241">
        <f t="shared" si="26"/>
        <v>0</v>
      </c>
      <c r="CG14" s="241">
        <f t="shared" si="27"/>
        <v>0</v>
      </c>
      <c r="CJ14" s="241">
        <f t="shared" si="28"/>
        <v>0</v>
      </c>
      <c r="CM14" s="241">
        <f t="shared" si="29"/>
        <v>0</v>
      </c>
      <c r="CP14" s="241">
        <f t="shared" si="30"/>
        <v>0</v>
      </c>
      <c r="CS14" s="241">
        <f t="shared" si="31"/>
        <v>0</v>
      </c>
      <c r="CV14" s="241">
        <f t="shared" si="32"/>
        <v>0</v>
      </c>
      <c r="CY14" s="241">
        <f t="shared" si="33"/>
        <v>0</v>
      </c>
      <c r="DB14" s="241">
        <f t="shared" si="34"/>
        <v>0</v>
      </c>
      <c r="DE14" s="241">
        <f t="shared" si="35"/>
        <v>0</v>
      </c>
      <c r="DH14" s="241">
        <f t="shared" si="36"/>
        <v>0</v>
      </c>
      <c r="DK14" s="241">
        <f t="shared" si="37"/>
        <v>0</v>
      </c>
      <c r="DN14" s="241">
        <f t="shared" si="38"/>
        <v>0</v>
      </c>
      <c r="DQ14" s="241">
        <f t="shared" si="39"/>
        <v>0</v>
      </c>
      <c r="DT14" s="241">
        <f t="shared" si="40"/>
        <v>0</v>
      </c>
      <c r="DW14" s="241">
        <f t="shared" si="41"/>
        <v>0</v>
      </c>
      <c r="DZ14" s="241"/>
      <c r="EA14" s="241"/>
      <c r="EB14" s="261">
        <f t="shared" si="42"/>
        <v>342125000</v>
      </c>
      <c r="EC14" s="261">
        <f t="shared" si="43"/>
        <v>48900000</v>
      </c>
      <c r="ED14" s="241">
        <f t="shared" si="44"/>
        <v>46991.493055555555</v>
      </c>
      <c r="EE14" s="242">
        <f t="shared" si="45"/>
        <v>4.9446656923639025E-2</v>
      </c>
      <c r="EG14" s="261">
        <f t="shared" si="46"/>
        <v>0</v>
      </c>
      <c r="EH14" s="241">
        <f t="shared" si="47"/>
        <v>0</v>
      </c>
      <c r="EI14" s="242">
        <f t="shared" si="48"/>
        <v>0</v>
      </c>
      <c r="EJ14" s="242"/>
      <c r="EK14" s="261">
        <f t="shared" si="49"/>
        <v>293225000</v>
      </c>
      <c r="EL14" s="261">
        <f t="shared" si="50"/>
        <v>0</v>
      </c>
      <c r="EM14" s="261">
        <f t="shared" si="51"/>
        <v>40607.326388888891</v>
      </c>
      <c r="EN14" s="242">
        <f t="shared" si="52"/>
        <v>4.9854676443004523E-2</v>
      </c>
      <c r="EP14" s="241"/>
    </row>
    <row r="15" spans="1:147" x14ac:dyDescent="0.25">
      <c r="A15" s="255">
        <f t="shared" si="53"/>
        <v>45601</v>
      </c>
      <c r="B15" s="241">
        <v>60450000</v>
      </c>
      <c r="C15" s="242">
        <v>4.6500000000000007E-2</v>
      </c>
      <c r="D15" s="241">
        <f t="shared" si="2"/>
        <v>7808.1250000000009</v>
      </c>
      <c r="G15" s="241">
        <f t="shared" si="3"/>
        <v>0</v>
      </c>
      <c r="J15" s="241">
        <f t="shared" si="4"/>
        <v>0</v>
      </c>
      <c r="M15" s="241">
        <f t="shared" si="5"/>
        <v>0</v>
      </c>
      <c r="P15" s="241">
        <f t="shared" si="6"/>
        <v>0</v>
      </c>
      <c r="S15" s="241">
        <f t="shared" si="7"/>
        <v>0</v>
      </c>
      <c r="V15" s="241">
        <f t="shared" si="8"/>
        <v>0</v>
      </c>
      <c r="Y15" s="241">
        <f t="shared" si="9"/>
        <v>0</v>
      </c>
      <c r="AB15" s="241">
        <f t="shared" si="10"/>
        <v>0</v>
      </c>
      <c r="AE15" s="241">
        <v>0</v>
      </c>
      <c r="AH15" s="241">
        <v>0</v>
      </c>
      <c r="AI15" s="256">
        <f>40000000+22825000</f>
        <v>62825000</v>
      </c>
      <c r="AJ15" s="257">
        <v>4.9500000000000002E-2</v>
      </c>
      <c r="AK15" s="241">
        <f t="shared" si="11"/>
        <v>8638.4375</v>
      </c>
      <c r="AL15" s="256">
        <f t="shared" si="0"/>
        <v>145000000</v>
      </c>
      <c r="AM15" s="257">
        <v>5.0299999999999997E-2</v>
      </c>
      <c r="AN15" s="241">
        <f t="shared" si="12"/>
        <v>20259.722222222223</v>
      </c>
      <c r="AO15" s="256">
        <f t="shared" si="1"/>
        <v>60000000</v>
      </c>
      <c r="AP15" s="257">
        <v>4.9299999999999997E-2</v>
      </c>
      <c r="AQ15" s="241">
        <f t="shared" si="13"/>
        <v>8216.6666666666661</v>
      </c>
      <c r="AR15" s="256"/>
      <c r="AS15" s="257"/>
      <c r="AT15" s="241">
        <f t="shared" si="14"/>
        <v>0</v>
      </c>
      <c r="AW15" s="241">
        <f t="shared" si="15"/>
        <v>0</v>
      </c>
      <c r="AZ15" s="241">
        <f t="shared" si="16"/>
        <v>0</v>
      </c>
      <c r="BC15" s="241">
        <f t="shared" si="17"/>
        <v>0</v>
      </c>
      <c r="BF15" s="241">
        <f t="shared" si="18"/>
        <v>0</v>
      </c>
      <c r="BI15" s="241">
        <f t="shared" si="19"/>
        <v>0</v>
      </c>
      <c r="BL15" s="241">
        <f t="shared" si="20"/>
        <v>0</v>
      </c>
      <c r="BO15" s="241">
        <f t="shared" si="21"/>
        <v>0</v>
      </c>
      <c r="BR15" s="241">
        <f t="shared" si="22"/>
        <v>0</v>
      </c>
      <c r="BU15" s="241">
        <f t="shared" si="23"/>
        <v>0</v>
      </c>
      <c r="BX15" s="241">
        <f t="shared" si="24"/>
        <v>0</v>
      </c>
      <c r="CA15" s="241">
        <f t="shared" si="25"/>
        <v>0</v>
      </c>
      <c r="CD15" s="241">
        <f t="shared" si="26"/>
        <v>0</v>
      </c>
      <c r="CG15" s="241">
        <f t="shared" si="27"/>
        <v>0</v>
      </c>
      <c r="CJ15" s="241">
        <f t="shared" si="28"/>
        <v>0</v>
      </c>
      <c r="CM15" s="241">
        <f t="shared" si="29"/>
        <v>0</v>
      </c>
      <c r="CP15" s="241">
        <f t="shared" si="30"/>
        <v>0</v>
      </c>
      <c r="CS15" s="241">
        <f t="shared" si="31"/>
        <v>0</v>
      </c>
      <c r="CV15" s="241">
        <f t="shared" si="32"/>
        <v>0</v>
      </c>
      <c r="CY15" s="241">
        <f t="shared" si="33"/>
        <v>0</v>
      </c>
      <c r="DB15" s="241">
        <f t="shared" si="34"/>
        <v>0</v>
      </c>
      <c r="DE15" s="241">
        <f t="shared" si="35"/>
        <v>0</v>
      </c>
      <c r="DH15" s="241">
        <f t="shared" si="36"/>
        <v>0</v>
      </c>
      <c r="DK15" s="241">
        <f t="shared" si="37"/>
        <v>0</v>
      </c>
      <c r="DN15" s="241">
        <f t="shared" si="38"/>
        <v>0</v>
      </c>
      <c r="DQ15" s="241">
        <f t="shared" si="39"/>
        <v>0</v>
      </c>
      <c r="DT15" s="241">
        <f t="shared" si="40"/>
        <v>0</v>
      </c>
      <c r="DW15" s="241">
        <f t="shared" si="41"/>
        <v>0</v>
      </c>
      <c r="DZ15" s="241"/>
      <c r="EA15" s="241"/>
      <c r="EB15" s="261">
        <f t="shared" si="42"/>
        <v>328275000</v>
      </c>
      <c r="EC15" s="261">
        <f t="shared" si="43"/>
        <v>60450000</v>
      </c>
      <c r="ED15" s="241">
        <f t="shared" si="44"/>
        <v>44922.951388888883</v>
      </c>
      <c r="EE15" s="242">
        <f t="shared" si="45"/>
        <v>4.9264374381235237E-2</v>
      </c>
      <c r="EG15" s="261">
        <f t="shared" si="46"/>
        <v>0</v>
      </c>
      <c r="EH15" s="241">
        <f t="shared" si="47"/>
        <v>0</v>
      </c>
      <c r="EI15" s="242">
        <f t="shared" si="48"/>
        <v>0</v>
      </c>
      <c r="EJ15" s="242"/>
      <c r="EK15" s="261">
        <f t="shared" si="49"/>
        <v>267825000</v>
      </c>
      <c r="EL15" s="261">
        <f t="shared" si="50"/>
        <v>0</v>
      </c>
      <c r="EM15" s="261">
        <f t="shared" si="51"/>
        <v>37114.826388888891</v>
      </c>
      <c r="EN15" s="242">
        <f t="shared" si="52"/>
        <v>4.9888313264258383E-2</v>
      </c>
      <c r="EP15" s="241"/>
    </row>
    <row r="16" spans="1:147" x14ac:dyDescent="0.25">
      <c r="A16" s="255">
        <f t="shared" si="53"/>
        <v>45602</v>
      </c>
      <c r="B16" s="241">
        <v>65525000</v>
      </c>
      <c r="C16" s="242">
        <v>4.6199999999999998E-2</v>
      </c>
      <c r="D16" s="241">
        <f t="shared" si="2"/>
        <v>8409.0416666666661</v>
      </c>
      <c r="G16" s="241">
        <f t="shared" si="3"/>
        <v>0</v>
      </c>
      <c r="J16" s="241">
        <f t="shared" si="4"/>
        <v>0</v>
      </c>
      <c r="M16" s="241">
        <f t="shared" si="5"/>
        <v>0</v>
      </c>
      <c r="P16" s="241">
        <f t="shared" si="6"/>
        <v>0</v>
      </c>
      <c r="S16" s="241">
        <f t="shared" si="7"/>
        <v>0</v>
      </c>
      <c r="V16" s="241">
        <f t="shared" si="8"/>
        <v>0</v>
      </c>
      <c r="Y16" s="241">
        <f t="shared" si="9"/>
        <v>0</v>
      </c>
      <c r="AB16" s="241">
        <f t="shared" si="10"/>
        <v>0</v>
      </c>
      <c r="AE16" s="241">
        <v>0</v>
      </c>
      <c r="AH16" s="241">
        <v>0</v>
      </c>
      <c r="AI16" s="256">
        <f>27000000+20175000</f>
        <v>47175000</v>
      </c>
      <c r="AJ16" s="257">
        <v>4.9500000000000002E-2</v>
      </c>
      <c r="AK16" s="241">
        <f t="shared" si="11"/>
        <v>6486.5625</v>
      </c>
      <c r="AL16" s="256">
        <f t="shared" si="0"/>
        <v>145000000</v>
      </c>
      <c r="AM16" s="257">
        <v>5.0299999999999997E-2</v>
      </c>
      <c r="AN16" s="241">
        <f t="shared" si="12"/>
        <v>20259.722222222223</v>
      </c>
      <c r="AO16" s="256">
        <f t="shared" si="1"/>
        <v>60000000</v>
      </c>
      <c r="AP16" s="257">
        <v>4.9299999999999997E-2</v>
      </c>
      <c r="AQ16" s="241">
        <f t="shared" si="13"/>
        <v>8216.6666666666661</v>
      </c>
      <c r="AR16" s="256"/>
      <c r="AS16" s="257"/>
      <c r="AT16" s="241">
        <f t="shared" si="14"/>
        <v>0</v>
      </c>
      <c r="AW16" s="241">
        <f t="shared" si="15"/>
        <v>0</v>
      </c>
      <c r="AZ16" s="241">
        <f t="shared" si="16"/>
        <v>0</v>
      </c>
      <c r="BC16" s="241">
        <f t="shared" si="17"/>
        <v>0</v>
      </c>
      <c r="BF16" s="241">
        <f t="shared" si="18"/>
        <v>0</v>
      </c>
      <c r="BI16" s="241">
        <f t="shared" si="19"/>
        <v>0</v>
      </c>
      <c r="BL16" s="241">
        <f t="shared" si="20"/>
        <v>0</v>
      </c>
      <c r="BO16" s="241">
        <f t="shared" si="21"/>
        <v>0</v>
      </c>
      <c r="BR16" s="241">
        <f t="shared" si="22"/>
        <v>0</v>
      </c>
      <c r="BU16" s="241">
        <f t="shared" si="23"/>
        <v>0</v>
      </c>
      <c r="BX16" s="241">
        <f t="shared" si="24"/>
        <v>0</v>
      </c>
      <c r="CA16" s="241">
        <f t="shared" si="25"/>
        <v>0</v>
      </c>
      <c r="CD16" s="241">
        <f t="shared" si="26"/>
        <v>0</v>
      </c>
      <c r="CG16" s="241">
        <f t="shared" si="27"/>
        <v>0</v>
      </c>
      <c r="CJ16" s="241">
        <f t="shared" si="28"/>
        <v>0</v>
      </c>
      <c r="CM16" s="241">
        <f t="shared" si="29"/>
        <v>0</v>
      </c>
      <c r="CP16" s="241">
        <f t="shared" si="30"/>
        <v>0</v>
      </c>
      <c r="CS16" s="241">
        <f t="shared" si="31"/>
        <v>0</v>
      </c>
      <c r="CV16" s="241">
        <f t="shared" si="32"/>
        <v>0</v>
      </c>
      <c r="CY16" s="241">
        <f t="shared" si="33"/>
        <v>0</v>
      </c>
      <c r="DB16" s="241">
        <f t="shared" si="34"/>
        <v>0</v>
      </c>
      <c r="DE16" s="241">
        <f t="shared" si="35"/>
        <v>0</v>
      </c>
      <c r="DH16" s="241">
        <f t="shared" si="36"/>
        <v>0</v>
      </c>
      <c r="DK16" s="241">
        <f t="shared" si="37"/>
        <v>0</v>
      </c>
      <c r="DN16" s="241">
        <f t="shared" si="38"/>
        <v>0</v>
      </c>
      <c r="DQ16" s="241">
        <f t="shared" si="39"/>
        <v>0</v>
      </c>
      <c r="DT16" s="241">
        <f t="shared" si="40"/>
        <v>0</v>
      </c>
      <c r="DW16" s="241">
        <f t="shared" si="41"/>
        <v>0</v>
      </c>
      <c r="DZ16" s="241"/>
      <c r="EA16" s="241"/>
      <c r="EB16" s="261">
        <f t="shared" si="42"/>
        <v>317700000</v>
      </c>
      <c r="EC16" s="261">
        <f t="shared" si="43"/>
        <v>65525000</v>
      </c>
      <c r="ED16" s="241">
        <f t="shared" si="44"/>
        <v>43371.993055555555</v>
      </c>
      <c r="EE16" s="242">
        <f t="shared" si="45"/>
        <v>4.9146734340572866E-2</v>
      </c>
      <c r="EG16" s="261">
        <f t="shared" si="46"/>
        <v>0</v>
      </c>
      <c r="EH16" s="241">
        <f t="shared" si="47"/>
        <v>0</v>
      </c>
      <c r="EI16" s="242">
        <f t="shared" si="48"/>
        <v>0</v>
      </c>
      <c r="EJ16" s="242"/>
      <c r="EK16" s="261">
        <f t="shared" si="49"/>
        <v>252175000</v>
      </c>
      <c r="EL16" s="261">
        <f t="shared" si="50"/>
        <v>0</v>
      </c>
      <c r="EM16" s="261">
        <f t="shared" si="51"/>
        <v>34962.951388888891</v>
      </c>
      <c r="EN16" s="242">
        <f t="shared" si="52"/>
        <v>4.9912412015465452E-2</v>
      </c>
      <c r="EP16" s="241"/>
    </row>
    <row r="17" spans="1:146" x14ac:dyDescent="0.25">
      <c r="A17" s="255">
        <f t="shared" si="53"/>
        <v>45603</v>
      </c>
      <c r="B17" s="241">
        <v>63775000</v>
      </c>
      <c r="C17" s="242">
        <v>4.6500000000000007E-2</v>
      </c>
      <c r="D17" s="241">
        <f t="shared" si="2"/>
        <v>8237.6041666666679</v>
      </c>
      <c r="G17" s="241">
        <f t="shared" si="3"/>
        <v>0</v>
      </c>
      <c r="J17" s="241">
        <f t="shared" si="4"/>
        <v>0</v>
      </c>
      <c r="M17" s="241">
        <f t="shared" si="5"/>
        <v>0</v>
      </c>
      <c r="P17" s="241">
        <f t="shared" si="6"/>
        <v>0</v>
      </c>
      <c r="S17" s="241">
        <f t="shared" si="7"/>
        <v>0</v>
      </c>
      <c r="V17" s="241">
        <f t="shared" si="8"/>
        <v>0</v>
      </c>
      <c r="Y17" s="241">
        <f t="shared" si="9"/>
        <v>0</v>
      </c>
      <c r="AB17" s="241">
        <f t="shared" si="10"/>
        <v>0</v>
      </c>
      <c r="AE17" s="241">
        <v>0</v>
      </c>
      <c r="AH17" s="241">
        <v>0</v>
      </c>
      <c r="AI17" s="256">
        <f>43950000</f>
        <v>43950000</v>
      </c>
      <c r="AJ17" s="257">
        <v>4.9500000000000002E-2</v>
      </c>
      <c r="AK17" s="241">
        <f t="shared" si="11"/>
        <v>6043.125</v>
      </c>
      <c r="AL17" s="256">
        <f t="shared" si="0"/>
        <v>145000000</v>
      </c>
      <c r="AM17" s="257">
        <v>5.0299999999999997E-2</v>
      </c>
      <c r="AN17" s="241">
        <f t="shared" si="12"/>
        <v>20259.722222222223</v>
      </c>
      <c r="AO17" s="256">
        <f t="shared" si="1"/>
        <v>60000000</v>
      </c>
      <c r="AP17" s="257">
        <v>4.9299999999999997E-2</v>
      </c>
      <c r="AQ17" s="241">
        <f t="shared" si="13"/>
        <v>8216.6666666666661</v>
      </c>
      <c r="AR17" s="256"/>
      <c r="AS17" s="257"/>
      <c r="AT17" s="241">
        <f t="shared" si="14"/>
        <v>0</v>
      </c>
      <c r="AW17" s="241">
        <f t="shared" si="15"/>
        <v>0</v>
      </c>
      <c r="AZ17" s="241">
        <f t="shared" si="16"/>
        <v>0</v>
      </c>
      <c r="BC17" s="241">
        <f t="shared" si="17"/>
        <v>0</v>
      </c>
      <c r="BF17" s="241">
        <f t="shared" si="18"/>
        <v>0</v>
      </c>
      <c r="BI17" s="241">
        <f t="shared" si="19"/>
        <v>0</v>
      </c>
      <c r="BL17" s="241">
        <f t="shared" si="20"/>
        <v>0</v>
      </c>
      <c r="BO17" s="241">
        <f t="shared" si="21"/>
        <v>0</v>
      </c>
      <c r="BR17" s="241">
        <f t="shared" si="22"/>
        <v>0</v>
      </c>
      <c r="BU17" s="241">
        <f t="shared" si="23"/>
        <v>0</v>
      </c>
      <c r="BX17" s="241">
        <f t="shared" si="24"/>
        <v>0</v>
      </c>
      <c r="CA17" s="241">
        <f t="shared" si="25"/>
        <v>0</v>
      </c>
      <c r="CD17" s="241">
        <f t="shared" si="26"/>
        <v>0</v>
      </c>
      <c r="CG17" s="241">
        <f t="shared" si="27"/>
        <v>0</v>
      </c>
      <c r="CJ17" s="241">
        <f t="shared" si="28"/>
        <v>0</v>
      </c>
      <c r="CM17" s="241">
        <f t="shared" si="29"/>
        <v>0</v>
      </c>
      <c r="CP17" s="241">
        <f t="shared" si="30"/>
        <v>0</v>
      </c>
      <c r="CS17" s="241">
        <f t="shared" si="31"/>
        <v>0</v>
      </c>
      <c r="CV17" s="241">
        <f t="shared" si="32"/>
        <v>0</v>
      </c>
      <c r="CY17" s="241">
        <f t="shared" si="33"/>
        <v>0</v>
      </c>
      <c r="DB17" s="241">
        <f t="shared" si="34"/>
        <v>0</v>
      </c>
      <c r="DE17" s="241">
        <f t="shared" si="35"/>
        <v>0</v>
      </c>
      <c r="DH17" s="241">
        <f t="shared" si="36"/>
        <v>0</v>
      </c>
      <c r="DK17" s="241">
        <f t="shared" si="37"/>
        <v>0</v>
      </c>
      <c r="DN17" s="241">
        <f t="shared" si="38"/>
        <v>0</v>
      </c>
      <c r="DQ17" s="241">
        <f t="shared" si="39"/>
        <v>0</v>
      </c>
      <c r="DT17" s="241">
        <f t="shared" si="40"/>
        <v>0</v>
      </c>
      <c r="DW17" s="241">
        <f t="shared" si="41"/>
        <v>0</v>
      </c>
      <c r="DZ17" s="241"/>
      <c r="EA17" s="241"/>
      <c r="EB17" s="261">
        <f t="shared" si="42"/>
        <v>312725000</v>
      </c>
      <c r="EC17" s="261">
        <f t="shared" si="43"/>
        <v>63775000</v>
      </c>
      <c r="ED17" s="241">
        <f t="shared" si="44"/>
        <v>42757.118055555555</v>
      </c>
      <c r="EE17" s="242">
        <f t="shared" si="45"/>
        <v>4.9220761052042525E-2</v>
      </c>
      <c r="EG17" s="261">
        <f t="shared" si="46"/>
        <v>0</v>
      </c>
      <c r="EH17" s="241">
        <f t="shared" si="47"/>
        <v>0</v>
      </c>
      <c r="EI17" s="242">
        <f t="shared" si="48"/>
        <v>0</v>
      </c>
      <c r="EJ17" s="242"/>
      <c r="EK17" s="261">
        <f t="shared" si="49"/>
        <v>248950000</v>
      </c>
      <c r="EL17" s="261">
        <f t="shared" si="50"/>
        <v>0</v>
      </c>
      <c r="EM17" s="261">
        <f t="shared" si="51"/>
        <v>34519.513888888891</v>
      </c>
      <c r="EN17" s="242">
        <f t="shared" si="52"/>
        <v>4.9917754569190606E-2</v>
      </c>
      <c r="EP17" s="241"/>
    </row>
    <row r="18" spans="1:146" x14ac:dyDescent="0.25">
      <c r="A18" s="255">
        <f t="shared" si="53"/>
        <v>45604</v>
      </c>
      <c r="B18" s="241">
        <v>55050000</v>
      </c>
      <c r="C18" s="242">
        <v>4.5700000000000005E-2</v>
      </c>
      <c r="D18" s="241">
        <f t="shared" si="2"/>
        <v>6988.2916666666679</v>
      </c>
      <c r="G18" s="241">
        <f t="shared" si="3"/>
        <v>0</v>
      </c>
      <c r="J18" s="241">
        <f t="shared" si="4"/>
        <v>0</v>
      </c>
      <c r="M18" s="241">
        <f t="shared" si="5"/>
        <v>0</v>
      </c>
      <c r="P18" s="241">
        <f t="shared" si="6"/>
        <v>0</v>
      </c>
      <c r="S18" s="241">
        <f t="shared" si="7"/>
        <v>0</v>
      </c>
      <c r="V18" s="241">
        <f t="shared" si="8"/>
        <v>0</v>
      </c>
      <c r="Y18" s="241">
        <f t="shared" si="9"/>
        <v>0</v>
      </c>
      <c r="AB18" s="241">
        <f t="shared" si="10"/>
        <v>0</v>
      </c>
      <c r="AE18" s="241">
        <v>0</v>
      </c>
      <c r="AH18" s="241">
        <v>0</v>
      </c>
      <c r="AI18" s="256">
        <f>58850000</f>
        <v>58850000</v>
      </c>
      <c r="AJ18" s="257">
        <v>4.7E-2</v>
      </c>
      <c r="AK18" s="241">
        <f t="shared" si="11"/>
        <v>7683.1944444444443</v>
      </c>
      <c r="AL18" s="256">
        <f t="shared" si="0"/>
        <v>145000000</v>
      </c>
      <c r="AM18" s="257">
        <v>5.0299999999999997E-2</v>
      </c>
      <c r="AN18" s="241">
        <f t="shared" si="12"/>
        <v>20259.722222222223</v>
      </c>
      <c r="AO18" s="256">
        <f t="shared" si="1"/>
        <v>60000000</v>
      </c>
      <c r="AP18" s="257">
        <v>4.9299999999999997E-2</v>
      </c>
      <c r="AQ18" s="241">
        <f t="shared" si="13"/>
        <v>8216.6666666666661</v>
      </c>
      <c r="AR18" s="256"/>
      <c r="AS18" s="257"/>
      <c r="AT18" s="241">
        <f t="shared" si="14"/>
        <v>0</v>
      </c>
      <c r="AW18" s="241">
        <f t="shared" si="15"/>
        <v>0</v>
      </c>
      <c r="AZ18" s="241">
        <f t="shared" si="16"/>
        <v>0</v>
      </c>
      <c r="BC18" s="241">
        <f t="shared" si="17"/>
        <v>0</v>
      </c>
      <c r="BF18" s="241">
        <f t="shared" si="18"/>
        <v>0</v>
      </c>
      <c r="BI18" s="241">
        <f t="shared" si="19"/>
        <v>0</v>
      </c>
      <c r="BL18" s="241">
        <f t="shared" si="20"/>
        <v>0</v>
      </c>
      <c r="BO18" s="241">
        <f t="shared" si="21"/>
        <v>0</v>
      </c>
      <c r="BR18" s="241">
        <f t="shared" si="22"/>
        <v>0</v>
      </c>
      <c r="BU18" s="241">
        <f t="shared" si="23"/>
        <v>0</v>
      </c>
      <c r="BX18" s="241">
        <f t="shared" si="24"/>
        <v>0</v>
      </c>
      <c r="CA18" s="241">
        <f t="shared" si="25"/>
        <v>0</v>
      </c>
      <c r="CD18" s="241">
        <f t="shared" si="26"/>
        <v>0</v>
      </c>
      <c r="CG18" s="241">
        <f t="shared" si="27"/>
        <v>0</v>
      </c>
      <c r="CJ18" s="241">
        <f t="shared" si="28"/>
        <v>0</v>
      </c>
      <c r="CM18" s="241">
        <f t="shared" si="29"/>
        <v>0</v>
      </c>
      <c r="CP18" s="241">
        <f t="shared" si="30"/>
        <v>0</v>
      </c>
      <c r="CS18" s="241">
        <f t="shared" si="31"/>
        <v>0</v>
      </c>
      <c r="CV18" s="241">
        <f t="shared" si="32"/>
        <v>0</v>
      </c>
      <c r="CY18" s="241">
        <f t="shared" si="33"/>
        <v>0</v>
      </c>
      <c r="DB18" s="241">
        <f t="shared" si="34"/>
        <v>0</v>
      </c>
      <c r="DE18" s="241">
        <f t="shared" si="35"/>
        <v>0</v>
      </c>
      <c r="DH18" s="241">
        <f t="shared" si="36"/>
        <v>0</v>
      </c>
      <c r="DK18" s="241">
        <f t="shared" si="37"/>
        <v>0</v>
      </c>
      <c r="DN18" s="241">
        <f t="shared" si="38"/>
        <v>0</v>
      </c>
      <c r="DQ18" s="241">
        <f t="shared" si="39"/>
        <v>0</v>
      </c>
      <c r="DT18" s="241">
        <f t="shared" si="40"/>
        <v>0</v>
      </c>
      <c r="DW18" s="241">
        <f t="shared" si="41"/>
        <v>0</v>
      </c>
      <c r="DZ18" s="241"/>
      <c r="EA18" s="241"/>
      <c r="EB18" s="261">
        <f t="shared" si="42"/>
        <v>318900000</v>
      </c>
      <c r="EC18" s="261">
        <f t="shared" si="43"/>
        <v>55050000</v>
      </c>
      <c r="ED18" s="241">
        <f t="shared" si="44"/>
        <v>43147.875</v>
      </c>
      <c r="EE18" s="242">
        <f t="shared" si="45"/>
        <v>4.8708795860771398E-2</v>
      </c>
      <c r="EG18" s="261">
        <f t="shared" si="46"/>
        <v>0</v>
      </c>
      <c r="EH18" s="241">
        <f t="shared" si="47"/>
        <v>0</v>
      </c>
      <c r="EI18" s="242">
        <f t="shared" si="48"/>
        <v>0</v>
      </c>
      <c r="EJ18" s="242"/>
      <c r="EK18" s="261">
        <f t="shared" si="49"/>
        <v>263850000</v>
      </c>
      <c r="EL18" s="261">
        <f t="shared" si="50"/>
        <v>0</v>
      </c>
      <c r="EM18" s="261">
        <f t="shared" si="51"/>
        <v>36159.583333333336</v>
      </c>
      <c r="EN18" s="242">
        <f t="shared" si="52"/>
        <v>4.9336554860716322E-2</v>
      </c>
      <c r="EP18" s="241"/>
    </row>
    <row r="19" spans="1:146" x14ac:dyDescent="0.25">
      <c r="A19" s="255">
        <f t="shared" si="53"/>
        <v>45605</v>
      </c>
      <c r="B19" s="241">
        <v>55050000</v>
      </c>
      <c r="C19" s="242">
        <v>4.5700000000000005E-2</v>
      </c>
      <c r="D19" s="241">
        <f t="shared" si="2"/>
        <v>6988.2916666666679</v>
      </c>
      <c r="G19" s="241">
        <f t="shared" si="3"/>
        <v>0</v>
      </c>
      <c r="J19" s="241">
        <f t="shared" si="4"/>
        <v>0</v>
      </c>
      <c r="M19" s="241">
        <f t="shared" si="5"/>
        <v>0</v>
      </c>
      <c r="P19" s="241">
        <f t="shared" si="6"/>
        <v>0</v>
      </c>
      <c r="S19" s="241">
        <f t="shared" si="7"/>
        <v>0</v>
      </c>
      <c r="V19" s="241">
        <f t="shared" si="8"/>
        <v>0</v>
      </c>
      <c r="Y19" s="241">
        <f t="shared" si="9"/>
        <v>0</v>
      </c>
      <c r="AB19" s="241">
        <f t="shared" si="10"/>
        <v>0</v>
      </c>
      <c r="AE19" s="241">
        <v>0</v>
      </c>
      <c r="AH19" s="241">
        <v>0</v>
      </c>
      <c r="AI19" s="256">
        <f>58850000</f>
        <v>58850000</v>
      </c>
      <c r="AJ19" s="257">
        <v>4.7E-2</v>
      </c>
      <c r="AK19" s="241">
        <f t="shared" si="11"/>
        <v>7683.1944444444443</v>
      </c>
      <c r="AL19" s="256">
        <f t="shared" si="0"/>
        <v>145000000</v>
      </c>
      <c r="AM19" s="257">
        <v>5.0299999999999997E-2</v>
      </c>
      <c r="AN19" s="241">
        <f t="shared" si="12"/>
        <v>20259.722222222223</v>
      </c>
      <c r="AO19" s="256">
        <f t="shared" si="1"/>
        <v>60000000</v>
      </c>
      <c r="AP19" s="257">
        <v>4.9299999999999997E-2</v>
      </c>
      <c r="AQ19" s="241">
        <f t="shared" si="13"/>
        <v>8216.6666666666661</v>
      </c>
      <c r="AR19" s="256"/>
      <c r="AS19" s="257"/>
      <c r="AT19" s="241">
        <f t="shared" si="14"/>
        <v>0</v>
      </c>
      <c r="AW19" s="241">
        <f t="shared" si="15"/>
        <v>0</v>
      </c>
      <c r="AZ19" s="241">
        <f t="shared" si="16"/>
        <v>0</v>
      </c>
      <c r="BC19" s="241">
        <f t="shared" si="17"/>
        <v>0</v>
      </c>
      <c r="BF19" s="241">
        <f t="shared" si="18"/>
        <v>0</v>
      </c>
      <c r="BI19" s="241">
        <f t="shared" si="19"/>
        <v>0</v>
      </c>
      <c r="BL19" s="241">
        <f t="shared" si="20"/>
        <v>0</v>
      </c>
      <c r="BO19" s="241">
        <f t="shared" si="21"/>
        <v>0</v>
      </c>
      <c r="BR19" s="241">
        <f t="shared" si="22"/>
        <v>0</v>
      </c>
      <c r="BU19" s="241">
        <f t="shared" si="23"/>
        <v>0</v>
      </c>
      <c r="BX19" s="241">
        <f t="shared" si="24"/>
        <v>0</v>
      </c>
      <c r="CA19" s="241">
        <f t="shared" si="25"/>
        <v>0</v>
      </c>
      <c r="CD19" s="241">
        <f t="shared" si="26"/>
        <v>0</v>
      </c>
      <c r="CG19" s="241">
        <f t="shared" si="27"/>
        <v>0</v>
      </c>
      <c r="CJ19" s="241">
        <f t="shared" si="28"/>
        <v>0</v>
      </c>
      <c r="CM19" s="241">
        <f t="shared" si="29"/>
        <v>0</v>
      </c>
      <c r="CP19" s="241">
        <f t="shared" si="30"/>
        <v>0</v>
      </c>
      <c r="CS19" s="241">
        <f t="shared" si="31"/>
        <v>0</v>
      </c>
      <c r="CV19" s="241">
        <f t="shared" si="32"/>
        <v>0</v>
      </c>
      <c r="CY19" s="241">
        <f t="shared" si="33"/>
        <v>0</v>
      </c>
      <c r="DB19" s="241">
        <f t="shared" si="34"/>
        <v>0</v>
      </c>
      <c r="DE19" s="241">
        <f t="shared" si="35"/>
        <v>0</v>
      </c>
      <c r="DH19" s="241">
        <f t="shared" si="36"/>
        <v>0</v>
      </c>
      <c r="DK19" s="241">
        <f t="shared" si="37"/>
        <v>0</v>
      </c>
      <c r="DN19" s="241">
        <f t="shared" si="38"/>
        <v>0</v>
      </c>
      <c r="DQ19" s="241">
        <f t="shared" si="39"/>
        <v>0</v>
      </c>
      <c r="DT19" s="241">
        <f t="shared" si="40"/>
        <v>0</v>
      </c>
      <c r="DW19" s="241">
        <f t="shared" si="41"/>
        <v>0</v>
      </c>
      <c r="DZ19" s="241"/>
      <c r="EA19" s="241"/>
      <c r="EB19" s="261">
        <f t="shared" si="42"/>
        <v>318900000</v>
      </c>
      <c r="EC19" s="261">
        <f t="shared" si="43"/>
        <v>55050000</v>
      </c>
      <c r="ED19" s="241">
        <f t="shared" si="44"/>
        <v>43147.875</v>
      </c>
      <c r="EE19" s="242">
        <f t="shared" si="45"/>
        <v>4.8708795860771398E-2</v>
      </c>
      <c r="EG19" s="261">
        <f t="shared" si="46"/>
        <v>0</v>
      </c>
      <c r="EH19" s="241">
        <f t="shared" si="47"/>
        <v>0</v>
      </c>
      <c r="EI19" s="242">
        <f t="shared" si="48"/>
        <v>0</v>
      </c>
      <c r="EJ19" s="242"/>
      <c r="EK19" s="261">
        <f t="shared" si="49"/>
        <v>263850000</v>
      </c>
      <c r="EL19" s="261">
        <f t="shared" si="50"/>
        <v>0</v>
      </c>
      <c r="EM19" s="261">
        <f t="shared" si="51"/>
        <v>36159.583333333336</v>
      </c>
      <c r="EN19" s="242">
        <f t="shared" si="52"/>
        <v>4.9336554860716322E-2</v>
      </c>
      <c r="EP19" s="241"/>
    </row>
    <row r="20" spans="1:146" x14ac:dyDescent="0.25">
      <c r="A20" s="255">
        <f t="shared" si="53"/>
        <v>45606</v>
      </c>
      <c r="B20" s="241">
        <v>55050000</v>
      </c>
      <c r="C20" s="242">
        <v>4.5700000000000005E-2</v>
      </c>
      <c r="D20" s="241">
        <f t="shared" si="2"/>
        <v>6988.2916666666679</v>
      </c>
      <c r="G20" s="241">
        <f t="shared" si="3"/>
        <v>0</v>
      </c>
      <c r="J20" s="241">
        <f t="shared" si="4"/>
        <v>0</v>
      </c>
      <c r="M20" s="241">
        <f t="shared" si="5"/>
        <v>0</v>
      </c>
      <c r="P20" s="241">
        <f t="shared" si="6"/>
        <v>0</v>
      </c>
      <c r="S20" s="241">
        <f t="shared" si="7"/>
        <v>0</v>
      </c>
      <c r="V20" s="241">
        <f t="shared" si="8"/>
        <v>0</v>
      </c>
      <c r="Y20" s="241">
        <f t="shared" si="9"/>
        <v>0</v>
      </c>
      <c r="AB20" s="241">
        <f t="shared" si="10"/>
        <v>0</v>
      </c>
      <c r="AE20" s="241">
        <v>0</v>
      </c>
      <c r="AH20" s="241">
        <v>0</v>
      </c>
      <c r="AI20" s="256">
        <f>58850000</f>
        <v>58850000</v>
      </c>
      <c r="AJ20" s="257">
        <v>4.7E-2</v>
      </c>
      <c r="AK20" s="241">
        <f t="shared" si="11"/>
        <v>7683.1944444444443</v>
      </c>
      <c r="AL20" s="256">
        <f t="shared" si="0"/>
        <v>145000000</v>
      </c>
      <c r="AM20" s="257">
        <v>5.0299999999999997E-2</v>
      </c>
      <c r="AN20" s="241">
        <f t="shared" si="12"/>
        <v>20259.722222222223</v>
      </c>
      <c r="AO20" s="256">
        <f t="shared" si="1"/>
        <v>60000000</v>
      </c>
      <c r="AP20" s="257">
        <v>4.9299999999999997E-2</v>
      </c>
      <c r="AQ20" s="241">
        <f t="shared" si="13"/>
        <v>8216.6666666666661</v>
      </c>
      <c r="AR20" s="256"/>
      <c r="AS20" s="257"/>
      <c r="AT20" s="241">
        <f t="shared" si="14"/>
        <v>0</v>
      </c>
      <c r="AW20" s="241">
        <f t="shared" si="15"/>
        <v>0</v>
      </c>
      <c r="AZ20" s="241">
        <f t="shared" si="16"/>
        <v>0</v>
      </c>
      <c r="BC20" s="241">
        <f t="shared" si="17"/>
        <v>0</v>
      </c>
      <c r="BF20" s="241">
        <f t="shared" si="18"/>
        <v>0</v>
      </c>
      <c r="BI20" s="241">
        <f t="shared" si="19"/>
        <v>0</v>
      </c>
      <c r="BL20" s="241">
        <f t="shared" si="20"/>
        <v>0</v>
      </c>
      <c r="BO20" s="241">
        <f t="shared" si="21"/>
        <v>0</v>
      </c>
      <c r="BR20" s="241">
        <f t="shared" si="22"/>
        <v>0</v>
      </c>
      <c r="BU20" s="241">
        <f t="shared" si="23"/>
        <v>0</v>
      </c>
      <c r="BX20" s="241">
        <f t="shared" si="24"/>
        <v>0</v>
      </c>
      <c r="CA20" s="241">
        <f t="shared" si="25"/>
        <v>0</v>
      </c>
      <c r="CD20" s="241">
        <f t="shared" si="26"/>
        <v>0</v>
      </c>
      <c r="CG20" s="241">
        <f t="shared" si="27"/>
        <v>0</v>
      </c>
      <c r="CJ20" s="241">
        <f t="shared" si="28"/>
        <v>0</v>
      </c>
      <c r="CM20" s="241">
        <f t="shared" si="29"/>
        <v>0</v>
      </c>
      <c r="CP20" s="241">
        <f t="shared" si="30"/>
        <v>0</v>
      </c>
      <c r="CS20" s="241">
        <f t="shared" si="31"/>
        <v>0</v>
      </c>
      <c r="CV20" s="241">
        <f t="shared" si="32"/>
        <v>0</v>
      </c>
      <c r="CY20" s="241">
        <f t="shared" si="33"/>
        <v>0</v>
      </c>
      <c r="DB20" s="241">
        <f t="shared" si="34"/>
        <v>0</v>
      </c>
      <c r="DE20" s="241">
        <f t="shared" si="35"/>
        <v>0</v>
      </c>
      <c r="DH20" s="241">
        <f t="shared" si="36"/>
        <v>0</v>
      </c>
      <c r="DK20" s="241">
        <f t="shared" si="37"/>
        <v>0</v>
      </c>
      <c r="DN20" s="241">
        <f t="shared" si="38"/>
        <v>0</v>
      </c>
      <c r="DQ20" s="241">
        <f t="shared" si="39"/>
        <v>0</v>
      </c>
      <c r="DT20" s="241">
        <f t="shared" si="40"/>
        <v>0</v>
      </c>
      <c r="DW20" s="241">
        <f t="shared" si="41"/>
        <v>0</v>
      </c>
      <c r="DZ20" s="241"/>
      <c r="EA20" s="241"/>
      <c r="EB20" s="261">
        <f t="shared" si="42"/>
        <v>318900000</v>
      </c>
      <c r="EC20" s="261">
        <f t="shared" si="43"/>
        <v>55050000</v>
      </c>
      <c r="ED20" s="241">
        <f t="shared" si="44"/>
        <v>43147.875</v>
      </c>
      <c r="EE20" s="242">
        <f t="shared" si="45"/>
        <v>4.8708795860771398E-2</v>
      </c>
      <c r="EG20" s="261">
        <f t="shared" si="46"/>
        <v>0</v>
      </c>
      <c r="EH20" s="241">
        <f t="shared" si="47"/>
        <v>0</v>
      </c>
      <c r="EI20" s="242">
        <f t="shared" si="48"/>
        <v>0</v>
      </c>
      <c r="EJ20" s="242"/>
      <c r="EK20" s="261">
        <f t="shared" si="49"/>
        <v>263850000</v>
      </c>
      <c r="EL20" s="261">
        <f t="shared" si="50"/>
        <v>0</v>
      </c>
      <c r="EM20" s="261">
        <f t="shared" si="51"/>
        <v>36159.583333333336</v>
      </c>
      <c r="EN20" s="242">
        <f t="shared" si="52"/>
        <v>4.9336554860716322E-2</v>
      </c>
      <c r="EP20" s="241"/>
    </row>
    <row r="21" spans="1:146" x14ac:dyDescent="0.25">
      <c r="A21" s="255">
        <f t="shared" si="53"/>
        <v>45607</v>
      </c>
      <c r="B21" s="241">
        <v>55050000</v>
      </c>
      <c r="C21" s="242">
        <v>4.5700000000000005E-2</v>
      </c>
      <c r="D21" s="241">
        <f t="shared" si="2"/>
        <v>6988.2916666666679</v>
      </c>
      <c r="G21" s="241">
        <f t="shared" si="3"/>
        <v>0</v>
      </c>
      <c r="J21" s="241">
        <f t="shared" si="4"/>
        <v>0</v>
      </c>
      <c r="M21" s="241">
        <f t="shared" si="5"/>
        <v>0</v>
      </c>
      <c r="P21" s="241">
        <f t="shared" si="6"/>
        <v>0</v>
      </c>
      <c r="S21" s="241">
        <f t="shared" si="7"/>
        <v>0</v>
      </c>
      <c r="V21" s="241">
        <f t="shared" si="8"/>
        <v>0</v>
      </c>
      <c r="Y21" s="241">
        <f t="shared" si="9"/>
        <v>0</v>
      </c>
      <c r="AB21" s="241">
        <f t="shared" si="10"/>
        <v>0</v>
      </c>
      <c r="AE21" s="241">
        <v>0</v>
      </c>
      <c r="AH21" s="241">
        <v>0</v>
      </c>
      <c r="AI21" s="256">
        <f>58850000</f>
        <v>58850000</v>
      </c>
      <c r="AJ21" s="257">
        <v>4.7E-2</v>
      </c>
      <c r="AK21" s="241">
        <f t="shared" si="11"/>
        <v>7683.1944444444443</v>
      </c>
      <c r="AL21" s="256">
        <f t="shared" si="0"/>
        <v>145000000</v>
      </c>
      <c r="AM21" s="257">
        <v>5.0299999999999997E-2</v>
      </c>
      <c r="AN21" s="241">
        <f t="shared" si="12"/>
        <v>20259.722222222223</v>
      </c>
      <c r="AO21" s="256">
        <f t="shared" si="1"/>
        <v>60000000</v>
      </c>
      <c r="AP21" s="257">
        <v>4.9299999999999997E-2</v>
      </c>
      <c r="AQ21" s="241">
        <f t="shared" si="13"/>
        <v>8216.6666666666661</v>
      </c>
      <c r="AR21" s="256"/>
      <c r="AS21" s="257"/>
      <c r="AT21" s="241">
        <f t="shared" si="14"/>
        <v>0</v>
      </c>
      <c r="AW21" s="241">
        <f t="shared" si="15"/>
        <v>0</v>
      </c>
      <c r="AZ21" s="241">
        <f t="shared" si="16"/>
        <v>0</v>
      </c>
      <c r="BC21" s="241">
        <f t="shared" si="17"/>
        <v>0</v>
      </c>
      <c r="BF21" s="241">
        <f t="shared" si="18"/>
        <v>0</v>
      </c>
      <c r="BI21" s="241">
        <f t="shared" si="19"/>
        <v>0</v>
      </c>
      <c r="BL21" s="241">
        <f t="shared" si="20"/>
        <v>0</v>
      </c>
      <c r="BO21" s="241">
        <f t="shared" si="21"/>
        <v>0</v>
      </c>
      <c r="BR21" s="241">
        <f t="shared" si="22"/>
        <v>0</v>
      </c>
      <c r="BU21" s="241">
        <f t="shared" si="23"/>
        <v>0</v>
      </c>
      <c r="BX21" s="241">
        <f t="shared" si="24"/>
        <v>0</v>
      </c>
      <c r="CA21" s="241">
        <f t="shared" si="25"/>
        <v>0</v>
      </c>
      <c r="CD21" s="241">
        <f t="shared" si="26"/>
        <v>0</v>
      </c>
      <c r="CG21" s="241">
        <f t="shared" si="27"/>
        <v>0</v>
      </c>
      <c r="CJ21" s="241">
        <f t="shared" si="28"/>
        <v>0</v>
      </c>
      <c r="CM21" s="241">
        <f t="shared" si="29"/>
        <v>0</v>
      </c>
      <c r="CP21" s="241">
        <f t="shared" si="30"/>
        <v>0</v>
      </c>
      <c r="CS21" s="241">
        <f t="shared" si="31"/>
        <v>0</v>
      </c>
      <c r="CV21" s="241">
        <f t="shared" si="32"/>
        <v>0</v>
      </c>
      <c r="CY21" s="241">
        <f t="shared" si="33"/>
        <v>0</v>
      </c>
      <c r="DB21" s="241">
        <f t="shared" si="34"/>
        <v>0</v>
      </c>
      <c r="DE21" s="241">
        <f t="shared" si="35"/>
        <v>0</v>
      </c>
      <c r="DH21" s="241">
        <f t="shared" si="36"/>
        <v>0</v>
      </c>
      <c r="DK21" s="241">
        <f t="shared" si="37"/>
        <v>0</v>
      </c>
      <c r="DN21" s="241">
        <f t="shared" si="38"/>
        <v>0</v>
      </c>
      <c r="DQ21" s="241">
        <f t="shared" si="39"/>
        <v>0</v>
      </c>
      <c r="DT21" s="241">
        <f t="shared" si="40"/>
        <v>0</v>
      </c>
      <c r="DW21" s="241">
        <f t="shared" si="41"/>
        <v>0</v>
      </c>
      <c r="DZ21" s="241"/>
      <c r="EA21" s="241"/>
      <c r="EB21" s="261">
        <f t="shared" si="42"/>
        <v>318900000</v>
      </c>
      <c r="EC21" s="261">
        <f t="shared" si="43"/>
        <v>55050000</v>
      </c>
      <c r="ED21" s="241">
        <f t="shared" si="44"/>
        <v>43147.875</v>
      </c>
      <c r="EE21" s="242">
        <f t="shared" si="45"/>
        <v>4.8708795860771398E-2</v>
      </c>
      <c r="EG21" s="261">
        <f t="shared" si="46"/>
        <v>0</v>
      </c>
      <c r="EH21" s="241">
        <f t="shared" si="47"/>
        <v>0</v>
      </c>
      <c r="EI21" s="242">
        <f t="shared" si="48"/>
        <v>0</v>
      </c>
      <c r="EJ21" s="242"/>
      <c r="EK21" s="261">
        <f t="shared" si="49"/>
        <v>263850000</v>
      </c>
      <c r="EL21" s="261">
        <f t="shared" si="50"/>
        <v>0</v>
      </c>
      <c r="EM21" s="261">
        <f t="shared" si="51"/>
        <v>36159.583333333336</v>
      </c>
      <c r="EN21" s="242">
        <f t="shared" si="52"/>
        <v>4.9336554860716322E-2</v>
      </c>
      <c r="EP21" s="241"/>
    </row>
    <row r="22" spans="1:146" x14ac:dyDescent="0.25">
      <c r="A22" s="255">
        <f t="shared" si="53"/>
        <v>45608</v>
      </c>
      <c r="B22" s="241">
        <v>53200000</v>
      </c>
      <c r="C22" s="242">
        <v>4.5700000000000005E-2</v>
      </c>
      <c r="D22" s="241">
        <f t="shared" si="2"/>
        <v>6753.4444444444462</v>
      </c>
      <c r="G22" s="241">
        <f t="shared" si="3"/>
        <v>0</v>
      </c>
      <c r="J22" s="241">
        <f t="shared" si="4"/>
        <v>0</v>
      </c>
      <c r="M22" s="241">
        <f t="shared" si="5"/>
        <v>0</v>
      </c>
      <c r="P22" s="241">
        <f t="shared" si="6"/>
        <v>0</v>
      </c>
      <c r="S22" s="241">
        <f t="shared" si="7"/>
        <v>0</v>
      </c>
      <c r="V22" s="241">
        <f t="shared" si="8"/>
        <v>0</v>
      </c>
      <c r="Y22" s="241">
        <f t="shared" si="9"/>
        <v>0</v>
      </c>
      <c r="AB22" s="241">
        <f t="shared" si="10"/>
        <v>0</v>
      </c>
      <c r="AE22" s="241">
        <v>0</v>
      </c>
      <c r="AH22" s="241">
        <v>0</v>
      </c>
      <c r="AI22" s="256">
        <v>66000000</v>
      </c>
      <c r="AJ22" s="257">
        <v>4.7E-2</v>
      </c>
      <c r="AK22" s="241">
        <f t="shared" si="11"/>
        <v>8616.6666666666661</v>
      </c>
      <c r="AL22" s="256">
        <f t="shared" si="0"/>
        <v>145000000</v>
      </c>
      <c r="AM22" s="257">
        <v>5.0299999999999997E-2</v>
      </c>
      <c r="AN22" s="241">
        <f t="shared" si="12"/>
        <v>20259.722222222223</v>
      </c>
      <c r="AO22" s="256">
        <f t="shared" si="1"/>
        <v>60000000</v>
      </c>
      <c r="AP22" s="257">
        <v>4.9299999999999997E-2</v>
      </c>
      <c r="AQ22" s="241">
        <f t="shared" si="13"/>
        <v>8216.6666666666661</v>
      </c>
      <c r="AR22" s="256"/>
      <c r="AS22" s="257"/>
      <c r="AT22" s="241">
        <f t="shared" si="14"/>
        <v>0</v>
      </c>
      <c r="AW22" s="241">
        <f t="shared" si="15"/>
        <v>0</v>
      </c>
      <c r="AZ22" s="241">
        <f t="shared" si="16"/>
        <v>0</v>
      </c>
      <c r="BC22" s="241">
        <f t="shared" si="17"/>
        <v>0</v>
      </c>
      <c r="BF22" s="241">
        <f t="shared" si="18"/>
        <v>0</v>
      </c>
      <c r="BI22" s="241">
        <f t="shared" si="19"/>
        <v>0</v>
      </c>
      <c r="BL22" s="241">
        <f t="shared" si="20"/>
        <v>0</v>
      </c>
      <c r="BO22" s="241">
        <f t="shared" si="21"/>
        <v>0</v>
      </c>
      <c r="BR22" s="241">
        <f t="shared" si="22"/>
        <v>0</v>
      </c>
      <c r="BU22" s="241">
        <f t="shared" si="23"/>
        <v>0</v>
      </c>
      <c r="BX22" s="241">
        <f t="shared" si="24"/>
        <v>0</v>
      </c>
      <c r="CA22" s="241">
        <f t="shared" si="25"/>
        <v>0</v>
      </c>
      <c r="CD22" s="241">
        <f t="shared" si="26"/>
        <v>0</v>
      </c>
      <c r="CG22" s="241">
        <f t="shared" si="27"/>
        <v>0</v>
      </c>
      <c r="CJ22" s="241">
        <f t="shared" si="28"/>
        <v>0</v>
      </c>
      <c r="CM22" s="241">
        <f t="shared" si="29"/>
        <v>0</v>
      </c>
      <c r="CP22" s="241">
        <f t="shared" si="30"/>
        <v>0</v>
      </c>
      <c r="CS22" s="241">
        <f t="shared" si="31"/>
        <v>0</v>
      </c>
      <c r="CV22" s="241">
        <f t="shared" si="32"/>
        <v>0</v>
      </c>
      <c r="CY22" s="241">
        <f t="shared" si="33"/>
        <v>0</v>
      </c>
      <c r="DB22" s="241">
        <f t="shared" si="34"/>
        <v>0</v>
      </c>
      <c r="DE22" s="241">
        <f t="shared" si="35"/>
        <v>0</v>
      </c>
      <c r="DH22" s="241">
        <f t="shared" si="36"/>
        <v>0</v>
      </c>
      <c r="DK22" s="241">
        <f t="shared" si="37"/>
        <v>0</v>
      </c>
      <c r="DN22" s="241">
        <f t="shared" si="38"/>
        <v>0</v>
      </c>
      <c r="DQ22" s="241">
        <f t="shared" si="39"/>
        <v>0</v>
      </c>
      <c r="DT22" s="241">
        <f t="shared" si="40"/>
        <v>0</v>
      </c>
      <c r="DW22" s="241">
        <f t="shared" si="41"/>
        <v>0</v>
      </c>
      <c r="DZ22" s="241"/>
      <c r="EA22" s="241"/>
      <c r="EB22" s="261">
        <f t="shared" si="42"/>
        <v>324200000</v>
      </c>
      <c r="EC22" s="261">
        <f t="shared" si="43"/>
        <v>53200000</v>
      </c>
      <c r="ED22" s="241">
        <f t="shared" si="44"/>
        <v>43846.5</v>
      </c>
      <c r="EE22" s="242">
        <f t="shared" si="45"/>
        <v>4.8688278840222088E-2</v>
      </c>
      <c r="EG22" s="261">
        <f t="shared" si="46"/>
        <v>0</v>
      </c>
      <c r="EH22" s="241">
        <f t="shared" si="47"/>
        <v>0</v>
      </c>
      <c r="EI22" s="242">
        <f t="shared" si="48"/>
        <v>0</v>
      </c>
      <c r="EJ22" s="242"/>
      <c r="EK22" s="261">
        <f t="shared" si="49"/>
        <v>271000000</v>
      </c>
      <c r="EL22" s="261">
        <f t="shared" si="50"/>
        <v>0</v>
      </c>
      <c r="EM22" s="261">
        <f t="shared" si="51"/>
        <v>37093.055555555555</v>
      </c>
      <c r="EN22" s="242">
        <f t="shared" si="52"/>
        <v>4.9274907749077487E-2</v>
      </c>
      <c r="EP22" s="241"/>
    </row>
    <row r="23" spans="1:146" x14ac:dyDescent="0.25">
      <c r="A23" s="255">
        <f t="shared" si="53"/>
        <v>45609</v>
      </c>
      <c r="B23" s="241">
        <v>62275000</v>
      </c>
      <c r="C23" s="242">
        <v>4.5599999999999995E-2</v>
      </c>
      <c r="D23" s="241">
        <f t="shared" si="2"/>
        <v>7888.1666666666652</v>
      </c>
      <c r="G23" s="241">
        <f t="shared" si="3"/>
        <v>0</v>
      </c>
      <c r="J23" s="241">
        <f t="shared" si="4"/>
        <v>0</v>
      </c>
      <c r="M23" s="241">
        <f t="shared" si="5"/>
        <v>0</v>
      </c>
      <c r="P23" s="241">
        <f t="shared" si="6"/>
        <v>0</v>
      </c>
      <c r="S23" s="241">
        <f t="shared" si="7"/>
        <v>0</v>
      </c>
      <c r="V23" s="241">
        <f t="shared" si="8"/>
        <v>0</v>
      </c>
      <c r="Y23" s="241">
        <f t="shared" si="9"/>
        <v>0</v>
      </c>
      <c r="AB23" s="241">
        <f t="shared" si="10"/>
        <v>0</v>
      </c>
      <c r="AE23" s="241">
        <v>0</v>
      </c>
      <c r="AH23" s="241">
        <v>0</v>
      </c>
      <c r="AI23" s="256">
        <f>68225000</f>
        <v>68225000</v>
      </c>
      <c r="AJ23" s="257">
        <v>4.7E-2</v>
      </c>
      <c r="AK23" s="241">
        <f t="shared" si="11"/>
        <v>8907.1527777777774</v>
      </c>
      <c r="AL23" s="256">
        <f t="shared" si="0"/>
        <v>145000000</v>
      </c>
      <c r="AM23" s="257">
        <v>5.0299999999999997E-2</v>
      </c>
      <c r="AN23" s="241">
        <f t="shared" si="12"/>
        <v>20259.722222222223</v>
      </c>
      <c r="AO23" s="256">
        <f t="shared" si="1"/>
        <v>60000000</v>
      </c>
      <c r="AP23" s="257">
        <v>4.9299999999999997E-2</v>
      </c>
      <c r="AQ23" s="241">
        <f t="shared" si="13"/>
        <v>8216.6666666666661</v>
      </c>
      <c r="AR23" s="256"/>
      <c r="AS23" s="257"/>
      <c r="AT23" s="241">
        <f t="shared" si="14"/>
        <v>0</v>
      </c>
      <c r="AW23" s="241">
        <f t="shared" si="15"/>
        <v>0</v>
      </c>
      <c r="AZ23" s="241">
        <f t="shared" si="16"/>
        <v>0</v>
      </c>
      <c r="BC23" s="241">
        <f t="shared" si="17"/>
        <v>0</v>
      </c>
      <c r="BF23" s="241">
        <f t="shared" si="18"/>
        <v>0</v>
      </c>
      <c r="BI23" s="241">
        <f t="shared" si="19"/>
        <v>0</v>
      </c>
      <c r="BL23" s="241">
        <f t="shared" si="20"/>
        <v>0</v>
      </c>
      <c r="BO23" s="241">
        <f t="shared" si="21"/>
        <v>0</v>
      </c>
      <c r="BR23" s="241">
        <f t="shared" si="22"/>
        <v>0</v>
      </c>
      <c r="BU23" s="241">
        <f t="shared" si="23"/>
        <v>0</v>
      </c>
      <c r="BX23" s="241">
        <f t="shared" si="24"/>
        <v>0</v>
      </c>
      <c r="CA23" s="241">
        <f t="shared" si="25"/>
        <v>0</v>
      </c>
      <c r="CD23" s="241">
        <f t="shared" si="26"/>
        <v>0</v>
      </c>
      <c r="CG23" s="241">
        <f t="shared" si="27"/>
        <v>0</v>
      </c>
      <c r="CJ23" s="241">
        <f t="shared" si="28"/>
        <v>0</v>
      </c>
      <c r="CM23" s="241">
        <f t="shared" si="29"/>
        <v>0</v>
      </c>
      <c r="CP23" s="241">
        <f t="shared" si="30"/>
        <v>0</v>
      </c>
      <c r="CS23" s="241">
        <f t="shared" si="31"/>
        <v>0</v>
      </c>
      <c r="CV23" s="241">
        <f t="shared" si="32"/>
        <v>0</v>
      </c>
      <c r="CY23" s="241">
        <f t="shared" si="33"/>
        <v>0</v>
      </c>
      <c r="DB23" s="241">
        <f t="shared" si="34"/>
        <v>0</v>
      </c>
      <c r="DE23" s="241">
        <f t="shared" si="35"/>
        <v>0</v>
      </c>
      <c r="DH23" s="241">
        <f t="shared" si="36"/>
        <v>0</v>
      </c>
      <c r="DK23" s="241">
        <f t="shared" si="37"/>
        <v>0</v>
      </c>
      <c r="DN23" s="241">
        <f t="shared" si="38"/>
        <v>0</v>
      </c>
      <c r="DQ23" s="241">
        <f t="shared" si="39"/>
        <v>0</v>
      </c>
      <c r="DT23" s="241">
        <f t="shared" si="40"/>
        <v>0</v>
      </c>
      <c r="DW23" s="241">
        <f t="shared" si="41"/>
        <v>0</v>
      </c>
      <c r="DZ23" s="241"/>
      <c r="EA23" s="241"/>
      <c r="EB23" s="261">
        <f t="shared" si="42"/>
        <v>335500000</v>
      </c>
      <c r="EC23" s="261">
        <f t="shared" si="43"/>
        <v>62275000</v>
      </c>
      <c r="ED23" s="241">
        <f t="shared" si="44"/>
        <v>45271.708333333328</v>
      </c>
      <c r="EE23" s="242">
        <f t="shared" si="45"/>
        <v>4.8577690014903127E-2</v>
      </c>
      <c r="EG23" s="261">
        <f t="shared" si="46"/>
        <v>0</v>
      </c>
      <c r="EH23" s="241">
        <f t="shared" si="47"/>
        <v>0</v>
      </c>
      <c r="EI23" s="242">
        <f t="shared" si="48"/>
        <v>0</v>
      </c>
      <c r="EJ23" s="242"/>
      <c r="EK23" s="261">
        <f t="shared" si="49"/>
        <v>273225000</v>
      </c>
      <c r="EL23" s="261">
        <f t="shared" si="50"/>
        <v>0</v>
      </c>
      <c r="EM23" s="261">
        <f t="shared" si="51"/>
        <v>37383.541666666672</v>
      </c>
      <c r="EN23" s="242">
        <f t="shared" si="52"/>
        <v>4.9256382102662644E-2</v>
      </c>
      <c r="EP23" s="241"/>
    </row>
    <row r="24" spans="1:146" x14ac:dyDescent="0.25">
      <c r="A24" s="255">
        <f t="shared" si="53"/>
        <v>45610</v>
      </c>
      <c r="B24" s="241">
        <v>71625000</v>
      </c>
      <c r="C24" s="242">
        <v>4.5700000000000005E-2</v>
      </c>
      <c r="D24" s="241">
        <f t="shared" si="2"/>
        <v>9092.3958333333339</v>
      </c>
      <c r="G24" s="241">
        <f t="shared" si="3"/>
        <v>0</v>
      </c>
      <c r="J24" s="241">
        <f t="shared" si="4"/>
        <v>0</v>
      </c>
      <c r="M24" s="241">
        <f t="shared" si="5"/>
        <v>0</v>
      </c>
      <c r="P24" s="241">
        <f t="shared" si="6"/>
        <v>0</v>
      </c>
      <c r="S24" s="241">
        <f t="shared" si="7"/>
        <v>0</v>
      </c>
      <c r="V24" s="241">
        <f t="shared" si="8"/>
        <v>0</v>
      </c>
      <c r="Y24" s="241">
        <f t="shared" si="9"/>
        <v>0</v>
      </c>
      <c r="AB24" s="241">
        <f t="shared" si="10"/>
        <v>0</v>
      </c>
      <c r="AE24" s="241">
        <v>0</v>
      </c>
      <c r="AH24" s="241">
        <v>0</v>
      </c>
      <c r="AI24" s="256">
        <f>65300000+40000000</f>
        <v>105300000</v>
      </c>
      <c r="AJ24" s="257">
        <v>4.7E-2</v>
      </c>
      <c r="AK24" s="241">
        <f t="shared" si="11"/>
        <v>13747.5</v>
      </c>
      <c r="AL24" s="256">
        <f t="shared" si="0"/>
        <v>145000000</v>
      </c>
      <c r="AM24" s="257">
        <v>5.0299999999999997E-2</v>
      </c>
      <c r="AN24" s="241">
        <f t="shared" si="12"/>
        <v>20259.722222222223</v>
      </c>
      <c r="AO24" s="256"/>
      <c r="AP24" s="257"/>
      <c r="AQ24" s="241">
        <f t="shared" si="13"/>
        <v>0</v>
      </c>
      <c r="AR24" s="256"/>
      <c r="AS24" s="257"/>
      <c r="AT24" s="241">
        <f t="shared" si="14"/>
        <v>0</v>
      </c>
      <c r="AW24" s="241">
        <f t="shared" si="15"/>
        <v>0</v>
      </c>
      <c r="AZ24" s="241">
        <f t="shared" si="16"/>
        <v>0</v>
      </c>
      <c r="BC24" s="241">
        <f t="shared" si="17"/>
        <v>0</v>
      </c>
      <c r="BF24" s="241">
        <f t="shared" si="18"/>
        <v>0</v>
      </c>
      <c r="BI24" s="241">
        <f t="shared" si="19"/>
        <v>0</v>
      </c>
      <c r="BL24" s="241">
        <f t="shared" si="20"/>
        <v>0</v>
      </c>
      <c r="BO24" s="241">
        <f t="shared" si="21"/>
        <v>0</v>
      </c>
      <c r="BR24" s="241">
        <f t="shared" si="22"/>
        <v>0</v>
      </c>
      <c r="BU24" s="241">
        <f t="shared" si="23"/>
        <v>0</v>
      </c>
      <c r="BX24" s="241">
        <f t="shared" si="24"/>
        <v>0</v>
      </c>
      <c r="CA24" s="241">
        <f t="shared" si="25"/>
        <v>0</v>
      </c>
      <c r="CD24" s="241">
        <f t="shared" si="26"/>
        <v>0</v>
      </c>
      <c r="CG24" s="241">
        <f t="shared" si="27"/>
        <v>0</v>
      </c>
      <c r="CJ24" s="241">
        <f t="shared" si="28"/>
        <v>0</v>
      </c>
      <c r="CM24" s="241">
        <f t="shared" si="29"/>
        <v>0</v>
      </c>
      <c r="CP24" s="241">
        <f t="shared" si="30"/>
        <v>0</v>
      </c>
      <c r="CS24" s="241">
        <f t="shared" si="31"/>
        <v>0</v>
      </c>
      <c r="CV24" s="241">
        <f t="shared" si="32"/>
        <v>0</v>
      </c>
      <c r="CY24" s="241">
        <f t="shared" si="33"/>
        <v>0</v>
      </c>
      <c r="DB24" s="241">
        <f t="shared" si="34"/>
        <v>0</v>
      </c>
      <c r="DE24" s="241">
        <f t="shared" si="35"/>
        <v>0</v>
      </c>
      <c r="DH24" s="241">
        <f t="shared" si="36"/>
        <v>0</v>
      </c>
      <c r="DK24" s="241">
        <f t="shared" si="37"/>
        <v>0</v>
      </c>
      <c r="DN24" s="241">
        <f t="shared" si="38"/>
        <v>0</v>
      </c>
      <c r="DQ24" s="241">
        <f t="shared" si="39"/>
        <v>0</v>
      </c>
      <c r="DT24" s="241">
        <f t="shared" si="40"/>
        <v>0</v>
      </c>
      <c r="DW24" s="241">
        <f t="shared" si="41"/>
        <v>0</v>
      </c>
      <c r="DZ24" s="241"/>
      <c r="EA24" s="241"/>
      <c r="EB24" s="261">
        <f t="shared" si="42"/>
        <v>321925000</v>
      </c>
      <c r="EC24" s="261">
        <f t="shared" si="43"/>
        <v>71625000</v>
      </c>
      <c r="ED24" s="241">
        <f t="shared" si="44"/>
        <v>43099.618055555562</v>
      </c>
      <c r="EE24" s="242">
        <f t="shared" si="45"/>
        <v>4.8197134425720288E-2</v>
      </c>
      <c r="EG24" s="261">
        <f t="shared" si="46"/>
        <v>0</v>
      </c>
      <c r="EH24" s="241">
        <f t="shared" si="47"/>
        <v>0</v>
      </c>
      <c r="EI24" s="242">
        <f t="shared" si="48"/>
        <v>0</v>
      </c>
      <c r="EJ24" s="242"/>
      <c r="EK24" s="261">
        <f t="shared" si="49"/>
        <v>250300000</v>
      </c>
      <c r="EL24" s="261">
        <f t="shared" si="50"/>
        <v>0</v>
      </c>
      <c r="EM24" s="261">
        <f t="shared" si="51"/>
        <v>34007.222222222219</v>
      </c>
      <c r="EN24" s="242">
        <f t="shared" si="52"/>
        <v>4.8911705952856571E-2</v>
      </c>
      <c r="EP24" s="241"/>
    </row>
    <row r="25" spans="1:146" x14ac:dyDescent="0.25">
      <c r="A25" s="255">
        <f t="shared" si="53"/>
        <v>45611</v>
      </c>
      <c r="B25" s="241">
        <v>63750000</v>
      </c>
      <c r="C25" s="242">
        <v>4.58E-2</v>
      </c>
      <c r="D25" s="241">
        <f t="shared" si="2"/>
        <v>8110.416666666667</v>
      </c>
      <c r="G25" s="241">
        <f t="shared" si="3"/>
        <v>0</v>
      </c>
      <c r="J25" s="241">
        <f t="shared" si="4"/>
        <v>0</v>
      </c>
      <c r="M25" s="241">
        <f t="shared" si="5"/>
        <v>0</v>
      </c>
      <c r="P25" s="241">
        <f t="shared" si="6"/>
        <v>0</v>
      </c>
      <c r="S25" s="241">
        <f t="shared" si="7"/>
        <v>0</v>
      </c>
      <c r="V25" s="241">
        <f t="shared" si="8"/>
        <v>0</v>
      </c>
      <c r="Y25" s="241">
        <f t="shared" si="9"/>
        <v>0</v>
      </c>
      <c r="AB25" s="241">
        <f t="shared" si="10"/>
        <v>0</v>
      </c>
      <c r="AE25" s="241">
        <v>0</v>
      </c>
      <c r="AH25" s="241">
        <v>0</v>
      </c>
      <c r="AI25" s="256">
        <f>63100000+20000000+30000000</f>
        <v>113100000</v>
      </c>
      <c r="AJ25" s="257">
        <v>4.7E-2</v>
      </c>
      <c r="AK25" s="241">
        <f t="shared" si="11"/>
        <v>14765.833333333334</v>
      </c>
      <c r="AL25" s="256">
        <f t="shared" si="0"/>
        <v>145000000</v>
      </c>
      <c r="AM25" s="257">
        <v>5.0299999999999997E-2</v>
      </c>
      <c r="AN25" s="241">
        <f t="shared" si="12"/>
        <v>20259.722222222223</v>
      </c>
      <c r="AO25" s="256"/>
      <c r="AP25" s="257"/>
      <c r="AQ25" s="241">
        <f t="shared" si="13"/>
        <v>0</v>
      </c>
      <c r="AR25" s="256"/>
      <c r="AS25" s="257"/>
      <c r="AT25" s="241">
        <f t="shared" si="14"/>
        <v>0</v>
      </c>
      <c r="AW25" s="241">
        <f t="shared" si="15"/>
        <v>0</v>
      </c>
      <c r="AZ25" s="241">
        <f t="shared" si="16"/>
        <v>0</v>
      </c>
      <c r="BC25" s="241">
        <f t="shared" si="17"/>
        <v>0</v>
      </c>
      <c r="BF25" s="241">
        <f t="shared" si="18"/>
        <v>0</v>
      </c>
      <c r="BI25" s="241">
        <f t="shared" si="19"/>
        <v>0</v>
      </c>
      <c r="BL25" s="241">
        <f t="shared" si="20"/>
        <v>0</v>
      </c>
      <c r="BO25" s="241">
        <f t="shared" si="21"/>
        <v>0</v>
      </c>
      <c r="BR25" s="241">
        <f t="shared" si="22"/>
        <v>0</v>
      </c>
      <c r="BU25" s="241">
        <f t="shared" si="23"/>
        <v>0</v>
      </c>
      <c r="BX25" s="241">
        <f t="shared" si="24"/>
        <v>0</v>
      </c>
      <c r="CA25" s="241">
        <f t="shared" si="25"/>
        <v>0</v>
      </c>
      <c r="CD25" s="241">
        <f t="shared" si="26"/>
        <v>0</v>
      </c>
      <c r="CG25" s="241">
        <f t="shared" si="27"/>
        <v>0</v>
      </c>
      <c r="CJ25" s="241">
        <f t="shared" si="28"/>
        <v>0</v>
      </c>
      <c r="CM25" s="241">
        <f t="shared" si="29"/>
        <v>0</v>
      </c>
      <c r="CP25" s="241">
        <f t="shared" si="30"/>
        <v>0</v>
      </c>
      <c r="CS25" s="241">
        <f t="shared" si="31"/>
        <v>0</v>
      </c>
      <c r="CV25" s="241">
        <f t="shared" si="32"/>
        <v>0</v>
      </c>
      <c r="CY25" s="241">
        <f t="shared" si="33"/>
        <v>0</v>
      </c>
      <c r="DB25" s="241">
        <f t="shared" si="34"/>
        <v>0</v>
      </c>
      <c r="DE25" s="241">
        <f t="shared" si="35"/>
        <v>0</v>
      </c>
      <c r="DH25" s="241">
        <f t="shared" si="36"/>
        <v>0</v>
      </c>
      <c r="DK25" s="241">
        <f t="shared" si="37"/>
        <v>0</v>
      </c>
      <c r="DN25" s="241">
        <f t="shared" si="38"/>
        <v>0</v>
      </c>
      <c r="DQ25" s="241">
        <f t="shared" si="39"/>
        <v>0</v>
      </c>
      <c r="DT25" s="241">
        <f t="shared" si="40"/>
        <v>0</v>
      </c>
      <c r="DW25" s="241">
        <f t="shared" si="41"/>
        <v>0</v>
      </c>
      <c r="DZ25" s="241"/>
      <c r="EA25" s="241"/>
      <c r="EB25" s="261">
        <f t="shared" si="42"/>
        <v>321850000</v>
      </c>
      <c r="EC25" s="261">
        <f t="shared" si="43"/>
        <v>63750000</v>
      </c>
      <c r="ED25" s="241">
        <f t="shared" si="44"/>
        <v>43135.972222222219</v>
      </c>
      <c r="EE25" s="242">
        <f t="shared" si="45"/>
        <v>4.8249029050800064E-2</v>
      </c>
      <c r="EG25" s="261">
        <f t="shared" si="46"/>
        <v>0</v>
      </c>
      <c r="EH25" s="241">
        <f t="shared" si="47"/>
        <v>0</v>
      </c>
      <c r="EI25" s="242">
        <f t="shared" si="48"/>
        <v>0</v>
      </c>
      <c r="EJ25" s="242"/>
      <c r="EK25" s="261">
        <f t="shared" si="49"/>
        <v>258100000</v>
      </c>
      <c r="EL25" s="261">
        <f t="shared" si="50"/>
        <v>0</v>
      </c>
      <c r="EM25" s="261">
        <f t="shared" si="51"/>
        <v>35025.555555555555</v>
      </c>
      <c r="EN25" s="242">
        <f t="shared" si="52"/>
        <v>4.8853932584269663E-2</v>
      </c>
      <c r="EP25" s="241"/>
    </row>
    <row r="26" spans="1:146" x14ac:dyDescent="0.25">
      <c r="A26" s="255">
        <f t="shared" si="53"/>
        <v>45612</v>
      </c>
      <c r="B26" s="241">
        <v>63750000</v>
      </c>
      <c r="C26" s="242">
        <v>4.58E-2</v>
      </c>
      <c r="D26" s="241">
        <f t="shared" si="2"/>
        <v>8110.416666666667</v>
      </c>
      <c r="G26" s="241">
        <f t="shared" si="3"/>
        <v>0</v>
      </c>
      <c r="J26" s="241">
        <f t="shared" si="4"/>
        <v>0</v>
      </c>
      <c r="M26" s="241">
        <f t="shared" si="5"/>
        <v>0</v>
      </c>
      <c r="P26" s="241">
        <f t="shared" si="6"/>
        <v>0</v>
      </c>
      <c r="S26" s="241">
        <f t="shared" si="7"/>
        <v>0</v>
      </c>
      <c r="V26" s="241">
        <f t="shared" si="8"/>
        <v>0</v>
      </c>
      <c r="Y26" s="241">
        <f t="shared" si="9"/>
        <v>0</v>
      </c>
      <c r="AB26" s="241">
        <f t="shared" si="10"/>
        <v>0</v>
      </c>
      <c r="AE26" s="241">
        <v>0</v>
      </c>
      <c r="AH26" s="241">
        <v>0</v>
      </c>
      <c r="AI26" s="256">
        <f>63100000+20000000+30000000</f>
        <v>113100000</v>
      </c>
      <c r="AJ26" s="257">
        <v>4.7E-2</v>
      </c>
      <c r="AK26" s="241">
        <f t="shared" si="11"/>
        <v>14765.833333333334</v>
      </c>
      <c r="AL26" s="256">
        <f t="shared" si="0"/>
        <v>145000000</v>
      </c>
      <c r="AM26" s="257">
        <v>5.0299999999999997E-2</v>
      </c>
      <c r="AN26" s="241">
        <f t="shared" si="12"/>
        <v>20259.722222222223</v>
      </c>
      <c r="AO26" s="256"/>
      <c r="AP26" s="257"/>
      <c r="AQ26" s="241">
        <f t="shared" si="13"/>
        <v>0</v>
      </c>
      <c r="AR26" s="256"/>
      <c r="AS26" s="257"/>
      <c r="AT26" s="241">
        <f t="shared" si="14"/>
        <v>0</v>
      </c>
      <c r="AW26" s="241">
        <f t="shared" si="15"/>
        <v>0</v>
      </c>
      <c r="AZ26" s="241">
        <f t="shared" si="16"/>
        <v>0</v>
      </c>
      <c r="BC26" s="241">
        <f t="shared" si="17"/>
        <v>0</v>
      </c>
      <c r="BF26" s="241">
        <f t="shared" si="18"/>
        <v>0</v>
      </c>
      <c r="BI26" s="241">
        <f t="shared" si="19"/>
        <v>0</v>
      </c>
      <c r="BL26" s="241">
        <f t="shared" si="20"/>
        <v>0</v>
      </c>
      <c r="BO26" s="241">
        <f t="shared" si="21"/>
        <v>0</v>
      </c>
      <c r="BR26" s="241">
        <f t="shared" si="22"/>
        <v>0</v>
      </c>
      <c r="BU26" s="241">
        <f t="shared" si="23"/>
        <v>0</v>
      </c>
      <c r="BX26" s="241">
        <f t="shared" si="24"/>
        <v>0</v>
      </c>
      <c r="CA26" s="241">
        <f t="shared" si="25"/>
        <v>0</v>
      </c>
      <c r="CD26" s="241">
        <f t="shared" si="26"/>
        <v>0</v>
      </c>
      <c r="CG26" s="241">
        <f t="shared" si="27"/>
        <v>0</v>
      </c>
      <c r="CJ26" s="241">
        <f t="shared" si="28"/>
        <v>0</v>
      </c>
      <c r="CM26" s="241">
        <f t="shared" si="29"/>
        <v>0</v>
      </c>
      <c r="CP26" s="241">
        <f t="shared" si="30"/>
        <v>0</v>
      </c>
      <c r="CS26" s="241">
        <f t="shared" si="31"/>
        <v>0</v>
      </c>
      <c r="CV26" s="241">
        <f t="shared" si="32"/>
        <v>0</v>
      </c>
      <c r="CY26" s="241">
        <f t="shared" si="33"/>
        <v>0</v>
      </c>
      <c r="DB26" s="241">
        <f t="shared" si="34"/>
        <v>0</v>
      </c>
      <c r="DE26" s="241">
        <f t="shared" si="35"/>
        <v>0</v>
      </c>
      <c r="DH26" s="241">
        <f t="shared" si="36"/>
        <v>0</v>
      </c>
      <c r="DK26" s="241">
        <f t="shared" si="37"/>
        <v>0</v>
      </c>
      <c r="DN26" s="241">
        <f t="shared" si="38"/>
        <v>0</v>
      </c>
      <c r="DQ26" s="241">
        <f t="shared" si="39"/>
        <v>0</v>
      </c>
      <c r="DT26" s="241">
        <f t="shared" si="40"/>
        <v>0</v>
      </c>
      <c r="DW26" s="241">
        <f t="shared" si="41"/>
        <v>0</v>
      </c>
      <c r="DZ26" s="241"/>
      <c r="EA26" s="241"/>
      <c r="EB26" s="261">
        <f t="shared" si="42"/>
        <v>321850000</v>
      </c>
      <c r="EC26" s="261">
        <f t="shared" si="43"/>
        <v>63750000</v>
      </c>
      <c r="ED26" s="241">
        <f t="shared" si="44"/>
        <v>43135.972222222219</v>
      </c>
      <c r="EE26" s="242">
        <f t="shared" si="45"/>
        <v>4.8249029050800064E-2</v>
      </c>
      <c r="EG26" s="261">
        <f t="shared" si="46"/>
        <v>0</v>
      </c>
      <c r="EH26" s="241">
        <f t="shared" si="47"/>
        <v>0</v>
      </c>
      <c r="EI26" s="242">
        <f t="shared" si="48"/>
        <v>0</v>
      </c>
      <c r="EJ26" s="242"/>
      <c r="EK26" s="261">
        <f t="shared" si="49"/>
        <v>258100000</v>
      </c>
      <c r="EL26" s="261">
        <f t="shared" si="50"/>
        <v>0</v>
      </c>
      <c r="EM26" s="261">
        <f t="shared" si="51"/>
        <v>35025.555555555555</v>
      </c>
      <c r="EN26" s="242">
        <f t="shared" si="52"/>
        <v>4.8853932584269663E-2</v>
      </c>
      <c r="EP26" s="241"/>
    </row>
    <row r="27" spans="1:146" x14ac:dyDescent="0.25">
      <c r="A27" s="255">
        <f t="shared" si="53"/>
        <v>45613</v>
      </c>
      <c r="B27" s="241">
        <v>63750000</v>
      </c>
      <c r="C27" s="242">
        <v>4.58E-2</v>
      </c>
      <c r="D27" s="241">
        <f t="shared" si="2"/>
        <v>8110.416666666667</v>
      </c>
      <c r="G27" s="241">
        <f t="shared" si="3"/>
        <v>0</v>
      </c>
      <c r="J27" s="241">
        <f t="shared" si="4"/>
        <v>0</v>
      </c>
      <c r="M27" s="241">
        <f t="shared" si="5"/>
        <v>0</v>
      </c>
      <c r="P27" s="241">
        <f t="shared" si="6"/>
        <v>0</v>
      </c>
      <c r="S27" s="241">
        <f t="shared" si="7"/>
        <v>0</v>
      </c>
      <c r="V27" s="241">
        <f t="shared" si="8"/>
        <v>0</v>
      </c>
      <c r="Y27" s="241">
        <f t="shared" si="9"/>
        <v>0</v>
      </c>
      <c r="AB27" s="241">
        <f t="shared" si="10"/>
        <v>0</v>
      </c>
      <c r="AE27" s="241">
        <v>0</v>
      </c>
      <c r="AH27" s="241">
        <v>0</v>
      </c>
      <c r="AI27" s="256">
        <f>63100000+20000000+30000000</f>
        <v>113100000</v>
      </c>
      <c r="AJ27" s="257">
        <v>4.7E-2</v>
      </c>
      <c r="AK27" s="241">
        <f t="shared" si="11"/>
        <v>14765.833333333334</v>
      </c>
      <c r="AL27" s="256">
        <f t="shared" si="0"/>
        <v>145000000</v>
      </c>
      <c r="AM27" s="257">
        <v>5.0299999999999997E-2</v>
      </c>
      <c r="AN27" s="241">
        <f t="shared" si="12"/>
        <v>20259.722222222223</v>
      </c>
      <c r="AO27" s="256"/>
      <c r="AP27" s="257"/>
      <c r="AQ27" s="241">
        <f t="shared" si="13"/>
        <v>0</v>
      </c>
      <c r="AR27" s="256"/>
      <c r="AS27" s="257"/>
      <c r="AT27" s="241">
        <f t="shared" si="14"/>
        <v>0</v>
      </c>
      <c r="AW27" s="241">
        <f t="shared" si="15"/>
        <v>0</v>
      </c>
      <c r="AZ27" s="241">
        <f t="shared" si="16"/>
        <v>0</v>
      </c>
      <c r="BC27" s="241">
        <f t="shared" si="17"/>
        <v>0</v>
      </c>
      <c r="BF27" s="241">
        <f t="shared" si="18"/>
        <v>0</v>
      </c>
      <c r="BI27" s="241">
        <f t="shared" si="19"/>
        <v>0</v>
      </c>
      <c r="BL27" s="241">
        <f t="shared" si="20"/>
        <v>0</v>
      </c>
      <c r="BO27" s="241">
        <f t="shared" si="21"/>
        <v>0</v>
      </c>
      <c r="BR27" s="241">
        <f t="shared" si="22"/>
        <v>0</v>
      </c>
      <c r="BU27" s="241">
        <f t="shared" si="23"/>
        <v>0</v>
      </c>
      <c r="BX27" s="241">
        <f t="shared" si="24"/>
        <v>0</v>
      </c>
      <c r="CA27" s="241">
        <f t="shared" si="25"/>
        <v>0</v>
      </c>
      <c r="CD27" s="241">
        <f t="shared" si="26"/>
        <v>0</v>
      </c>
      <c r="CG27" s="241">
        <f t="shared" si="27"/>
        <v>0</v>
      </c>
      <c r="CJ27" s="241">
        <f t="shared" si="28"/>
        <v>0</v>
      </c>
      <c r="CM27" s="241">
        <f t="shared" si="29"/>
        <v>0</v>
      </c>
      <c r="CP27" s="241">
        <f t="shared" si="30"/>
        <v>0</v>
      </c>
      <c r="CS27" s="241">
        <f t="shared" si="31"/>
        <v>0</v>
      </c>
      <c r="CV27" s="241">
        <f t="shared" si="32"/>
        <v>0</v>
      </c>
      <c r="CY27" s="241">
        <f t="shared" si="33"/>
        <v>0</v>
      </c>
      <c r="DB27" s="241">
        <f t="shared" si="34"/>
        <v>0</v>
      </c>
      <c r="DE27" s="241">
        <f t="shared" si="35"/>
        <v>0</v>
      </c>
      <c r="DH27" s="241">
        <f t="shared" si="36"/>
        <v>0</v>
      </c>
      <c r="DK27" s="241">
        <f t="shared" si="37"/>
        <v>0</v>
      </c>
      <c r="DN27" s="241">
        <f t="shared" si="38"/>
        <v>0</v>
      </c>
      <c r="DQ27" s="241">
        <f t="shared" si="39"/>
        <v>0</v>
      </c>
      <c r="DT27" s="241">
        <f t="shared" si="40"/>
        <v>0</v>
      </c>
      <c r="DW27" s="241">
        <f t="shared" si="41"/>
        <v>0</v>
      </c>
      <c r="DZ27" s="241"/>
      <c r="EA27" s="241"/>
      <c r="EB27" s="261">
        <f t="shared" si="42"/>
        <v>321850000</v>
      </c>
      <c r="EC27" s="261">
        <f t="shared" si="43"/>
        <v>63750000</v>
      </c>
      <c r="ED27" s="241">
        <f t="shared" si="44"/>
        <v>43135.972222222219</v>
      </c>
      <c r="EE27" s="242">
        <f t="shared" si="45"/>
        <v>4.8249029050800064E-2</v>
      </c>
      <c r="EG27" s="261">
        <f t="shared" si="46"/>
        <v>0</v>
      </c>
      <c r="EH27" s="241">
        <f t="shared" si="47"/>
        <v>0</v>
      </c>
      <c r="EI27" s="242">
        <f t="shared" si="48"/>
        <v>0</v>
      </c>
      <c r="EJ27" s="242"/>
      <c r="EK27" s="261">
        <f t="shared" si="49"/>
        <v>258100000</v>
      </c>
      <c r="EL27" s="261">
        <f t="shared" si="50"/>
        <v>0</v>
      </c>
      <c r="EM27" s="261">
        <f t="shared" si="51"/>
        <v>35025.555555555555</v>
      </c>
      <c r="EN27" s="242">
        <f t="shared" si="52"/>
        <v>4.8853932584269663E-2</v>
      </c>
      <c r="EP27" s="241"/>
    </row>
    <row r="28" spans="1:146" x14ac:dyDescent="0.25">
      <c r="A28" s="255">
        <f t="shared" si="53"/>
        <v>45614</v>
      </c>
      <c r="B28" s="241">
        <v>119025000</v>
      </c>
      <c r="C28" s="242">
        <v>4.58E-2</v>
      </c>
      <c r="D28" s="241">
        <f t="shared" si="2"/>
        <v>15142.625</v>
      </c>
      <c r="G28" s="241">
        <f t="shared" si="3"/>
        <v>0</v>
      </c>
      <c r="J28" s="241">
        <f t="shared" si="4"/>
        <v>0</v>
      </c>
      <c r="M28" s="241">
        <f t="shared" si="5"/>
        <v>0</v>
      </c>
      <c r="P28" s="241">
        <f t="shared" si="6"/>
        <v>0</v>
      </c>
      <c r="S28" s="241">
        <f t="shared" si="7"/>
        <v>0</v>
      </c>
      <c r="V28" s="241">
        <f t="shared" si="8"/>
        <v>0</v>
      </c>
      <c r="Y28" s="241">
        <f t="shared" si="9"/>
        <v>0</v>
      </c>
      <c r="AB28" s="241">
        <f t="shared" si="10"/>
        <v>0</v>
      </c>
      <c r="AE28" s="241">
        <v>0</v>
      </c>
      <c r="AH28" s="241">
        <v>0</v>
      </c>
      <c r="AI28" s="256">
        <f>51725000</f>
        <v>51725000</v>
      </c>
      <c r="AJ28" s="257">
        <v>4.7E-2</v>
      </c>
      <c r="AK28" s="241">
        <f t="shared" si="11"/>
        <v>6752.9861111111113</v>
      </c>
      <c r="AL28" s="256">
        <f t="shared" si="0"/>
        <v>145000000</v>
      </c>
      <c r="AM28" s="257">
        <v>5.0299999999999997E-2</v>
      </c>
      <c r="AN28" s="241">
        <f t="shared" si="12"/>
        <v>20259.722222222223</v>
      </c>
      <c r="AO28" s="256"/>
      <c r="AP28" s="257"/>
      <c r="AQ28" s="241">
        <f t="shared" si="13"/>
        <v>0</v>
      </c>
      <c r="AR28" s="256"/>
      <c r="AS28" s="257"/>
      <c r="AT28" s="241">
        <f t="shared" si="14"/>
        <v>0</v>
      </c>
      <c r="AW28" s="241">
        <f t="shared" si="15"/>
        <v>0</v>
      </c>
      <c r="AZ28" s="241">
        <f t="shared" si="16"/>
        <v>0</v>
      </c>
      <c r="BC28" s="241">
        <f t="shared" si="17"/>
        <v>0</v>
      </c>
      <c r="BF28" s="241">
        <f t="shared" si="18"/>
        <v>0</v>
      </c>
      <c r="BI28" s="241">
        <f t="shared" si="19"/>
        <v>0</v>
      </c>
      <c r="BL28" s="241">
        <f t="shared" si="20"/>
        <v>0</v>
      </c>
      <c r="BO28" s="241">
        <f t="shared" si="21"/>
        <v>0</v>
      </c>
      <c r="BR28" s="241">
        <f t="shared" si="22"/>
        <v>0</v>
      </c>
      <c r="BU28" s="241">
        <f t="shared" si="23"/>
        <v>0</v>
      </c>
      <c r="BX28" s="241">
        <f t="shared" si="24"/>
        <v>0</v>
      </c>
      <c r="CA28" s="241">
        <f t="shared" si="25"/>
        <v>0</v>
      </c>
      <c r="CD28" s="241">
        <f t="shared" si="26"/>
        <v>0</v>
      </c>
      <c r="CG28" s="241">
        <f t="shared" si="27"/>
        <v>0</v>
      </c>
      <c r="CJ28" s="241">
        <f t="shared" si="28"/>
        <v>0</v>
      </c>
      <c r="CM28" s="241">
        <f t="shared" si="29"/>
        <v>0</v>
      </c>
      <c r="CP28" s="241">
        <f t="shared" si="30"/>
        <v>0</v>
      </c>
      <c r="CS28" s="241">
        <f t="shared" si="31"/>
        <v>0</v>
      </c>
      <c r="CV28" s="241">
        <f t="shared" si="32"/>
        <v>0</v>
      </c>
      <c r="CY28" s="241">
        <f t="shared" si="33"/>
        <v>0</v>
      </c>
      <c r="DB28" s="241">
        <f t="shared" si="34"/>
        <v>0</v>
      </c>
      <c r="DE28" s="241">
        <f t="shared" si="35"/>
        <v>0</v>
      </c>
      <c r="DH28" s="241">
        <f t="shared" si="36"/>
        <v>0</v>
      </c>
      <c r="DK28" s="241">
        <f t="shared" si="37"/>
        <v>0</v>
      </c>
      <c r="DN28" s="241">
        <f t="shared" si="38"/>
        <v>0</v>
      </c>
      <c r="DQ28" s="241">
        <f t="shared" si="39"/>
        <v>0</v>
      </c>
      <c r="DT28" s="241">
        <f t="shared" si="40"/>
        <v>0</v>
      </c>
      <c r="DW28" s="241">
        <f t="shared" si="41"/>
        <v>0</v>
      </c>
      <c r="DZ28" s="241"/>
      <c r="EA28" s="241"/>
      <c r="EB28" s="261">
        <f t="shared" si="42"/>
        <v>315750000</v>
      </c>
      <c r="EC28" s="261">
        <f t="shared" si="43"/>
        <v>119025000</v>
      </c>
      <c r="ED28" s="241">
        <f t="shared" si="44"/>
        <v>42155.333333333328</v>
      </c>
      <c r="EE28" s="242">
        <f t="shared" si="45"/>
        <v>4.806308788598574E-2</v>
      </c>
      <c r="EG28" s="261">
        <f t="shared" si="46"/>
        <v>0</v>
      </c>
      <c r="EH28" s="241">
        <f t="shared" si="47"/>
        <v>0</v>
      </c>
      <c r="EI28" s="242">
        <f t="shared" si="48"/>
        <v>0</v>
      </c>
      <c r="EJ28" s="242"/>
      <c r="EK28" s="261">
        <f t="shared" si="49"/>
        <v>196725000</v>
      </c>
      <c r="EL28" s="261">
        <f t="shared" si="50"/>
        <v>0</v>
      </c>
      <c r="EM28" s="261">
        <f t="shared" si="51"/>
        <v>27012.708333333336</v>
      </c>
      <c r="EN28" s="242">
        <f t="shared" si="52"/>
        <v>4.9432329393823873E-2</v>
      </c>
      <c r="EP28" s="241"/>
    </row>
    <row r="29" spans="1:146" x14ac:dyDescent="0.25">
      <c r="A29" s="255">
        <f t="shared" si="53"/>
        <v>45615</v>
      </c>
      <c r="B29" s="241">
        <v>152025000</v>
      </c>
      <c r="C29" s="242">
        <v>4.58E-2</v>
      </c>
      <c r="D29" s="241">
        <f t="shared" si="2"/>
        <v>19340.958333333332</v>
      </c>
      <c r="G29" s="241">
        <f t="shared" si="3"/>
        <v>0</v>
      </c>
      <c r="J29" s="241">
        <f t="shared" si="4"/>
        <v>0</v>
      </c>
      <c r="M29" s="241">
        <f t="shared" si="5"/>
        <v>0</v>
      </c>
      <c r="P29" s="241">
        <f t="shared" si="6"/>
        <v>0</v>
      </c>
      <c r="S29" s="241">
        <f t="shared" si="7"/>
        <v>0</v>
      </c>
      <c r="V29" s="241">
        <f t="shared" si="8"/>
        <v>0</v>
      </c>
      <c r="Y29" s="241">
        <f t="shared" si="9"/>
        <v>0</v>
      </c>
      <c r="AB29" s="241">
        <f t="shared" si="10"/>
        <v>0</v>
      </c>
      <c r="AE29" s="241">
        <v>0</v>
      </c>
      <c r="AH29" s="241">
        <v>0</v>
      </c>
      <c r="AI29" s="256"/>
      <c r="AJ29" s="257"/>
      <c r="AK29" s="241">
        <f t="shared" si="11"/>
        <v>0</v>
      </c>
      <c r="AL29" s="256">
        <f t="shared" si="0"/>
        <v>145000000</v>
      </c>
      <c r="AM29" s="257">
        <v>5.0299999999999997E-2</v>
      </c>
      <c r="AN29" s="241">
        <f t="shared" si="12"/>
        <v>20259.722222222223</v>
      </c>
      <c r="AO29" s="256"/>
      <c r="AP29" s="257"/>
      <c r="AQ29" s="241">
        <f t="shared" si="13"/>
        <v>0</v>
      </c>
      <c r="AR29" s="256"/>
      <c r="AS29" s="257"/>
      <c r="AT29" s="241">
        <f t="shared" si="14"/>
        <v>0</v>
      </c>
      <c r="AW29" s="241">
        <f t="shared" si="15"/>
        <v>0</v>
      </c>
      <c r="AZ29" s="241">
        <f t="shared" si="16"/>
        <v>0</v>
      </c>
      <c r="BC29" s="241">
        <f t="shared" si="17"/>
        <v>0</v>
      </c>
      <c r="BF29" s="241">
        <f t="shared" si="18"/>
        <v>0</v>
      </c>
      <c r="BI29" s="241">
        <f t="shared" si="19"/>
        <v>0</v>
      </c>
      <c r="BL29" s="241">
        <f t="shared" si="20"/>
        <v>0</v>
      </c>
      <c r="BO29" s="241">
        <f t="shared" si="21"/>
        <v>0</v>
      </c>
      <c r="BR29" s="241">
        <f t="shared" si="22"/>
        <v>0</v>
      </c>
      <c r="BU29" s="241">
        <f t="shared" si="23"/>
        <v>0</v>
      </c>
      <c r="BX29" s="241">
        <f t="shared" si="24"/>
        <v>0</v>
      </c>
      <c r="CA29" s="241">
        <f t="shared" si="25"/>
        <v>0</v>
      </c>
      <c r="CD29" s="241">
        <f t="shared" si="26"/>
        <v>0</v>
      </c>
      <c r="CG29" s="241">
        <f t="shared" si="27"/>
        <v>0</v>
      </c>
      <c r="CJ29" s="241">
        <f t="shared" si="28"/>
        <v>0</v>
      </c>
      <c r="CM29" s="241">
        <f t="shared" si="29"/>
        <v>0</v>
      </c>
      <c r="CP29" s="241">
        <f t="shared" si="30"/>
        <v>0</v>
      </c>
      <c r="CS29" s="241">
        <f t="shared" si="31"/>
        <v>0</v>
      </c>
      <c r="CV29" s="241">
        <f t="shared" si="32"/>
        <v>0</v>
      </c>
      <c r="CY29" s="241">
        <f t="shared" si="33"/>
        <v>0</v>
      </c>
      <c r="DB29" s="241">
        <f t="shared" si="34"/>
        <v>0</v>
      </c>
      <c r="DE29" s="241">
        <f t="shared" si="35"/>
        <v>0</v>
      </c>
      <c r="DH29" s="241">
        <f t="shared" si="36"/>
        <v>0</v>
      </c>
      <c r="DK29" s="241">
        <f t="shared" si="37"/>
        <v>0</v>
      </c>
      <c r="DN29" s="241">
        <f t="shared" si="38"/>
        <v>0</v>
      </c>
      <c r="DQ29" s="241">
        <f t="shared" si="39"/>
        <v>0</v>
      </c>
      <c r="DT29" s="241">
        <f t="shared" si="40"/>
        <v>0</v>
      </c>
      <c r="DW29" s="241">
        <f t="shared" si="41"/>
        <v>0</v>
      </c>
      <c r="DZ29" s="241"/>
      <c r="EA29" s="241"/>
      <c r="EB29" s="261">
        <f t="shared" si="42"/>
        <v>297025000</v>
      </c>
      <c r="EC29" s="261">
        <f t="shared" si="43"/>
        <v>152025000</v>
      </c>
      <c r="ED29" s="241">
        <f t="shared" si="44"/>
        <v>39600.680555555555</v>
      </c>
      <c r="EE29" s="242">
        <f t="shared" si="45"/>
        <v>4.7996784782425722E-2</v>
      </c>
      <c r="EG29" s="261">
        <f t="shared" si="46"/>
        <v>0</v>
      </c>
      <c r="EH29" s="241">
        <f t="shared" si="47"/>
        <v>0</v>
      </c>
      <c r="EI29" s="242">
        <f t="shared" si="48"/>
        <v>0</v>
      </c>
      <c r="EJ29" s="242"/>
      <c r="EK29" s="261">
        <f t="shared" si="49"/>
        <v>145000000</v>
      </c>
      <c r="EL29" s="261">
        <f t="shared" si="50"/>
        <v>0</v>
      </c>
      <c r="EM29" s="261">
        <f t="shared" si="51"/>
        <v>20259.722222222223</v>
      </c>
      <c r="EN29" s="242">
        <f t="shared" si="52"/>
        <v>5.0300000000000004E-2</v>
      </c>
      <c r="EP29" s="241"/>
    </row>
    <row r="30" spans="1:146" x14ac:dyDescent="0.25">
      <c r="A30" s="255">
        <f t="shared" si="53"/>
        <v>45616</v>
      </c>
      <c r="B30" s="241">
        <v>152275000</v>
      </c>
      <c r="C30" s="242">
        <v>4.58E-2</v>
      </c>
      <c r="D30" s="241">
        <f t="shared" si="2"/>
        <v>19372.763888888891</v>
      </c>
      <c r="G30" s="241">
        <f t="shared" si="3"/>
        <v>0</v>
      </c>
      <c r="J30" s="241">
        <f t="shared" si="4"/>
        <v>0</v>
      </c>
      <c r="M30" s="241">
        <f t="shared" si="5"/>
        <v>0</v>
      </c>
      <c r="P30" s="241">
        <f t="shared" si="6"/>
        <v>0</v>
      </c>
      <c r="S30" s="241">
        <f t="shared" si="7"/>
        <v>0</v>
      </c>
      <c r="V30" s="241">
        <f t="shared" si="8"/>
        <v>0</v>
      </c>
      <c r="Y30" s="241">
        <f t="shared" si="9"/>
        <v>0</v>
      </c>
      <c r="AB30" s="241">
        <f t="shared" si="10"/>
        <v>0</v>
      </c>
      <c r="AE30" s="241">
        <v>0</v>
      </c>
      <c r="AH30" s="241">
        <v>0</v>
      </c>
      <c r="AI30" s="256"/>
      <c r="AJ30" s="257"/>
      <c r="AK30" s="241">
        <f t="shared" si="11"/>
        <v>0</v>
      </c>
      <c r="AL30" s="256">
        <f t="shared" si="0"/>
        <v>145000000</v>
      </c>
      <c r="AM30" s="257">
        <v>5.0299999999999997E-2</v>
      </c>
      <c r="AN30" s="241">
        <f t="shared" si="12"/>
        <v>20259.722222222223</v>
      </c>
      <c r="AO30" s="256"/>
      <c r="AP30" s="257"/>
      <c r="AQ30" s="241">
        <f t="shared" si="13"/>
        <v>0</v>
      </c>
      <c r="AR30" s="256"/>
      <c r="AS30" s="257"/>
      <c r="AT30" s="241">
        <f t="shared" si="14"/>
        <v>0</v>
      </c>
      <c r="AW30" s="241">
        <f t="shared" si="15"/>
        <v>0</v>
      </c>
      <c r="AZ30" s="241">
        <f t="shared" si="16"/>
        <v>0</v>
      </c>
      <c r="BC30" s="241">
        <f t="shared" si="17"/>
        <v>0</v>
      </c>
      <c r="BF30" s="241">
        <f t="shared" si="18"/>
        <v>0</v>
      </c>
      <c r="BI30" s="241">
        <f t="shared" si="19"/>
        <v>0</v>
      </c>
      <c r="BL30" s="241">
        <f t="shared" si="20"/>
        <v>0</v>
      </c>
      <c r="BO30" s="241">
        <f t="shared" si="21"/>
        <v>0</v>
      </c>
      <c r="BR30" s="241">
        <f t="shared" si="22"/>
        <v>0</v>
      </c>
      <c r="BU30" s="241">
        <f t="shared" si="23"/>
        <v>0</v>
      </c>
      <c r="BX30" s="241">
        <f t="shared" si="24"/>
        <v>0</v>
      </c>
      <c r="CA30" s="241">
        <f t="shared" si="25"/>
        <v>0</v>
      </c>
      <c r="CD30" s="241">
        <f t="shared" si="26"/>
        <v>0</v>
      </c>
      <c r="CG30" s="241">
        <f t="shared" si="27"/>
        <v>0</v>
      </c>
      <c r="CJ30" s="241">
        <f t="shared" si="28"/>
        <v>0</v>
      </c>
      <c r="CM30" s="241">
        <f t="shared" si="29"/>
        <v>0</v>
      </c>
      <c r="CP30" s="241">
        <f t="shared" si="30"/>
        <v>0</v>
      </c>
      <c r="CS30" s="241">
        <f t="shared" si="31"/>
        <v>0</v>
      </c>
      <c r="CV30" s="241">
        <f t="shared" si="32"/>
        <v>0</v>
      </c>
      <c r="CY30" s="241">
        <f t="shared" si="33"/>
        <v>0</v>
      </c>
      <c r="DB30" s="241">
        <f t="shared" si="34"/>
        <v>0</v>
      </c>
      <c r="DE30" s="241">
        <f t="shared" si="35"/>
        <v>0</v>
      </c>
      <c r="DH30" s="241">
        <f t="shared" si="36"/>
        <v>0</v>
      </c>
      <c r="DK30" s="241">
        <f t="shared" si="37"/>
        <v>0</v>
      </c>
      <c r="DN30" s="241">
        <f t="shared" si="38"/>
        <v>0</v>
      </c>
      <c r="DQ30" s="241">
        <f t="shared" si="39"/>
        <v>0</v>
      </c>
      <c r="DT30" s="241">
        <f t="shared" si="40"/>
        <v>0</v>
      </c>
      <c r="DW30" s="241">
        <f t="shared" si="41"/>
        <v>0</v>
      </c>
      <c r="DZ30" s="241"/>
      <c r="EA30" s="241"/>
      <c r="EB30" s="261">
        <f t="shared" si="42"/>
        <v>297275000</v>
      </c>
      <c r="EC30" s="261">
        <f t="shared" si="43"/>
        <v>152275000</v>
      </c>
      <c r="ED30" s="241">
        <f t="shared" si="44"/>
        <v>39632.486111111109</v>
      </c>
      <c r="EE30" s="242">
        <f t="shared" si="45"/>
        <v>4.7994937347573798E-2</v>
      </c>
      <c r="EG30" s="261">
        <f t="shared" si="46"/>
        <v>0</v>
      </c>
      <c r="EH30" s="241">
        <f t="shared" si="47"/>
        <v>0</v>
      </c>
      <c r="EI30" s="242">
        <f t="shared" si="48"/>
        <v>0</v>
      </c>
      <c r="EJ30" s="242"/>
      <c r="EK30" s="261">
        <f t="shared" si="49"/>
        <v>145000000</v>
      </c>
      <c r="EL30" s="261">
        <f t="shared" si="50"/>
        <v>0</v>
      </c>
      <c r="EM30" s="261">
        <f t="shared" si="51"/>
        <v>20259.722222222223</v>
      </c>
      <c r="EN30" s="242">
        <f t="shared" si="52"/>
        <v>5.0300000000000004E-2</v>
      </c>
      <c r="EP30" s="241"/>
    </row>
    <row r="31" spans="1:146" x14ac:dyDescent="0.25">
      <c r="A31" s="255">
        <f t="shared" si="53"/>
        <v>45617</v>
      </c>
      <c r="B31" s="241">
        <v>150000000</v>
      </c>
      <c r="C31" s="242">
        <v>4.58E-2</v>
      </c>
      <c r="D31" s="241">
        <f t="shared" si="2"/>
        <v>19083.333333333332</v>
      </c>
      <c r="G31" s="241">
        <f t="shared" si="3"/>
        <v>0</v>
      </c>
      <c r="J31" s="241">
        <f t="shared" si="4"/>
        <v>0</v>
      </c>
      <c r="M31" s="241">
        <f t="shared" si="5"/>
        <v>0</v>
      </c>
      <c r="P31" s="241">
        <f t="shared" si="6"/>
        <v>0</v>
      </c>
      <c r="S31" s="241">
        <f t="shared" si="7"/>
        <v>0</v>
      </c>
      <c r="V31" s="241">
        <f t="shared" si="8"/>
        <v>0</v>
      </c>
      <c r="Y31" s="241">
        <f t="shared" si="9"/>
        <v>0</v>
      </c>
      <c r="AB31" s="241">
        <f t="shared" si="10"/>
        <v>0</v>
      </c>
      <c r="AE31" s="241">
        <v>0</v>
      </c>
      <c r="AH31" s="241">
        <v>0</v>
      </c>
      <c r="AI31" s="256"/>
      <c r="AJ31" s="257"/>
      <c r="AK31" s="241">
        <f t="shared" si="11"/>
        <v>0</v>
      </c>
      <c r="AL31" s="256">
        <f t="shared" si="0"/>
        <v>145000000</v>
      </c>
      <c r="AM31" s="257">
        <v>5.0299999999999997E-2</v>
      </c>
      <c r="AN31" s="241">
        <f t="shared" si="12"/>
        <v>20259.722222222223</v>
      </c>
      <c r="AO31" s="256"/>
      <c r="AP31" s="257"/>
      <c r="AQ31" s="241">
        <f t="shared" si="13"/>
        <v>0</v>
      </c>
      <c r="AR31" s="256"/>
      <c r="AS31" s="257"/>
      <c r="AT31" s="241">
        <f t="shared" si="14"/>
        <v>0</v>
      </c>
      <c r="AW31" s="241">
        <f t="shared" si="15"/>
        <v>0</v>
      </c>
      <c r="AZ31" s="241">
        <f t="shared" si="16"/>
        <v>0</v>
      </c>
      <c r="BC31" s="241">
        <f t="shared" si="17"/>
        <v>0</v>
      </c>
      <c r="BF31" s="241">
        <f t="shared" si="18"/>
        <v>0</v>
      </c>
      <c r="BI31" s="241">
        <f t="shared" si="19"/>
        <v>0</v>
      </c>
      <c r="BL31" s="241">
        <f t="shared" si="20"/>
        <v>0</v>
      </c>
      <c r="BO31" s="241">
        <f t="shared" si="21"/>
        <v>0</v>
      </c>
      <c r="BR31" s="241">
        <f t="shared" si="22"/>
        <v>0</v>
      </c>
      <c r="BU31" s="241">
        <f t="shared" si="23"/>
        <v>0</v>
      </c>
      <c r="BX31" s="241">
        <f t="shared" si="24"/>
        <v>0</v>
      </c>
      <c r="CA31" s="241">
        <f t="shared" si="25"/>
        <v>0</v>
      </c>
      <c r="CD31" s="241">
        <f t="shared" si="26"/>
        <v>0</v>
      </c>
      <c r="CG31" s="241">
        <f t="shared" si="27"/>
        <v>0</v>
      </c>
      <c r="CJ31" s="241">
        <f t="shared" si="28"/>
        <v>0</v>
      </c>
      <c r="CM31" s="241">
        <f t="shared" si="29"/>
        <v>0</v>
      </c>
      <c r="CP31" s="241">
        <f t="shared" si="30"/>
        <v>0</v>
      </c>
      <c r="CS31" s="241">
        <f t="shared" si="31"/>
        <v>0</v>
      </c>
      <c r="CV31" s="241">
        <f t="shared" si="32"/>
        <v>0</v>
      </c>
      <c r="CY31" s="241">
        <f t="shared" si="33"/>
        <v>0</v>
      </c>
      <c r="DB31" s="241">
        <f t="shared" si="34"/>
        <v>0</v>
      </c>
      <c r="DE31" s="241">
        <f t="shared" si="35"/>
        <v>0</v>
      </c>
      <c r="DH31" s="241">
        <f t="shared" si="36"/>
        <v>0</v>
      </c>
      <c r="DK31" s="241">
        <f t="shared" si="37"/>
        <v>0</v>
      </c>
      <c r="DN31" s="241">
        <f t="shared" si="38"/>
        <v>0</v>
      </c>
      <c r="DQ31" s="241">
        <f t="shared" si="39"/>
        <v>0</v>
      </c>
      <c r="DT31" s="241">
        <f t="shared" si="40"/>
        <v>0</v>
      </c>
      <c r="DW31" s="241">
        <f t="shared" si="41"/>
        <v>0</v>
      </c>
      <c r="DZ31" s="241"/>
      <c r="EA31" s="241"/>
      <c r="EB31" s="261">
        <f t="shared" si="42"/>
        <v>295000000</v>
      </c>
      <c r="EC31" s="261">
        <f t="shared" si="43"/>
        <v>150000000</v>
      </c>
      <c r="ED31" s="241">
        <f t="shared" si="44"/>
        <v>39343.055555555555</v>
      </c>
      <c r="EE31" s="242">
        <f t="shared" si="45"/>
        <v>4.8011864406779653E-2</v>
      </c>
      <c r="EG31" s="261">
        <f t="shared" si="46"/>
        <v>0</v>
      </c>
      <c r="EH31" s="241">
        <f t="shared" si="47"/>
        <v>0</v>
      </c>
      <c r="EI31" s="242">
        <f t="shared" si="48"/>
        <v>0</v>
      </c>
      <c r="EJ31" s="242"/>
      <c r="EK31" s="261">
        <f t="shared" si="49"/>
        <v>145000000</v>
      </c>
      <c r="EL31" s="261">
        <f t="shared" si="50"/>
        <v>0</v>
      </c>
      <c r="EM31" s="261">
        <f t="shared" si="51"/>
        <v>20259.722222222223</v>
      </c>
      <c r="EN31" s="242">
        <f t="shared" si="52"/>
        <v>5.0300000000000004E-2</v>
      </c>
      <c r="EP31" s="241"/>
    </row>
    <row r="32" spans="1:146" x14ac:dyDescent="0.25">
      <c r="A32" s="255">
        <f t="shared" si="53"/>
        <v>45618</v>
      </c>
      <c r="B32" s="241">
        <v>163825000</v>
      </c>
      <c r="C32" s="242">
        <v>4.58E-2</v>
      </c>
      <c r="D32" s="241">
        <f t="shared" si="2"/>
        <v>20842.180555555555</v>
      </c>
      <c r="G32" s="241">
        <f t="shared" si="3"/>
        <v>0</v>
      </c>
      <c r="J32" s="241">
        <f t="shared" si="4"/>
        <v>0</v>
      </c>
      <c r="M32" s="241">
        <f t="shared" si="5"/>
        <v>0</v>
      </c>
      <c r="P32" s="241">
        <f t="shared" si="6"/>
        <v>0</v>
      </c>
      <c r="S32" s="241">
        <f t="shared" si="7"/>
        <v>0</v>
      </c>
      <c r="V32" s="241">
        <f t="shared" si="8"/>
        <v>0</v>
      </c>
      <c r="Y32" s="241">
        <f t="shared" si="9"/>
        <v>0</v>
      </c>
      <c r="AB32" s="241">
        <f t="shared" si="10"/>
        <v>0</v>
      </c>
      <c r="AE32" s="241">
        <v>0</v>
      </c>
      <c r="AH32" s="241">
        <v>0</v>
      </c>
      <c r="AI32" s="256">
        <v>1075000</v>
      </c>
      <c r="AJ32" s="257">
        <v>4.7E-2</v>
      </c>
      <c r="AK32" s="241">
        <f t="shared" si="11"/>
        <v>140.34722222222223</v>
      </c>
      <c r="AL32" s="256">
        <f t="shared" si="0"/>
        <v>145000000</v>
      </c>
      <c r="AM32" s="257">
        <v>5.0299999999999997E-2</v>
      </c>
      <c r="AN32" s="241">
        <f t="shared" si="12"/>
        <v>20259.722222222223</v>
      </c>
      <c r="AO32" s="256"/>
      <c r="AP32" s="257"/>
      <c r="AQ32" s="241">
        <f t="shared" si="13"/>
        <v>0</v>
      </c>
      <c r="AR32" s="256"/>
      <c r="AS32" s="257"/>
      <c r="AT32" s="241">
        <f t="shared" si="14"/>
        <v>0</v>
      </c>
      <c r="AW32" s="241">
        <f t="shared" si="15"/>
        <v>0</v>
      </c>
      <c r="AZ32" s="241">
        <f t="shared" si="16"/>
        <v>0</v>
      </c>
      <c r="BC32" s="241">
        <f t="shared" si="17"/>
        <v>0</v>
      </c>
      <c r="BF32" s="241">
        <f t="shared" si="18"/>
        <v>0</v>
      </c>
      <c r="BI32" s="241">
        <f t="shared" si="19"/>
        <v>0</v>
      </c>
      <c r="BL32" s="241">
        <f t="shared" si="20"/>
        <v>0</v>
      </c>
      <c r="BO32" s="241">
        <f t="shared" si="21"/>
        <v>0</v>
      </c>
      <c r="BR32" s="241">
        <f t="shared" si="22"/>
        <v>0</v>
      </c>
      <c r="BU32" s="241">
        <f t="shared" si="23"/>
        <v>0</v>
      </c>
      <c r="BX32" s="241">
        <f t="shared" si="24"/>
        <v>0</v>
      </c>
      <c r="CA32" s="241">
        <f t="shared" si="25"/>
        <v>0</v>
      </c>
      <c r="CD32" s="241">
        <f t="shared" si="26"/>
        <v>0</v>
      </c>
      <c r="CG32" s="241">
        <f t="shared" si="27"/>
        <v>0</v>
      </c>
      <c r="CJ32" s="241">
        <f t="shared" si="28"/>
        <v>0</v>
      </c>
      <c r="CM32" s="241">
        <f t="shared" si="29"/>
        <v>0</v>
      </c>
      <c r="CP32" s="241">
        <f t="shared" si="30"/>
        <v>0</v>
      </c>
      <c r="CS32" s="241">
        <f t="shared" si="31"/>
        <v>0</v>
      </c>
      <c r="CV32" s="241">
        <f t="shared" si="32"/>
        <v>0</v>
      </c>
      <c r="CY32" s="241">
        <f t="shared" si="33"/>
        <v>0</v>
      </c>
      <c r="DB32" s="241">
        <f t="shared" si="34"/>
        <v>0</v>
      </c>
      <c r="DE32" s="241">
        <f t="shared" si="35"/>
        <v>0</v>
      </c>
      <c r="DH32" s="241">
        <f t="shared" si="36"/>
        <v>0</v>
      </c>
      <c r="DK32" s="241">
        <f t="shared" si="37"/>
        <v>0</v>
      </c>
      <c r="DN32" s="241">
        <f t="shared" si="38"/>
        <v>0</v>
      </c>
      <c r="DQ32" s="241">
        <f t="shared" si="39"/>
        <v>0</v>
      </c>
      <c r="DT32" s="241">
        <f t="shared" si="40"/>
        <v>0</v>
      </c>
      <c r="DW32" s="241">
        <f t="shared" si="41"/>
        <v>0</v>
      </c>
      <c r="DZ32" s="241"/>
      <c r="EA32" s="241"/>
      <c r="EB32" s="261">
        <f t="shared" si="42"/>
        <v>309900000</v>
      </c>
      <c r="EC32" s="261">
        <f t="shared" si="43"/>
        <v>163825000</v>
      </c>
      <c r="ED32" s="241">
        <f t="shared" si="44"/>
        <v>41242.25</v>
      </c>
      <c r="EE32" s="242">
        <f t="shared" si="45"/>
        <v>4.790968054211036E-2</v>
      </c>
      <c r="EG32" s="261">
        <f t="shared" si="46"/>
        <v>0</v>
      </c>
      <c r="EH32" s="241">
        <f t="shared" si="47"/>
        <v>0</v>
      </c>
      <c r="EI32" s="242">
        <f t="shared" si="48"/>
        <v>0</v>
      </c>
      <c r="EJ32" s="242"/>
      <c r="EK32" s="261">
        <f t="shared" si="49"/>
        <v>146075000</v>
      </c>
      <c r="EL32" s="261">
        <f t="shared" si="50"/>
        <v>0</v>
      </c>
      <c r="EM32" s="261">
        <f t="shared" si="51"/>
        <v>20400.069444444445</v>
      </c>
      <c r="EN32" s="242">
        <f t="shared" si="52"/>
        <v>5.0275714530207086E-2</v>
      </c>
      <c r="EP32" s="241"/>
    </row>
    <row r="33" spans="1:146" x14ac:dyDescent="0.25">
      <c r="A33" s="255">
        <f t="shared" si="53"/>
        <v>45619</v>
      </c>
      <c r="B33" s="241">
        <v>163825000</v>
      </c>
      <c r="C33" s="242">
        <v>4.58E-2</v>
      </c>
      <c r="D33" s="241">
        <f t="shared" si="2"/>
        <v>20842.180555555555</v>
      </c>
      <c r="G33" s="241">
        <f t="shared" si="3"/>
        <v>0</v>
      </c>
      <c r="J33" s="241">
        <f t="shared" si="4"/>
        <v>0</v>
      </c>
      <c r="M33" s="241">
        <f t="shared" si="5"/>
        <v>0</v>
      </c>
      <c r="P33" s="241">
        <f t="shared" si="6"/>
        <v>0</v>
      </c>
      <c r="S33" s="241">
        <f t="shared" si="7"/>
        <v>0</v>
      </c>
      <c r="V33" s="241">
        <f t="shared" si="8"/>
        <v>0</v>
      </c>
      <c r="Y33" s="241">
        <f t="shared" si="9"/>
        <v>0</v>
      </c>
      <c r="AB33" s="241">
        <f t="shared" si="10"/>
        <v>0</v>
      </c>
      <c r="AE33" s="241">
        <v>0</v>
      </c>
      <c r="AH33" s="241">
        <v>0</v>
      </c>
      <c r="AI33" s="256">
        <v>1075000</v>
      </c>
      <c r="AJ33" s="257">
        <v>4.7E-2</v>
      </c>
      <c r="AK33" s="241">
        <f t="shared" si="11"/>
        <v>140.34722222222223</v>
      </c>
      <c r="AL33" s="256">
        <f t="shared" si="0"/>
        <v>145000000</v>
      </c>
      <c r="AM33" s="257">
        <v>5.0299999999999997E-2</v>
      </c>
      <c r="AN33" s="241">
        <f t="shared" si="12"/>
        <v>20259.722222222223</v>
      </c>
      <c r="AO33" s="256"/>
      <c r="AP33" s="257"/>
      <c r="AQ33" s="241">
        <f t="shared" si="13"/>
        <v>0</v>
      </c>
      <c r="AR33" s="256"/>
      <c r="AS33" s="257"/>
      <c r="AT33" s="241">
        <f t="shared" si="14"/>
        <v>0</v>
      </c>
      <c r="AW33" s="241">
        <f t="shared" si="15"/>
        <v>0</v>
      </c>
      <c r="AZ33" s="241">
        <f t="shared" si="16"/>
        <v>0</v>
      </c>
      <c r="BC33" s="241">
        <f t="shared" si="17"/>
        <v>0</v>
      </c>
      <c r="BF33" s="241">
        <f t="shared" si="18"/>
        <v>0</v>
      </c>
      <c r="BI33" s="241">
        <f t="shared" si="19"/>
        <v>0</v>
      </c>
      <c r="BL33" s="241">
        <f t="shared" si="20"/>
        <v>0</v>
      </c>
      <c r="BO33" s="241">
        <f t="shared" si="21"/>
        <v>0</v>
      </c>
      <c r="BR33" s="241">
        <f t="shared" si="22"/>
        <v>0</v>
      </c>
      <c r="BU33" s="241">
        <f t="shared" si="23"/>
        <v>0</v>
      </c>
      <c r="BX33" s="241">
        <f t="shared" si="24"/>
        <v>0</v>
      </c>
      <c r="CA33" s="241">
        <f t="shared" si="25"/>
        <v>0</v>
      </c>
      <c r="CD33" s="241">
        <f t="shared" si="26"/>
        <v>0</v>
      </c>
      <c r="CG33" s="241">
        <f t="shared" si="27"/>
        <v>0</v>
      </c>
      <c r="CJ33" s="241">
        <f t="shared" si="28"/>
        <v>0</v>
      </c>
      <c r="CM33" s="241">
        <f t="shared" si="29"/>
        <v>0</v>
      </c>
      <c r="CP33" s="241">
        <f t="shared" si="30"/>
        <v>0</v>
      </c>
      <c r="CS33" s="241">
        <f t="shared" si="31"/>
        <v>0</v>
      </c>
      <c r="CV33" s="241">
        <f t="shared" si="32"/>
        <v>0</v>
      </c>
      <c r="CY33" s="241">
        <f t="shared" si="33"/>
        <v>0</v>
      </c>
      <c r="DB33" s="241">
        <f t="shared" si="34"/>
        <v>0</v>
      </c>
      <c r="DE33" s="241">
        <f t="shared" si="35"/>
        <v>0</v>
      </c>
      <c r="DH33" s="241">
        <f t="shared" si="36"/>
        <v>0</v>
      </c>
      <c r="DK33" s="241">
        <f t="shared" si="37"/>
        <v>0</v>
      </c>
      <c r="DN33" s="241">
        <f t="shared" si="38"/>
        <v>0</v>
      </c>
      <c r="DQ33" s="241">
        <f t="shared" si="39"/>
        <v>0</v>
      </c>
      <c r="DT33" s="241">
        <f t="shared" si="40"/>
        <v>0</v>
      </c>
      <c r="DW33" s="241">
        <f t="shared" si="41"/>
        <v>0</v>
      </c>
      <c r="DZ33" s="241"/>
      <c r="EA33" s="241"/>
      <c r="EB33" s="261">
        <f t="shared" si="42"/>
        <v>309900000</v>
      </c>
      <c r="EC33" s="261">
        <f t="shared" si="43"/>
        <v>163825000</v>
      </c>
      <c r="ED33" s="241">
        <f t="shared" si="44"/>
        <v>41242.25</v>
      </c>
      <c r="EE33" s="242">
        <f t="shared" si="45"/>
        <v>4.790968054211036E-2</v>
      </c>
      <c r="EG33" s="261">
        <f t="shared" si="46"/>
        <v>0</v>
      </c>
      <c r="EH33" s="241">
        <f t="shared" si="47"/>
        <v>0</v>
      </c>
      <c r="EI33" s="242">
        <f t="shared" si="48"/>
        <v>0</v>
      </c>
      <c r="EJ33" s="242"/>
      <c r="EK33" s="261">
        <f t="shared" si="49"/>
        <v>146075000</v>
      </c>
      <c r="EL33" s="261">
        <f t="shared" si="50"/>
        <v>0</v>
      </c>
      <c r="EM33" s="261">
        <f t="shared" si="51"/>
        <v>20400.069444444445</v>
      </c>
      <c r="EN33" s="242">
        <f t="shared" si="52"/>
        <v>5.0275714530207086E-2</v>
      </c>
      <c r="EP33" s="241"/>
    </row>
    <row r="34" spans="1:146" x14ac:dyDescent="0.25">
      <c r="A34" s="255">
        <f t="shared" si="53"/>
        <v>45620</v>
      </c>
      <c r="B34" s="241">
        <v>163825000</v>
      </c>
      <c r="C34" s="242">
        <v>4.58E-2</v>
      </c>
      <c r="D34" s="241">
        <f t="shared" si="2"/>
        <v>20842.180555555555</v>
      </c>
      <c r="G34" s="241">
        <f t="shared" si="3"/>
        <v>0</v>
      </c>
      <c r="J34" s="241">
        <f t="shared" si="4"/>
        <v>0</v>
      </c>
      <c r="M34" s="241">
        <f t="shared" si="5"/>
        <v>0</v>
      </c>
      <c r="P34" s="241">
        <f t="shared" si="6"/>
        <v>0</v>
      </c>
      <c r="S34" s="241">
        <f t="shared" si="7"/>
        <v>0</v>
      </c>
      <c r="V34" s="241">
        <f t="shared" si="8"/>
        <v>0</v>
      </c>
      <c r="Y34" s="241">
        <f t="shared" si="9"/>
        <v>0</v>
      </c>
      <c r="AB34" s="241">
        <f t="shared" si="10"/>
        <v>0</v>
      </c>
      <c r="AE34" s="241">
        <v>0</v>
      </c>
      <c r="AH34" s="241">
        <v>0</v>
      </c>
      <c r="AI34" s="256">
        <v>1075000</v>
      </c>
      <c r="AJ34" s="257">
        <v>4.7E-2</v>
      </c>
      <c r="AK34" s="241">
        <f t="shared" si="11"/>
        <v>140.34722222222223</v>
      </c>
      <c r="AL34" s="256">
        <f t="shared" si="0"/>
        <v>145000000</v>
      </c>
      <c r="AM34" s="257">
        <v>5.0299999999999997E-2</v>
      </c>
      <c r="AN34" s="241">
        <f t="shared" si="12"/>
        <v>20259.722222222223</v>
      </c>
      <c r="AO34" s="256"/>
      <c r="AP34" s="257"/>
      <c r="AQ34" s="241">
        <f t="shared" si="13"/>
        <v>0</v>
      </c>
      <c r="AR34" s="256"/>
      <c r="AS34" s="257"/>
      <c r="AT34" s="241">
        <f t="shared" si="14"/>
        <v>0</v>
      </c>
      <c r="AW34" s="241">
        <f t="shared" si="15"/>
        <v>0</v>
      </c>
      <c r="AZ34" s="241">
        <f t="shared" si="16"/>
        <v>0</v>
      </c>
      <c r="BC34" s="241">
        <f t="shared" si="17"/>
        <v>0</v>
      </c>
      <c r="BF34" s="241">
        <f t="shared" si="18"/>
        <v>0</v>
      </c>
      <c r="BI34" s="241">
        <f t="shared" si="19"/>
        <v>0</v>
      </c>
      <c r="BL34" s="241">
        <f t="shared" si="20"/>
        <v>0</v>
      </c>
      <c r="BO34" s="241">
        <f t="shared" si="21"/>
        <v>0</v>
      </c>
      <c r="BR34" s="241">
        <f t="shared" si="22"/>
        <v>0</v>
      </c>
      <c r="BU34" s="241">
        <f t="shared" si="23"/>
        <v>0</v>
      </c>
      <c r="BX34" s="241">
        <f t="shared" si="24"/>
        <v>0</v>
      </c>
      <c r="CA34" s="241">
        <f t="shared" si="25"/>
        <v>0</v>
      </c>
      <c r="CD34" s="241">
        <f t="shared" si="26"/>
        <v>0</v>
      </c>
      <c r="CG34" s="241">
        <f t="shared" si="27"/>
        <v>0</v>
      </c>
      <c r="CJ34" s="241">
        <f t="shared" si="28"/>
        <v>0</v>
      </c>
      <c r="CM34" s="241">
        <f t="shared" si="29"/>
        <v>0</v>
      </c>
      <c r="CP34" s="241">
        <f t="shared" si="30"/>
        <v>0</v>
      </c>
      <c r="CS34" s="241">
        <f t="shared" si="31"/>
        <v>0</v>
      </c>
      <c r="CV34" s="241">
        <f t="shared" si="32"/>
        <v>0</v>
      </c>
      <c r="CY34" s="241">
        <f t="shared" si="33"/>
        <v>0</v>
      </c>
      <c r="DB34" s="241">
        <f t="shared" si="34"/>
        <v>0</v>
      </c>
      <c r="DE34" s="241">
        <f t="shared" si="35"/>
        <v>0</v>
      </c>
      <c r="DH34" s="241">
        <f t="shared" si="36"/>
        <v>0</v>
      </c>
      <c r="DK34" s="241">
        <f t="shared" si="37"/>
        <v>0</v>
      </c>
      <c r="DN34" s="241">
        <f t="shared" si="38"/>
        <v>0</v>
      </c>
      <c r="DQ34" s="241">
        <f t="shared" si="39"/>
        <v>0</v>
      </c>
      <c r="DT34" s="241">
        <f t="shared" si="40"/>
        <v>0</v>
      </c>
      <c r="DW34" s="241">
        <f t="shared" si="41"/>
        <v>0</v>
      </c>
      <c r="DZ34" s="241"/>
      <c r="EA34" s="241"/>
      <c r="EB34" s="261">
        <f t="shared" si="42"/>
        <v>309900000</v>
      </c>
      <c r="EC34" s="261">
        <f t="shared" si="43"/>
        <v>163825000</v>
      </c>
      <c r="ED34" s="241">
        <f t="shared" si="44"/>
        <v>41242.25</v>
      </c>
      <c r="EE34" s="242">
        <f t="shared" si="45"/>
        <v>4.790968054211036E-2</v>
      </c>
      <c r="EG34" s="261">
        <f t="shared" si="46"/>
        <v>0</v>
      </c>
      <c r="EH34" s="241">
        <f t="shared" si="47"/>
        <v>0</v>
      </c>
      <c r="EI34" s="242">
        <f t="shared" si="48"/>
        <v>0</v>
      </c>
      <c r="EJ34" s="242"/>
      <c r="EK34" s="261">
        <f t="shared" si="49"/>
        <v>146075000</v>
      </c>
      <c r="EL34" s="261">
        <f t="shared" si="50"/>
        <v>0</v>
      </c>
      <c r="EM34" s="261">
        <f t="shared" si="51"/>
        <v>20400.069444444445</v>
      </c>
      <c r="EN34" s="242">
        <f t="shared" si="52"/>
        <v>5.0275714530207086E-2</v>
      </c>
      <c r="EP34" s="241"/>
    </row>
    <row r="35" spans="1:146" x14ac:dyDescent="0.25">
      <c r="A35" s="255">
        <f t="shared" si="53"/>
        <v>45621</v>
      </c>
      <c r="B35" s="241">
        <v>149825000</v>
      </c>
      <c r="C35" s="242">
        <v>4.58E-2</v>
      </c>
      <c r="D35" s="241">
        <f t="shared" si="2"/>
        <v>19061.069444444445</v>
      </c>
      <c r="G35" s="241">
        <f t="shared" si="3"/>
        <v>0</v>
      </c>
      <c r="J35" s="241">
        <f t="shared" si="4"/>
        <v>0</v>
      </c>
      <c r="M35" s="241">
        <f t="shared" si="5"/>
        <v>0</v>
      </c>
      <c r="P35" s="241">
        <f t="shared" si="6"/>
        <v>0</v>
      </c>
      <c r="S35" s="241">
        <f t="shared" si="7"/>
        <v>0</v>
      </c>
      <c r="V35" s="241">
        <f t="shared" si="8"/>
        <v>0</v>
      </c>
      <c r="Y35" s="241">
        <f t="shared" si="9"/>
        <v>0</v>
      </c>
      <c r="AB35" s="241">
        <f t="shared" si="10"/>
        <v>0</v>
      </c>
      <c r="AE35" s="241">
        <v>0</v>
      </c>
      <c r="AH35" s="241">
        <v>0</v>
      </c>
      <c r="AI35" s="256">
        <f>18325000</f>
        <v>18325000</v>
      </c>
      <c r="AJ35" s="257">
        <v>4.7E-2</v>
      </c>
      <c r="AK35" s="241">
        <f t="shared" si="11"/>
        <v>2392.4305555555557</v>
      </c>
      <c r="AL35" s="256">
        <f t="shared" si="0"/>
        <v>145000000</v>
      </c>
      <c r="AM35" s="257">
        <v>5.0299999999999997E-2</v>
      </c>
      <c r="AN35" s="241">
        <f t="shared" si="12"/>
        <v>20259.722222222223</v>
      </c>
      <c r="AO35" s="256"/>
      <c r="AP35" s="257"/>
      <c r="AQ35" s="241">
        <f t="shared" si="13"/>
        <v>0</v>
      </c>
      <c r="AR35" s="256"/>
      <c r="AS35" s="257"/>
      <c r="AT35" s="241">
        <f t="shared" si="14"/>
        <v>0</v>
      </c>
      <c r="AW35" s="241">
        <f t="shared" si="15"/>
        <v>0</v>
      </c>
      <c r="AZ35" s="241">
        <f t="shared" si="16"/>
        <v>0</v>
      </c>
      <c r="BC35" s="241">
        <f t="shared" si="17"/>
        <v>0</v>
      </c>
      <c r="BF35" s="241">
        <f t="shared" si="18"/>
        <v>0</v>
      </c>
      <c r="BI35" s="241">
        <f t="shared" si="19"/>
        <v>0</v>
      </c>
      <c r="BL35" s="241">
        <f t="shared" si="20"/>
        <v>0</v>
      </c>
      <c r="BO35" s="241">
        <f t="shared" si="21"/>
        <v>0</v>
      </c>
      <c r="BR35" s="241">
        <f t="shared" si="22"/>
        <v>0</v>
      </c>
      <c r="BU35" s="241">
        <f t="shared" si="23"/>
        <v>0</v>
      </c>
      <c r="BX35" s="241">
        <f t="shared" si="24"/>
        <v>0</v>
      </c>
      <c r="CA35" s="241">
        <f t="shared" si="25"/>
        <v>0</v>
      </c>
      <c r="CD35" s="241">
        <f t="shared" si="26"/>
        <v>0</v>
      </c>
      <c r="CG35" s="241">
        <f t="shared" si="27"/>
        <v>0</v>
      </c>
      <c r="CJ35" s="241">
        <f t="shared" si="28"/>
        <v>0</v>
      </c>
      <c r="CM35" s="241">
        <f t="shared" si="29"/>
        <v>0</v>
      </c>
      <c r="CP35" s="241">
        <f t="shared" si="30"/>
        <v>0</v>
      </c>
      <c r="CS35" s="241">
        <f t="shared" si="31"/>
        <v>0</v>
      </c>
      <c r="CV35" s="241">
        <f t="shared" si="32"/>
        <v>0</v>
      </c>
      <c r="CY35" s="241">
        <f t="shared" si="33"/>
        <v>0</v>
      </c>
      <c r="DB35" s="241">
        <f t="shared" si="34"/>
        <v>0</v>
      </c>
      <c r="DE35" s="241">
        <f t="shared" si="35"/>
        <v>0</v>
      </c>
      <c r="DH35" s="241">
        <f t="shared" si="36"/>
        <v>0</v>
      </c>
      <c r="DK35" s="241">
        <f t="shared" si="37"/>
        <v>0</v>
      </c>
      <c r="DN35" s="241">
        <f t="shared" si="38"/>
        <v>0</v>
      </c>
      <c r="DQ35" s="241">
        <f t="shared" si="39"/>
        <v>0</v>
      </c>
      <c r="DT35" s="241">
        <f t="shared" si="40"/>
        <v>0</v>
      </c>
      <c r="DW35" s="241">
        <f t="shared" si="41"/>
        <v>0</v>
      </c>
      <c r="DZ35" s="241"/>
      <c r="EA35" s="241"/>
      <c r="EB35" s="261">
        <f t="shared" si="42"/>
        <v>313150000</v>
      </c>
      <c r="EC35" s="261">
        <f t="shared" si="43"/>
        <v>149825000</v>
      </c>
      <c r="ED35" s="241">
        <f t="shared" si="44"/>
        <v>41713.222222222219</v>
      </c>
      <c r="EE35" s="242">
        <f t="shared" si="45"/>
        <v>4.7953887913140668E-2</v>
      </c>
      <c r="EG35" s="261">
        <f t="shared" si="46"/>
        <v>0</v>
      </c>
      <c r="EH35" s="241">
        <f t="shared" si="47"/>
        <v>0</v>
      </c>
      <c r="EI35" s="242">
        <f t="shared" si="48"/>
        <v>0</v>
      </c>
      <c r="EJ35" s="242"/>
      <c r="EK35" s="261">
        <f t="shared" si="49"/>
        <v>163325000</v>
      </c>
      <c r="EL35" s="261">
        <f t="shared" si="50"/>
        <v>0</v>
      </c>
      <c r="EM35" s="261">
        <f t="shared" si="51"/>
        <v>22652.152777777777</v>
      </c>
      <c r="EN35" s="242">
        <f t="shared" si="52"/>
        <v>4.9929741313332311E-2</v>
      </c>
      <c r="EP35" s="241"/>
    </row>
    <row r="36" spans="1:146" x14ac:dyDescent="0.25">
      <c r="A36" s="255">
        <f t="shared" si="53"/>
        <v>45622</v>
      </c>
      <c r="B36" s="241">
        <v>125950000</v>
      </c>
      <c r="C36" s="242">
        <v>4.58E-2</v>
      </c>
      <c r="D36" s="241">
        <f t="shared" si="2"/>
        <v>16023.638888888889</v>
      </c>
      <c r="G36" s="241">
        <f t="shared" si="3"/>
        <v>0</v>
      </c>
      <c r="J36" s="241">
        <f t="shared" si="4"/>
        <v>0</v>
      </c>
      <c r="M36" s="241">
        <f t="shared" si="5"/>
        <v>0</v>
      </c>
      <c r="P36" s="241">
        <f t="shared" si="6"/>
        <v>0</v>
      </c>
      <c r="S36" s="241">
        <f t="shared" si="7"/>
        <v>0</v>
      </c>
      <c r="V36" s="241">
        <f t="shared" si="8"/>
        <v>0</v>
      </c>
      <c r="Y36" s="241">
        <f t="shared" si="9"/>
        <v>0</v>
      </c>
      <c r="AB36" s="241">
        <f t="shared" si="10"/>
        <v>0</v>
      </c>
      <c r="AE36" s="241">
        <v>0</v>
      </c>
      <c r="AH36" s="241">
        <v>0</v>
      </c>
      <c r="AI36" s="256">
        <f>40000000+33225000</f>
        <v>73225000</v>
      </c>
      <c r="AJ36" s="257">
        <v>4.7E-2</v>
      </c>
      <c r="AK36" s="241">
        <f t="shared" si="11"/>
        <v>9559.9305555555547</v>
      </c>
      <c r="AL36" s="256">
        <f t="shared" si="0"/>
        <v>145000000</v>
      </c>
      <c r="AM36" s="257">
        <v>5.0299999999999997E-2</v>
      </c>
      <c r="AN36" s="241">
        <f t="shared" si="12"/>
        <v>20259.722222222223</v>
      </c>
      <c r="AO36" s="256"/>
      <c r="AP36" s="257"/>
      <c r="AQ36" s="241">
        <f t="shared" si="13"/>
        <v>0</v>
      </c>
      <c r="AR36" s="256"/>
      <c r="AS36" s="257"/>
      <c r="AT36" s="241">
        <f t="shared" si="14"/>
        <v>0</v>
      </c>
      <c r="AW36" s="241">
        <f t="shared" si="15"/>
        <v>0</v>
      </c>
      <c r="AZ36" s="241">
        <f t="shared" si="16"/>
        <v>0</v>
      </c>
      <c r="BC36" s="241">
        <f t="shared" si="17"/>
        <v>0</v>
      </c>
      <c r="BF36" s="241">
        <f t="shared" si="18"/>
        <v>0</v>
      </c>
      <c r="BI36" s="241">
        <f t="shared" si="19"/>
        <v>0</v>
      </c>
      <c r="BL36" s="241">
        <f t="shared" si="20"/>
        <v>0</v>
      </c>
      <c r="BO36" s="241">
        <f t="shared" si="21"/>
        <v>0</v>
      </c>
      <c r="BR36" s="241">
        <f t="shared" si="22"/>
        <v>0</v>
      </c>
      <c r="BU36" s="241">
        <f t="shared" si="23"/>
        <v>0</v>
      </c>
      <c r="BX36" s="241">
        <f t="shared" si="24"/>
        <v>0</v>
      </c>
      <c r="CA36" s="241">
        <f t="shared" si="25"/>
        <v>0</v>
      </c>
      <c r="CD36" s="241">
        <f t="shared" si="26"/>
        <v>0</v>
      </c>
      <c r="CG36" s="241">
        <f t="shared" si="27"/>
        <v>0</v>
      </c>
      <c r="CJ36" s="241">
        <f t="shared" si="28"/>
        <v>0</v>
      </c>
      <c r="CM36" s="241">
        <f t="shared" si="29"/>
        <v>0</v>
      </c>
      <c r="CP36" s="241">
        <f t="shared" si="30"/>
        <v>0</v>
      </c>
      <c r="CS36" s="241">
        <f t="shared" si="31"/>
        <v>0</v>
      </c>
      <c r="CV36" s="241">
        <f t="shared" si="32"/>
        <v>0</v>
      </c>
      <c r="CY36" s="241">
        <f t="shared" si="33"/>
        <v>0</v>
      </c>
      <c r="DB36" s="241">
        <f t="shared" si="34"/>
        <v>0</v>
      </c>
      <c r="DE36" s="241">
        <f t="shared" si="35"/>
        <v>0</v>
      </c>
      <c r="DH36" s="241">
        <f t="shared" si="36"/>
        <v>0</v>
      </c>
      <c r="DK36" s="241">
        <f t="shared" si="37"/>
        <v>0</v>
      </c>
      <c r="DN36" s="241">
        <f t="shared" si="38"/>
        <v>0</v>
      </c>
      <c r="DQ36" s="241">
        <f t="shared" si="39"/>
        <v>0</v>
      </c>
      <c r="DT36" s="241">
        <f t="shared" si="40"/>
        <v>0</v>
      </c>
      <c r="DW36" s="241">
        <f t="shared" si="41"/>
        <v>0</v>
      </c>
      <c r="DZ36" s="241"/>
      <c r="EA36" s="241"/>
      <c r="EB36" s="261">
        <f t="shared" si="42"/>
        <v>344175000</v>
      </c>
      <c r="EC36" s="261">
        <f t="shared" si="43"/>
        <v>125950000</v>
      </c>
      <c r="ED36" s="241">
        <f t="shared" si="44"/>
        <v>45843.291666666672</v>
      </c>
      <c r="EE36" s="242">
        <f t="shared" si="45"/>
        <v>4.7951144040095886E-2</v>
      </c>
      <c r="EG36" s="261">
        <f t="shared" si="46"/>
        <v>0</v>
      </c>
      <c r="EH36" s="241">
        <f t="shared" si="47"/>
        <v>0</v>
      </c>
      <c r="EI36" s="242">
        <f t="shared" si="48"/>
        <v>0</v>
      </c>
      <c r="EJ36" s="242"/>
      <c r="EK36" s="261">
        <f t="shared" si="49"/>
        <v>218225000</v>
      </c>
      <c r="EL36" s="261">
        <f t="shared" si="50"/>
        <v>0</v>
      </c>
      <c r="EM36" s="261">
        <f t="shared" si="51"/>
        <v>29819.652777777777</v>
      </c>
      <c r="EN36" s="242">
        <f t="shared" si="52"/>
        <v>4.9192691029900329E-2</v>
      </c>
      <c r="EP36" s="241"/>
    </row>
    <row r="37" spans="1:146" x14ac:dyDescent="0.25">
      <c r="A37" s="255">
        <f t="shared" si="53"/>
        <v>45623</v>
      </c>
      <c r="B37" s="241">
        <v>113725000</v>
      </c>
      <c r="C37" s="242">
        <v>4.58E-2</v>
      </c>
      <c r="D37" s="241">
        <f t="shared" si="2"/>
        <v>14468.347222222223</v>
      </c>
      <c r="G37" s="241">
        <f t="shared" si="3"/>
        <v>0</v>
      </c>
      <c r="J37" s="241">
        <f t="shared" si="4"/>
        <v>0</v>
      </c>
      <c r="M37" s="241">
        <f t="shared" si="5"/>
        <v>0</v>
      </c>
      <c r="P37" s="241">
        <f t="shared" si="6"/>
        <v>0</v>
      </c>
      <c r="S37" s="241">
        <f t="shared" si="7"/>
        <v>0</v>
      </c>
      <c r="V37" s="241">
        <f t="shared" si="8"/>
        <v>0</v>
      </c>
      <c r="Y37" s="241">
        <f t="shared" si="9"/>
        <v>0</v>
      </c>
      <c r="AB37" s="241">
        <f t="shared" si="10"/>
        <v>0</v>
      </c>
      <c r="AE37" s="241">
        <v>0</v>
      </c>
      <c r="AH37" s="241">
        <v>0</v>
      </c>
      <c r="AI37" s="256">
        <f>60000000</f>
        <v>60000000</v>
      </c>
      <c r="AJ37" s="257">
        <v>4.7E-2</v>
      </c>
      <c r="AK37" s="241">
        <f t="shared" si="11"/>
        <v>7833.333333333333</v>
      </c>
      <c r="AL37" s="256">
        <f t="shared" si="0"/>
        <v>145000000</v>
      </c>
      <c r="AM37" s="257">
        <v>5.0299999999999997E-2</v>
      </c>
      <c r="AN37" s="241">
        <f t="shared" si="12"/>
        <v>20259.722222222223</v>
      </c>
      <c r="AO37" s="256">
        <f>33975000</f>
        <v>33975000</v>
      </c>
      <c r="AP37" s="257">
        <v>4.7300000000000002E-2</v>
      </c>
      <c r="AQ37" s="241">
        <f t="shared" si="13"/>
        <v>4463.9375</v>
      </c>
      <c r="AR37" s="256"/>
      <c r="AS37" s="257"/>
      <c r="AT37" s="241">
        <f t="shared" si="14"/>
        <v>0</v>
      </c>
      <c r="AW37" s="241">
        <f t="shared" si="15"/>
        <v>0</v>
      </c>
      <c r="AZ37" s="241">
        <f t="shared" si="16"/>
        <v>0</v>
      </c>
      <c r="BC37" s="241">
        <f t="shared" si="17"/>
        <v>0</v>
      </c>
      <c r="BF37" s="241">
        <f t="shared" si="18"/>
        <v>0</v>
      </c>
      <c r="BI37" s="241">
        <f t="shared" si="19"/>
        <v>0</v>
      </c>
      <c r="BL37" s="241">
        <f t="shared" si="20"/>
        <v>0</v>
      </c>
      <c r="BO37" s="241">
        <f t="shared" si="21"/>
        <v>0</v>
      </c>
      <c r="BR37" s="241">
        <f t="shared" si="22"/>
        <v>0</v>
      </c>
      <c r="BU37" s="241">
        <f t="shared" si="23"/>
        <v>0</v>
      </c>
      <c r="BX37" s="241">
        <f t="shared" si="24"/>
        <v>0</v>
      </c>
      <c r="CA37" s="241">
        <f t="shared" si="25"/>
        <v>0</v>
      </c>
      <c r="CD37" s="241">
        <f t="shared" si="26"/>
        <v>0</v>
      </c>
      <c r="CG37" s="241">
        <f t="shared" si="27"/>
        <v>0</v>
      </c>
      <c r="CJ37" s="241">
        <f t="shared" si="28"/>
        <v>0</v>
      </c>
      <c r="CM37" s="241">
        <f t="shared" si="29"/>
        <v>0</v>
      </c>
      <c r="CP37" s="241">
        <f t="shared" si="30"/>
        <v>0</v>
      </c>
      <c r="CS37" s="241">
        <f t="shared" si="31"/>
        <v>0</v>
      </c>
      <c r="CV37" s="241">
        <f t="shared" si="32"/>
        <v>0</v>
      </c>
      <c r="CY37" s="241">
        <f t="shared" si="33"/>
        <v>0</v>
      </c>
      <c r="DB37" s="241">
        <f t="shared" si="34"/>
        <v>0</v>
      </c>
      <c r="DE37" s="241">
        <f t="shared" si="35"/>
        <v>0</v>
      </c>
      <c r="DH37" s="241">
        <f t="shared" si="36"/>
        <v>0</v>
      </c>
      <c r="DK37" s="241">
        <f t="shared" si="37"/>
        <v>0</v>
      </c>
      <c r="DN37" s="241">
        <f t="shared" si="38"/>
        <v>0</v>
      </c>
      <c r="DQ37" s="241">
        <f t="shared" si="39"/>
        <v>0</v>
      </c>
      <c r="DT37" s="241">
        <f t="shared" si="40"/>
        <v>0</v>
      </c>
      <c r="DW37" s="241">
        <f t="shared" si="41"/>
        <v>0</v>
      </c>
      <c r="DZ37" s="241"/>
      <c r="EA37" s="241"/>
      <c r="EB37" s="261">
        <f t="shared" si="42"/>
        <v>352700000</v>
      </c>
      <c r="EC37" s="261">
        <f t="shared" si="43"/>
        <v>113725000</v>
      </c>
      <c r="ED37" s="241">
        <f t="shared" si="44"/>
        <v>47025.340277777781</v>
      </c>
      <c r="EE37" s="242">
        <f t="shared" si="45"/>
        <v>4.7998646158208119E-2</v>
      </c>
      <c r="EG37" s="261">
        <f t="shared" si="46"/>
        <v>0</v>
      </c>
      <c r="EH37" s="241">
        <f t="shared" si="47"/>
        <v>0</v>
      </c>
      <c r="EI37" s="242">
        <f t="shared" si="48"/>
        <v>0</v>
      </c>
      <c r="EJ37" s="242"/>
      <c r="EK37" s="261">
        <f t="shared" si="49"/>
        <v>238975000</v>
      </c>
      <c r="EL37" s="261">
        <f t="shared" si="50"/>
        <v>0</v>
      </c>
      <c r="EM37" s="261">
        <f t="shared" si="51"/>
        <v>32556.993055555555</v>
      </c>
      <c r="EN37" s="242">
        <f t="shared" si="52"/>
        <v>4.9044952400878757E-2</v>
      </c>
      <c r="EP37" s="241"/>
    </row>
    <row r="38" spans="1:146" x14ac:dyDescent="0.25">
      <c r="A38" s="255">
        <f t="shared" si="53"/>
        <v>45624</v>
      </c>
      <c r="B38" s="241">
        <v>113725000</v>
      </c>
      <c r="C38" s="242">
        <v>4.58E-2</v>
      </c>
      <c r="D38" s="241">
        <f t="shared" si="2"/>
        <v>14468.347222222223</v>
      </c>
      <c r="G38" s="241">
        <f t="shared" si="3"/>
        <v>0</v>
      </c>
      <c r="J38" s="241">
        <f t="shared" si="4"/>
        <v>0</v>
      </c>
      <c r="M38" s="241">
        <f t="shared" si="5"/>
        <v>0</v>
      </c>
      <c r="P38" s="241">
        <f t="shared" si="6"/>
        <v>0</v>
      </c>
      <c r="S38" s="241">
        <f t="shared" si="7"/>
        <v>0</v>
      </c>
      <c r="V38" s="241">
        <f t="shared" si="8"/>
        <v>0</v>
      </c>
      <c r="Y38" s="241">
        <f t="shared" si="9"/>
        <v>0</v>
      </c>
      <c r="AB38" s="241">
        <f t="shared" si="10"/>
        <v>0</v>
      </c>
      <c r="AE38" s="241">
        <v>0</v>
      </c>
      <c r="AH38" s="241">
        <v>0</v>
      </c>
      <c r="AI38" s="256">
        <f>60000000</f>
        <v>60000000</v>
      </c>
      <c r="AJ38" s="257">
        <v>4.7E-2</v>
      </c>
      <c r="AK38" s="241">
        <f t="shared" si="11"/>
        <v>7833.333333333333</v>
      </c>
      <c r="AL38" s="256">
        <f t="shared" si="0"/>
        <v>145000000</v>
      </c>
      <c r="AM38" s="257">
        <v>5.0299999999999997E-2</v>
      </c>
      <c r="AN38" s="241">
        <f t="shared" si="12"/>
        <v>20259.722222222223</v>
      </c>
      <c r="AO38" s="256">
        <f>33975000</f>
        <v>33975000</v>
      </c>
      <c r="AP38" s="257">
        <v>4.7300000000000002E-2</v>
      </c>
      <c r="AQ38" s="241">
        <f t="shared" si="13"/>
        <v>4463.9375</v>
      </c>
      <c r="AR38" s="256"/>
      <c r="AS38" s="257"/>
      <c r="AT38" s="241">
        <f t="shared" si="14"/>
        <v>0</v>
      </c>
      <c r="AW38" s="241">
        <f t="shared" si="15"/>
        <v>0</v>
      </c>
      <c r="AZ38" s="241">
        <f t="shared" si="16"/>
        <v>0</v>
      </c>
      <c r="BC38" s="241">
        <f t="shared" si="17"/>
        <v>0</v>
      </c>
      <c r="BF38" s="241">
        <f t="shared" si="18"/>
        <v>0</v>
      </c>
      <c r="BI38" s="241">
        <f t="shared" si="19"/>
        <v>0</v>
      </c>
      <c r="BL38" s="241">
        <f t="shared" si="20"/>
        <v>0</v>
      </c>
      <c r="BO38" s="241">
        <f t="shared" si="21"/>
        <v>0</v>
      </c>
      <c r="BR38" s="241">
        <f t="shared" si="22"/>
        <v>0</v>
      </c>
      <c r="BU38" s="241">
        <f t="shared" si="23"/>
        <v>0</v>
      </c>
      <c r="BX38" s="241">
        <f t="shared" si="24"/>
        <v>0</v>
      </c>
      <c r="CA38" s="241">
        <f t="shared" si="25"/>
        <v>0</v>
      </c>
      <c r="CD38" s="241">
        <f t="shared" si="26"/>
        <v>0</v>
      </c>
      <c r="CG38" s="241">
        <f t="shared" si="27"/>
        <v>0</v>
      </c>
      <c r="CJ38" s="241">
        <f t="shared" si="28"/>
        <v>0</v>
      </c>
      <c r="CM38" s="241">
        <f t="shared" si="29"/>
        <v>0</v>
      </c>
      <c r="CP38" s="241">
        <f t="shared" si="30"/>
        <v>0</v>
      </c>
      <c r="CS38" s="241">
        <f t="shared" si="31"/>
        <v>0</v>
      </c>
      <c r="CV38" s="241">
        <f t="shared" si="32"/>
        <v>0</v>
      </c>
      <c r="CY38" s="241">
        <f t="shared" si="33"/>
        <v>0</v>
      </c>
      <c r="DB38" s="241">
        <f t="shared" si="34"/>
        <v>0</v>
      </c>
      <c r="DE38" s="241">
        <f t="shared" si="35"/>
        <v>0</v>
      </c>
      <c r="DH38" s="241">
        <f t="shared" si="36"/>
        <v>0</v>
      </c>
      <c r="DK38" s="241">
        <f t="shared" si="37"/>
        <v>0</v>
      </c>
      <c r="DN38" s="241">
        <f t="shared" si="38"/>
        <v>0</v>
      </c>
      <c r="DQ38" s="241">
        <f t="shared" si="39"/>
        <v>0</v>
      </c>
      <c r="DT38" s="241">
        <f t="shared" si="40"/>
        <v>0</v>
      </c>
      <c r="DW38" s="241">
        <f t="shared" si="41"/>
        <v>0</v>
      </c>
      <c r="DZ38" s="241"/>
      <c r="EA38" s="241"/>
      <c r="EB38" s="261">
        <f t="shared" si="42"/>
        <v>352700000</v>
      </c>
      <c r="EC38" s="261">
        <f t="shared" si="43"/>
        <v>113725000</v>
      </c>
      <c r="ED38" s="241">
        <f t="shared" si="44"/>
        <v>47025.340277777781</v>
      </c>
      <c r="EE38" s="242">
        <f t="shared" si="45"/>
        <v>4.7998646158208119E-2</v>
      </c>
      <c r="EG38" s="261">
        <f t="shared" si="46"/>
        <v>0</v>
      </c>
      <c r="EH38" s="241">
        <f t="shared" si="47"/>
        <v>0</v>
      </c>
      <c r="EI38" s="242">
        <f t="shared" si="48"/>
        <v>0</v>
      </c>
      <c r="EJ38" s="242"/>
      <c r="EK38" s="261">
        <f t="shared" si="49"/>
        <v>238975000</v>
      </c>
      <c r="EL38" s="261">
        <f t="shared" si="50"/>
        <v>0</v>
      </c>
      <c r="EM38" s="261">
        <f t="shared" si="51"/>
        <v>32556.993055555555</v>
      </c>
      <c r="EN38" s="242">
        <f t="shared" si="52"/>
        <v>4.9044952400878757E-2</v>
      </c>
      <c r="EP38" s="241"/>
    </row>
    <row r="39" spans="1:146" x14ac:dyDescent="0.25">
      <c r="A39" s="255">
        <f t="shared" si="53"/>
        <v>45625</v>
      </c>
      <c r="B39" s="241">
        <v>95125000</v>
      </c>
      <c r="C39" s="242">
        <v>4.58E-2</v>
      </c>
      <c r="D39" s="241">
        <f t="shared" si="2"/>
        <v>12102.013888888889</v>
      </c>
      <c r="G39" s="241">
        <f t="shared" si="3"/>
        <v>0</v>
      </c>
      <c r="J39" s="241">
        <f t="shared" si="4"/>
        <v>0</v>
      </c>
      <c r="M39" s="241">
        <f t="shared" si="5"/>
        <v>0</v>
      </c>
      <c r="P39" s="241">
        <f t="shared" si="6"/>
        <v>0</v>
      </c>
      <c r="S39" s="241">
        <f t="shared" si="7"/>
        <v>0</v>
      </c>
      <c r="V39" s="241">
        <f t="shared" si="8"/>
        <v>0</v>
      </c>
      <c r="Y39" s="241">
        <f t="shared" si="9"/>
        <v>0</v>
      </c>
      <c r="AB39" s="241">
        <f t="shared" si="10"/>
        <v>0</v>
      </c>
      <c r="AE39" s="241">
        <v>0</v>
      </c>
      <c r="AH39" s="241">
        <v>0</v>
      </c>
      <c r="AI39" s="256">
        <f>60000000</f>
        <v>60000000</v>
      </c>
      <c r="AJ39" s="257">
        <v>4.7E-2</v>
      </c>
      <c r="AK39" s="241">
        <f t="shared" si="11"/>
        <v>7833.333333333333</v>
      </c>
      <c r="AL39" s="256">
        <f>80000000</f>
        <v>80000000</v>
      </c>
      <c r="AM39" s="257">
        <v>5.0299999999999997E-2</v>
      </c>
      <c r="AN39" s="241">
        <f t="shared" si="12"/>
        <v>11177.777777777777</v>
      </c>
      <c r="AO39" s="256">
        <f>33975000</f>
        <v>33975000</v>
      </c>
      <c r="AP39" s="257">
        <v>4.7300000000000002E-2</v>
      </c>
      <c r="AQ39" s="241">
        <f t="shared" si="13"/>
        <v>4463.9375</v>
      </c>
      <c r="AR39" s="256">
        <f>65000000+40925000</f>
        <v>105925000</v>
      </c>
      <c r="AS39" s="257">
        <v>4.7399999999999998E-2</v>
      </c>
      <c r="AT39" s="241">
        <f t="shared" si="14"/>
        <v>13946.791666666666</v>
      </c>
      <c r="AW39" s="241">
        <f t="shared" si="15"/>
        <v>0</v>
      </c>
      <c r="AZ39" s="241">
        <f t="shared" si="16"/>
        <v>0</v>
      </c>
      <c r="BC39" s="241">
        <f t="shared" si="17"/>
        <v>0</v>
      </c>
      <c r="BF39" s="241">
        <f t="shared" si="18"/>
        <v>0</v>
      </c>
      <c r="BI39" s="241">
        <f t="shared" si="19"/>
        <v>0</v>
      </c>
      <c r="BL39" s="241">
        <f t="shared" si="20"/>
        <v>0</v>
      </c>
      <c r="BO39" s="241">
        <f t="shared" si="21"/>
        <v>0</v>
      </c>
      <c r="BR39" s="241">
        <f t="shared" si="22"/>
        <v>0</v>
      </c>
      <c r="BU39" s="241">
        <f t="shared" si="23"/>
        <v>0</v>
      </c>
      <c r="BX39" s="241">
        <f t="shared" si="24"/>
        <v>0</v>
      </c>
      <c r="CA39" s="241">
        <f t="shared" si="25"/>
        <v>0</v>
      </c>
      <c r="CD39" s="241">
        <f t="shared" si="26"/>
        <v>0</v>
      </c>
      <c r="CG39" s="241">
        <f t="shared" si="27"/>
        <v>0</v>
      </c>
      <c r="CJ39" s="241">
        <f t="shared" si="28"/>
        <v>0</v>
      </c>
      <c r="CM39" s="241">
        <f t="shared" si="29"/>
        <v>0</v>
      </c>
      <c r="CP39" s="241">
        <f t="shared" si="30"/>
        <v>0</v>
      </c>
      <c r="CS39" s="241">
        <f t="shared" si="31"/>
        <v>0</v>
      </c>
      <c r="CV39" s="241">
        <f t="shared" si="32"/>
        <v>0</v>
      </c>
      <c r="CY39" s="241">
        <f t="shared" si="33"/>
        <v>0</v>
      </c>
      <c r="DB39" s="241">
        <f t="shared" si="34"/>
        <v>0</v>
      </c>
      <c r="DE39" s="241">
        <f t="shared" si="35"/>
        <v>0</v>
      </c>
      <c r="DH39" s="241">
        <f t="shared" si="36"/>
        <v>0</v>
      </c>
      <c r="DK39" s="241">
        <f t="shared" si="37"/>
        <v>0</v>
      </c>
      <c r="DN39" s="241">
        <f t="shared" si="38"/>
        <v>0</v>
      </c>
      <c r="DQ39" s="241">
        <f t="shared" si="39"/>
        <v>0</v>
      </c>
      <c r="DT39" s="241">
        <f t="shared" si="40"/>
        <v>0</v>
      </c>
      <c r="DW39" s="241">
        <f t="shared" si="41"/>
        <v>0</v>
      </c>
      <c r="DZ39" s="241"/>
      <c r="EA39" s="241"/>
      <c r="EB39" s="261">
        <f t="shared" si="42"/>
        <v>375025000</v>
      </c>
      <c r="EC39" s="261">
        <f t="shared" si="43"/>
        <v>95125000</v>
      </c>
      <c r="ED39" s="241">
        <f t="shared" si="44"/>
        <v>49523.854166666664</v>
      </c>
      <c r="EE39" s="242">
        <f t="shared" si="45"/>
        <v>4.7539730684621022E-2</v>
      </c>
      <c r="EG39" s="261">
        <f t="shared" si="46"/>
        <v>0</v>
      </c>
      <c r="EH39" s="241">
        <f t="shared" si="47"/>
        <v>0</v>
      </c>
      <c r="EI39" s="242">
        <f t="shared" si="48"/>
        <v>0</v>
      </c>
      <c r="EJ39" s="242"/>
      <c r="EK39" s="261">
        <f t="shared" si="49"/>
        <v>279900000</v>
      </c>
      <c r="EL39" s="261">
        <f t="shared" si="50"/>
        <v>0</v>
      </c>
      <c r="EM39" s="261">
        <f t="shared" si="51"/>
        <v>37421.840277777774</v>
      </c>
      <c r="EN39" s="242">
        <f t="shared" si="52"/>
        <v>4.8130984280100035E-2</v>
      </c>
      <c r="EP39" s="241"/>
    </row>
    <row r="40" spans="1:146" x14ac:dyDescent="0.25">
      <c r="A40" s="255">
        <f t="shared" si="53"/>
        <v>45626</v>
      </c>
      <c r="B40" s="241">
        <v>95125000</v>
      </c>
      <c r="C40" s="242">
        <v>4.58E-2</v>
      </c>
      <c r="D40" s="241">
        <f t="shared" si="2"/>
        <v>12102.013888888889</v>
      </c>
      <c r="G40" s="241">
        <f t="shared" si="3"/>
        <v>0</v>
      </c>
      <c r="J40" s="241">
        <f t="shared" si="4"/>
        <v>0</v>
      </c>
      <c r="M40" s="241">
        <f t="shared" si="5"/>
        <v>0</v>
      </c>
      <c r="P40" s="241">
        <f t="shared" si="6"/>
        <v>0</v>
      </c>
      <c r="S40" s="241">
        <f t="shared" si="7"/>
        <v>0</v>
      </c>
      <c r="V40" s="241">
        <f t="shared" si="8"/>
        <v>0</v>
      </c>
      <c r="Y40" s="241">
        <f t="shared" si="9"/>
        <v>0</v>
      </c>
      <c r="AB40" s="241">
        <f t="shared" si="10"/>
        <v>0</v>
      </c>
      <c r="AE40" s="241">
        <v>0</v>
      </c>
      <c r="AH40" s="241">
        <v>0</v>
      </c>
      <c r="AI40" s="256">
        <f>60000000</f>
        <v>60000000</v>
      </c>
      <c r="AJ40" s="257">
        <v>4.7E-2</v>
      </c>
      <c r="AK40" s="241">
        <f t="shared" si="11"/>
        <v>7833.333333333333</v>
      </c>
      <c r="AL40" s="256">
        <f>80000000</f>
        <v>80000000</v>
      </c>
      <c r="AM40" s="257">
        <v>5.0299999999999997E-2</v>
      </c>
      <c r="AN40" s="241">
        <f t="shared" si="12"/>
        <v>11177.777777777777</v>
      </c>
      <c r="AO40" s="256">
        <f>33975000</f>
        <v>33975000</v>
      </c>
      <c r="AP40" s="257">
        <v>4.7300000000000002E-2</v>
      </c>
      <c r="AQ40" s="241">
        <f t="shared" si="13"/>
        <v>4463.9375</v>
      </c>
      <c r="AR40" s="256">
        <f>65000000+40925000</f>
        <v>105925000</v>
      </c>
      <c r="AS40" s="257">
        <v>4.7399999999999998E-2</v>
      </c>
      <c r="AT40" s="241">
        <f t="shared" si="14"/>
        <v>13946.791666666666</v>
      </c>
      <c r="AW40" s="241">
        <f t="shared" si="15"/>
        <v>0</v>
      </c>
      <c r="AZ40" s="241">
        <f t="shared" si="16"/>
        <v>0</v>
      </c>
      <c r="BC40" s="241">
        <f t="shared" si="17"/>
        <v>0</v>
      </c>
      <c r="BF40" s="241">
        <f t="shared" si="18"/>
        <v>0</v>
      </c>
      <c r="BI40" s="241">
        <f t="shared" si="19"/>
        <v>0</v>
      </c>
      <c r="BL40" s="241">
        <f t="shared" si="20"/>
        <v>0</v>
      </c>
      <c r="BO40" s="241">
        <f t="shared" si="21"/>
        <v>0</v>
      </c>
      <c r="BR40" s="241">
        <f t="shared" si="22"/>
        <v>0</v>
      </c>
      <c r="BU40" s="241">
        <f t="shared" si="23"/>
        <v>0</v>
      </c>
      <c r="BX40" s="241">
        <f t="shared" si="24"/>
        <v>0</v>
      </c>
      <c r="CA40" s="241">
        <f t="shared" si="25"/>
        <v>0</v>
      </c>
      <c r="CD40" s="241">
        <f t="shared" si="26"/>
        <v>0</v>
      </c>
      <c r="CG40" s="241">
        <f t="shared" si="27"/>
        <v>0</v>
      </c>
      <c r="CJ40" s="241">
        <f t="shared" si="28"/>
        <v>0</v>
      </c>
      <c r="CM40" s="241">
        <f t="shared" si="29"/>
        <v>0</v>
      </c>
      <c r="CP40" s="241">
        <f t="shared" si="30"/>
        <v>0</v>
      </c>
      <c r="CS40" s="241">
        <f t="shared" si="31"/>
        <v>0</v>
      </c>
      <c r="CV40" s="241">
        <f t="shared" si="32"/>
        <v>0</v>
      </c>
      <c r="CY40" s="241">
        <f t="shared" si="33"/>
        <v>0</v>
      </c>
      <c r="DB40" s="241">
        <f t="shared" si="34"/>
        <v>0</v>
      </c>
      <c r="DE40" s="241">
        <f t="shared" si="35"/>
        <v>0</v>
      </c>
      <c r="DH40" s="241">
        <f t="shared" si="36"/>
        <v>0</v>
      </c>
      <c r="DK40" s="241">
        <f t="shared" si="37"/>
        <v>0</v>
      </c>
      <c r="DN40" s="241">
        <f t="shared" si="38"/>
        <v>0</v>
      </c>
      <c r="DQ40" s="241">
        <f t="shared" si="39"/>
        <v>0</v>
      </c>
      <c r="DT40" s="241">
        <f t="shared" si="40"/>
        <v>0</v>
      </c>
      <c r="DW40" s="241">
        <f t="shared" si="41"/>
        <v>0</v>
      </c>
      <c r="DZ40" s="241"/>
      <c r="EA40" s="241"/>
      <c r="EB40" s="261">
        <f t="shared" si="42"/>
        <v>375025000</v>
      </c>
      <c r="EC40" s="261">
        <f t="shared" si="43"/>
        <v>95125000</v>
      </c>
      <c r="ED40" s="241">
        <f t="shared" si="44"/>
        <v>49523.854166666664</v>
      </c>
      <c r="EE40" s="242">
        <f t="shared" si="45"/>
        <v>4.7539730684621022E-2</v>
      </c>
      <c r="EG40" s="261">
        <f t="shared" si="46"/>
        <v>0</v>
      </c>
      <c r="EH40" s="241">
        <f t="shared" si="47"/>
        <v>0</v>
      </c>
      <c r="EI40" s="242">
        <f t="shared" si="48"/>
        <v>0</v>
      </c>
      <c r="EJ40" s="242"/>
      <c r="EK40" s="261">
        <f t="shared" si="49"/>
        <v>279900000</v>
      </c>
      <c r="EL40" s="261">
        <f t="shared" si="50"/>
        <v>0</v>
      </c>
      <c r="EM40" s="261">
        <f t="shared" si="51"/>
        <v>37421.840277777774</v>
      </c>
      <c r="EN40" s="242">
        <f t="shared" si="52"/>
        <v>4.8130984280100035E-2</v>
      </c>
      <c r="EP40" s="241"/>
    </row>
    <row r="41" spans="1:146" x14ac:dyDescent="0.25">
      <c r="A41" s="276" t="s">
        <v>35</v>
      </c>
      <c r="D41" s="258">
        <f>SUM(D11:D40)</f>
        <v>351602.09722222231</v>
      </c>
      <c r="G41" s="258">
        <f>SUM(G11:G40)</f>
        <v>0</v>
      </c>
      <c r="J41" s="258">
        <f>SUM(J11:J40)</f>
        <v>0</v>
      </c>
      <c r="M41" s="258">
        <f>SUM(M11:M40)</f>
        <v>0</v>
      </c>
      <c r="P41" s="258">
        <f>SUM(P11:P40)</f>
        <v>0</v>
      </c>
      <c r="S41" s="258">
        <f>SUM(S11:S40)</f>
        <v>0</v>
      </c>
      <c r="V41" s="258">
        <f>SUM(V11:V40)</f>
        <v>0</v>
      </c>
      <c r="Y41" s="258">
        <f>SUM(Y11:Y40)</f>
        <v>0</v>
      </c>
      <c r="AB41" s="258">
        <f>SUM(AB11:AB40)</f>
        <v>0</v>
      </c>
      <c r="AE41" s="258">
        <f>SUM(AE11:AE40)</f>
        <v>0</v>
      </c>
      <c r="AH41" s="258">
        <f>SUM(AH11:AH40)</f>
        <v>0</v>
      </c>
      <c r="AK41" s="258">
        <f>SUM(AK11:AK40)</f>
        <v>224163.8194444445</v>
      </c>
      <c r="AN41" s="258">
        <f>SUM(AN11:AN40)</f>
        <v>589627.7777777781</v>
      </c>
      <c r="AQ41" s="258">
        <f>SUM(AQ11:AQ40)</f>
        <v>124672.41666666669</v>
      </c>
      <c r="AT41" s="258">
        <f>SUM(AT11:AT40)</f>
        <v>27893.583333333332</v>
      </c>
      <c r="AW41" s="258">
        <f>SUM(AW11:AW40)</f>
        <v>0</v>
      </c>
      <c r="AZ41" s="258">
        <f>SUM(AZ11:AZ40)</f>
        <v>0</v>
      </c>
      <c r="BC41" s="258">
        <f>SUM(BC11:BC40)</f>
        <v>0</v>
      </c>
      <c r="BF41" s="258">
        <f>SUM(BF11:BF40)</f>
        <v>0</v>
      </c>
      <c r="BI41" s="258">
        <f>SUM(BI11:BI40)</f>
        <v>0</v>
      </c>
      <c r="BL41" s="258">
        <f>SUM(BL11:BL40)</f>
        <v>0</v>
      </c>
      <c r="BO41" s="258">
        <f>SUM(BO11:BO40)</f>
        <v>0</v>
      </c>
      <c r="BR41" s="258">
        <f>SUM(BR11:BR40)</f>
        <v>0</v>
      </c>
      <c r="BU41" s="258">
        <f>SUM(BU11:BU40)</f>
        <v>0</v>
      </c>
      <c r="BX41" s="258">
        <f>SUM(BX11:BX40)</f>
        <v>0</v>
      </c>
      <c r="CA41" s="258">
        <f>SUM(CA11:CA40)</f>
        <v>0</v>
      </c>
      <c r="CD41" s="258">
        <f>SUM(CD11:CD40)</f>
        <v>0</v>
      </c>
      <c r="CG41" s="258">
        <f>SUM(CG11:CG40)</f>
        <v>0</v>
      </c>
      <c r="CJ41" s="258">
        <f>SUM(CJ11:CJ40)</f>
        <v>0</v>
      </c>
      <c r="CM41" s="258">
        <f>SUM(CM11:CM40)</f>
        <v>0</v>
      </c>
      <c r="CP41" s="258">
        <f>SUM(CP11:CP40)</f>
        <v>0</v>
      </c>
      <c r="CS41" s="258">
        <f>SUM(CS11:CS40)</f>
        <v>0</v>
      </c>
      <c r="CV41" s="258">
        <f>SUM(CV11:CV40)</f>
        <v>0</v>
      </c>
      <c r="CY41" s="258">
        <f>SUM(CY11:CY40)</f>
        <v>0</v>
      </c>
      <c r="DB41" s="258">
        <f>SUM(DB11:DB40)</f>
        <v>0</v>
      </c>
      <c r="DE41" s="258">
        <f>SUM(DE11:DE40)</f>
        <v>0</v>
      </c>
      <c r="DH41" s="258">
        <f>SUM(DH11:DH40)</f>
        <v>0</v>
      </c>
      <c r="DK41" s="258">
        <f>SUM(DK11:DK40)</f>
        <v>0</v>
      </c>
      <c r="DN41" s="258">
        <f>SUM(DN11:DN40)</f>
        <v>0</v>
      </c>
      <c r="DQ41" s="258">
        <f>SUM(DQ11:DQ40)</f>
        <v>0</v>
      </c>
      <c r="DT41" s="258">
        <f>SUM(DT11:DT40)</f>
        <v>0</v>
      </c>
      <c r="DW41" s="258">
        <f>SUM(DW11:DW40)</f>
        <v>0</v>
      </c>
      <c r="DZ41" s="241"/>
      <c r="EA41" s="241"/>
      <c r="EB41" s="241"/>
      <c r="EC41" s="241"/>
      <c r="ED41" s="258">
        <f>SUM(ED11:ED40)</f>
        <v>1317959.6944444447</v>
      </c>
      <c r="EE41" s="242"/>
      <c r="EG41" s="241"/>
      <c r="EH41" s="258">
        <f>SUM(EH11:EH40)</f>
        <v>0</v>
      </c>
      <c r="EI41" s="242"/>
      <c r="EJ41" s="242"/>
      <c r="EK41" s="241"/>
      <c r="EL41" s="241"/>
      <c r="EM41" s="258">
        <f>SUM(EM11:EM40)</f>
        <v>966357.59722222202</v>
      </c>
      <c r="EN41" s="242"/>
    </row>
    <row r="43" spans="1:146" x14ac:dyDescent="0.25">
      <c r="EM43" s="277"/>
    </row>
    <row r="44" spans="1:146" x14ac:dyDescent="0.25">
      <c r="EM44" s="241"/>
    </row>
    <row r="45" spans="1:146" x14ac:dyDescent="0.25">
      <c r="EM45" s="241"/>
    </row>
    <row r="47" spans="1:146" x14ac:dyDescent="0.25">
      <c r="EM47" s="241"/>
    </row>
  </sheetData>
  <pageMargins left="0.7" right="0.7" top="0.75" bottom="0.75" header="0.3" footer="0.3"/>
  <pageSetup scale="47" orientation="portrait" r:id="rId1"/>
  <headerFooter>
    <oddFooter>&amp;CSchedule RL-1</oddFooter>
  </headerFooter>
  <colBreaks count="5" manualBreakCount="5">
    <brk id="34" max="1048575" man="1"/>
    <brk id="43" max="1048575" man="1"/>
    <brk id="55" max="1048575" man="1"/>
    <brk id="130" max="1048575" man="1"/>
    <brk id="144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/>
  <dimension ref="A1:EQ48"/>
  <sheetViews>
    <sheetView zoomScaleNormal="100" workbookViewId="0">
      <selection activeCell="F20" sqref="F20"/>
    </sheetView>
  </sheetViews>
  <sheetFormatPr defaultRowHeight="15" x14ac:dyDescent="0.25"/>
  <cols>
    <col min="1" max="1" width="14.5703125" style="175" bestFit="1" customWidth="1"/>
    <col min="2" max="2" width="18" style="241" customWidth="1"/>
    <col min="3" max="3" width="15.42578125" style="242" bestFit="1" customWidth="1"/>
    <col min="4" max="4" width="15.42578125" style="175" bestFit="1" customWidth="1"/>
    <col min="5" max="5" width="15.5703125" style="241" bestFit="1" customWidth="1"/>
    <col min="6" max="6" width="12.28515625" style="242" bestFit="1" customWidth="1"/>
    <col min="7" max="7" width="20.85546875" style="175" customWidth="1"/>
    <col min="8" max="8" width="15.42578125" style="241" hidden="1" customWidth="1"/>
    <col min="9" max="9" width="10.28515625" style="242" hidden="1" customWidth="1"/>
    <col min="10" max="10" width="13.42578125" style="175" hidden="1" customWidth="1"/>
    <col min="11" max="11" width="14.42578125" style="241" hidden="1" customWidth="1"/>
    <col min="12" max="12" width="10.28515625" style="242" hidden="1" customWidth="1"/>
    <col min="13" max="13" width="11.7109375" style="175" hidden="1" customWidth="1"/>
    <col min="14" max="14" width="14.42578125" style="241" hidden="1" customWidth="1"/>
    <col min="15" max="15" width="10.28515625" style="242" hidden="1" customWidth="1"/>
    <col min="16" max="16" width="11.7109375" style="175" hidden="1" customWidth="1"/>
    <col min="17" max="17" width="15.42578125" style="241" hidden="1" customWidth="1"/>
    <col min="18" max="18" width="10.28515625" style="242" hidden="1" customWidth="1"/>
    <col min="19" max="19" width="11.7109375" style="175" hidden="1" customWidth="1"/>
    <col min="20" max="20" width="15.42578125" style="241" hidden="1" customWidth="1"/>
    <col min="21" max="21" width="10.28515625" style="242" hidden="1" customWidth="1"/>
    <col min="22" max="22" width="11.7109375" style="175" hidden="1" customWidth="1"/>
    <col min="23" max="23" width="15.42578125" style="241" hidden="1" customWidth="1"/>
    <col min="24" max="24" width="10.28515625" style="242" hidden="1" customWidth="1"/>
    <col min="25" max="25" width="11.7109375" style="175" hidden="1" customWidth="1"/>
    <col min="26" max="26" width="15.42578125" style="241" hidden="1" customWidth="1"/>
    <col min="27" max="27" width="10.28515625" style="242" hidden="1" customWidth="1"/>
    <col min="28" max="28" width="11.7109375" style="175" hidden="1" customWidth="1"/>
    <col min="29" max="29" width="15.42578125" style="241" hidden="1" customWidth="1"/>
    <col min="30" max="30" width="10.28515625" style="242" hidden="1" customWidth="1"/>
    <col min="31" max="31" width="11.7109375" style="175" hidden="1" customWidth="1"/>
    <col min="32" max="32" width="14.42578125" style="241" hidden="1" customWidth="1"/>
    <col min="33" max="33" width="10.28515625" style="242" hidden="1" customWidth="1"/>
    <col min="34" max="34" width="10.7109375" style="175" hidden="1" customWidth="1"/>
    <col min="35" max="35" width="14.42578125" style="241" customWidth="1"/>
    <col min="36" max="36" width="11.7109375" style="242" customWidth="1"/>
    <col min="37" max="37" width="14.140625" style="175" bestFit="1" customWidth="1"/>
    <col min="38" max="38" width="14.42578125" style="241" customWidth="1"/>
    <col min="39" max="39" width="12.42578125" style="242" customWidth="1"/>
    <col min="40" max="40" width="13.28515625" style="175" bestFit="1" customWidth="1"/>
    <col min="41" max="41" width="15.42578125" style="241" bestFit="1" customWidth="1"/>
    <col min="42" max="42" width="12.28515625" style="242" bestFit="1" customWidth="1"/>
    <col min="43" max="43" width="14.140625" style="175" bestFit="1" customWidth="1"/>
    <col min="44" max="44" width="15.42578125" style="241" bestFit="1" customWidth="1"/>
    <col min="45" max="45" width="12" style="242" customWidth="1"/>
    <col min="46" max="46" width="13" style="175" bestFit="1" customWidth="1"/>
    <col min="47" max="47" width="18.42578125" style="241" customWidth="1"/>
    <col min="48" max="48" width="12.85546875" style="242" customWidth="1"/>
    <col min="49" max="49" width="11.85546875" style="175" bestFit="1" customWidth="1"/>
    <col min="50" max="50" width="16.5703125" style="241" customWidth="1"/>
    <col min="51" max="51" width="12.140625" style="242" customWidth="1"/>
    <col min="52" max="52" width="12.5703125" style="175" bestFit="1" customWidth="1"/>
    <col min="53" max="53" width="14.42578125" style="241" customWidth="1"/>
    <col min="54" max="54" width="10.28515625" style="242" customWidth="1"/>
    <col min="55" max="55" width="10.7109375" style="175" customWidth="1"/>
    <col min="56" max="56" width="14.42578125" style="241" customWidth="1"/>
    <col min="57" max="57" width="10.28515625" style="242" customWidth="1"/>
    <col min="58" max="58" width="10.7109375" style="175" customWidth="1"/>
    <col min="59" max="59" width="14.42578125" style="241" customWidth="1"/>
    <col min="60" max="60" width="10.28515625" style="242" customWidth="1"/>
    <col min="61" max="61" width="10.7109375" style="175" customWidth="1"/>
    <col min="62" max="62" width="14.42578125" style="241" customWidth="1"/>
    <col min="63" max="63" width="10.28515625" style="242" customWidth="1"/>
    <col min="64" max="64" width="10.7109375" style="175" customWidth="1"/>
    <col min="65" max="65" width="14.42578125" style="241" hidden="1" customWidth="1"/>
    <col min="66" max="66" width="10.28515625" style="242" hidden="1" customWidth="1"/>
    <col min="67" max="67" width="10.7109375" style="175" hidden="1" customWidth="1"/>
    <col min="68" max="68" width="14.42578125" style="241" hidden="1" customWidth="1"/>
    <col min="69" max="69" width="10.28515625" style="242" hidden="1" customWidth="1"/>
    <col min="70" max="70" width="10.7109375" style="175" hidden="1" customWidth="1"/>
    <col min="71" max="71" width="14.42578125" style="241" hidden="1" customWidth="1"/>
    <col min="72" max="72" width="10.28515625" style="242" hidden="1" customWidth="1"/>
    <col min="73" max="73" width="10.7109375" style="175" hidden="1" customWidth="1"/>
    <col min="74" max="74" width="14.42578125" style="241" hidden="1" customWidth="1"/>
    <col min="75" max="75" width="10.28515625" style="242" hidden="1" customWidth="1"/>
    <col min="76" max="76" width="10.7109375" style="175" hidden="1" customWidth="1"/>
    <col min="77" max="77" width="14.42578125" style="241" hidden="1" customWidth="1"/>
    <col min="78" max="78" width="10.28515625" style="242" hidden="1" customWidth="1"/>
    <col min="79" max="79" width="10.7109375" style="175" hidden="1" customWidth="1"/>
    <col min="80" max="80" width="14.42578125" style="241" hidden="1" customWidth="1"/>
    <col min="81" max="81" width="10.28515625" style="242" hidden="1" customWidth="1"/>
    <col min="82" max="82" width="10.7109375" style="175" hidden="1" customWidth="1"/>
    <col min="83" max="83" width="14.42578125" style="241" hidden="1" customWidth="1"/>
    <col min="84" max="84" width="10.28515625" style="242" hidden="1" customWidth="1"/>
    <col min="85" max="85" width="10.7109375" style="175" hidden="1" customWidth="1"/>
    <col min="86" max="86" width="14.42578125" style="241" hidden="1" customWidth="1"/>
    <col min="87" max="87" width="10.28515625" style="242" hidden="1" customWidth="1"/>
    <col min="88" max="88" width="10.7109375" style="175" hidden="1" customWidth="1"/>
    <col min="89" max="89" width="14.42578125" style="241" hidden="1" customWidth="1"/>
    <col min="90" max="90" width="10.28515625" style="242" hidden="1" customWidth="1"/>
    <col min="91" max="91" width="10.7109375" style="175" hidden="1" customWidth="1"/>
    <col min="92" max="92" width="14.42578125" style="241" hidden="1" customWidth="1"/>
    <col min="93" max="93" width="10.28515625" style="242" hidden="1" customWidth="1"/>
    <col min="94" max="94" width="10.7109375" style="175" hidden="1" customWidth="1"/>
    <col min="95" max="95" width="14.42578125" style="241" hidden="1" customWidth="1"/>
    <col min="96" max="96" width="10.28515625" style="242" hidden="1" customWidth="1"/>
    <col min="97" max="97" width="10.7109375" style="175" hidden="1" customWidth="1"/>
    <col min="98" max="98" width="14.42578125" style="241" hidden="1" customWidth="1"/>
    <col min="99" max="99" width="10.28515625" style="242" hidden="1" customWidth="1"/>
    <col min="100" max="100" width="10.7109375" style="175" hidden="1" customWidth="1"/>
    <col min="101" max="101" width="14.42578125" style="241" hidden="1" customWidth="1"/>
    <col min="102" max="102" width="10.28515625" style="242" hidden="1" customWidth="1"/>
    <col min="103" max="103" width="10.7109375" style="175" hidden="1" customWidth="1"/>
    <col min="104" max="104" width="14.42578125" style="241" hidden="1" customWidth="1"/>
    <col min="105" max="105" width="10.28515625" style="242" hidden="1" customWidth="1"/>
    <col min="106" max="106" width="10.7109375" style="175" hidden="1" customWidth="1"/>
    <col min="107" max="107" width="14.42578125" style="241" hidden="1" customWidth="1"/>
    <col min="108" max="108" width="10.28515625" style="242" hidden="1" customWidth="1"/>
    <col min="109" max="109" width="10.7109375" style="175" hidden="1" customWidth="1"/>
    <col min="110" max="110" width="14.42578125" style="241" hidden="1" customWidth="1"/>
    <col min="111" max="111" width="10.28515625" style="242" hidden="1" customWidth="1"/>
    <col min="112" max="112" width="10.7109375" style="175" hidden="1" customWidth="1"/>
    <col min="113" max="113" width="14.42578125" style="241" hidden="1" customWidth="1"/>
    <col min="114" max="114" width="10.28515625" style="242" hidden="1" customWidth="1"/>
    <col min="115" max="115" width="10.7109375" style="175" hidden="1" customWidth="1"/>
    <col min="116" max="116" width="14.42578125" style="241" hidden="1" customWidth="1"/>
    <col min="117" max="117" width="10.28515625" style="242" hidden="1" customWidth="1"/>
    <col min="118" max="118" width="10.7109375" style="175" hidden="1" customWidth="1"/>
    <col min="119" max="119" width="14.42578125" style="241" hidden="1" customWidth="1"/>
    <col min="120" max="120" width="10.28515625" style="242" hidden="1" customWidth="1"/>
    <col min="121" max="121" width="10.7109375" style="175" hidden="1" customWidth="1"/>
    <col min="122" max="122" width="14.42578125" style="241" hidden="1" customWidth="1"/>
    <col min="123" max="123" width="10.28515625" style="242" hidden="1" customWidth="1"/>
    <col min="124" max="124" width="10.7109375" style="175" hidden="1" customWidth="1"/>
    <col min="125" max="125" width="14.42578125" style="241" hidden="1" customWidth="1"/>
    <col min="126" max="126" width="10.28515625" style="242" hidden="1" customWidth="1"/>
    <col min="127" max="127" width="10.7109375" style="175" hidden="1" customWidth="1"/>
    <col min="128" max="128" width="14.42578125" style="241" hidden="1" customWidth="1"/>
    <col min="129" max="129" width="10.28515625" style="242" hidden="1" customWidth="1"/>
    <col min="130" max="130" width="10.7109375" style="175" hidden="1" customWidth="1"/>
    <col min="131" max="131" width="2.7109375" style="175" customWidth="1"/>
    <col min="132" max="132" width="18.7109375" style="175" customWidth="1"/>
    <col min="133" max="133" width="15.42578125" style="175" hidden="1" customWidth="1"/>
    <col min="134" max="134" width="15.42578125" style="175" bestFit="1" customWidth="1"/>
    <col min="135" max="135" width="17.7109375" style="175" bestFit="1" customWidth="1"/>
    <col min="136" max="136" width="2.7109375" style="175" customWidth="1"/>
    <col min="137" max="137" width="15.42578125" style="175" hidden="1" customWidth="1"/>
    <col min="138" max="138" width="14.42578125" style="175" hidden="1" customWidth="1"/>
    <col min="139" max="139" width="12.42578125" style="175" hidden="1" customWidth="1"/>
    <col min="140" max="140" width="2.7109375" style="175" hidden="1" customWidth="1"/>
    <col min="141" max="141" width="19" style="175" customWidth="1"/>
    <col min="142" max="142" width="15.42578125" style="175" hidden="1" customWidth="1"/>
    <col min="143" max="143" width="14.42578125" style="175" bestFit="1" customWidth="1"/>
    <col min="144" max="144" width="18.28515625" style="175" customWidth="1"/>
    <col min="145" max="145" width="42.85546875" style="175" bestFit="1" customWidth="1"/>
    <col min="146" max="146" width="15.28515625" style="175" bestFit="1" customWidth="1"/>
    <col min="147" max="147" width="23.140625" style="175" bestFit="1" customWidth="1"/>
    <col min="148" max="16384" width="9.140625" style="175"/>
  </cols>
  <sheetData>
    <row r="1" spans="1:147" s="202" customFormat="1" x14ac:dyDescent="0.25">
      <c r="A1" s="260" t="s">
        <v>0</v>
      </c>
      <c r="B1" s="261"/>
      <c r="C1" s="262"/>
      <c r="E1" s="261"/>
      <c r="F1" s="262"/>
      <c r="H1" s="261"/>
      <c r="I1" s="262"/>
      <c r="K1" s="261"/>
      <c r="L1" s="262"/>
      <c r="N1" s="261"/>
      <c r="O1" s="262"/>
      <c r="Q1" s="261"/>
      <c r="R1" s="262"/>
      <c r="T1" s="261"/>
      <c r="U1" s="262"/>
      <c r="W1" s="261"/>
      <c r="X1" s="262"/>
      <c r="Z1" s="261"/>
      <c r="AA1" s="262"/>
      <c r="AC1" s="261"/>
      <c r="AD1" s="262"/>
      <c r="AF1" s="261"/>
      <c r="AG1" s="262"/>
      <c r="AI1" s="261"/>
      <c r="AJ1" s="262"/>
      <c r="AL1" s="261"/>
      <c r="AM1" s="262"/>
      <c r="AO1" s="261"/>
      <c r="AP1" s="262"/>
      <c r="AR1" s="261"/>
      <c r="AS1" s="262"/>
      <c r="AU1" s="261"/>
      <c r="AV1" s="262"/>
      <c r="AX1" s="261"/>
      <c r="AY1" s="262"/>
      <c r="BA1" s="261"/>
      <c r="BB1" s="262"/>
      <c r="BD1" s="261"/>
      <c r="BE1" s="262"/>
      <c r="BG1" s="261"/>
      <c r="BH1" s="262"/>
      <c r="BJ1" s="261"/>
      <c r="BK1" s="262"/>
      <c r="BM1" s="261"/>
      <c r="BN1" s="262"/>
      <c r="BP1" s="261"/>
      <c r="BQ1" s="262"/>
      <c r="BS1" s="261"/>
      <c r="BT1" s="262"/>
      <c r="BV1" s="261"/>
      <c r="BW1" s="262"/>
      <c r="BY1" s="261"/>
      <c r="BZ1" s="262"/>
      <c r="CB1" s="261"/>
      <c r="CC1" s="262"/>
      <c r="CE1" s="261"/>
      <c r="CF1" s="262"/>
      <c r="CH1" s="261"/>
      <c r="CI1" s="262"/>
      <c r="CK1" s="261"/>
      <c r="CL1" s="262"/>
      <c r="CN1" s="261"/>
      <c r="CO1" s="262"/>
      <c r="CQ1" s="261"/>
      <c r="CR1" s="262"/>
      <c r="CT1" s="261"/>
      <c r="CU1" s="262"/>
      <c r="CW1" s="261"/>
      <c r="CX1" s="262"/>
      <c r="CZ1" s="261"/>
      <c r="DA1" s="262"/>
      <c r="DC1" s="261"/>
      <c r="DD1" s="262"/>
      <c r="DF1" s="261"/>
      <c r="DG1" s="262"/>
      <c r="DI1" s="261"/>
      <c r="DJ1" s="262"/>
      <c r="DL1" s="261"/>
      <c r="DM1" s="262"/>
      <c r="DO1" s="261"/>
      <c r="DP1" s="262"/>
      <c r="DR1" s="261"/>
      <c r="DS1" s="262"/>
      <c r="DU1" s="261"/>
      <c r="DV1" s="262"/>
      <c r="DX1" s="261"/>
      <c r="DY1" s="262"/>
      <c r="DZ1" s="263"/>
      <c r="ED1" s="191"/>
      <c r="EE1" s="264" t="s">
        <v>37</v>
      </c>
      <c r="EI1" s="191" t="s">
        <v>38</v>
      </c>
      <c r="EM1" s="191"/>
      <c r="EN1" s="191" t="s">
        <v>39</v>
      </c>
      <c r="EO1" s="260" t="s">
        <v>40</v>
      </c>
      <c r="EP1" s="260" t="s">
        <v>41</v>
      </c>
      <c r="EQ1" s="260" t="s">
        <v>42</v>
      </c>
    </row>
    <row r="2" spans="1:147" s="202" customFormat="1" ht="15.75" thickBot="1" x14ac:dyDescent="0.3">
      <c r="A2" s="260" t="s">
        <v>43</v>
      </c>
      <c r="B2" s="261"/>
      <c r="C2" s="262"/>
      <c r="E2" s="263"/>
      <c r="F2" s="262"/>
      <c r="G2" s="191"/>
      <c r="H2" s="261"/>
      <c r="I2" s="262"/>
      <c r="K2" s="261"/>
      <c r="L2" s="262"/>
      <c r="N2" s="261"/>
      <c r="O2" s="262"/>
      <c r="Q2" s="261"/>
      <c r="R2" s="262"/>
      <c r="T2" s="261"/>
      <c r="U2" s="262"/>
      <c r="W2" s="261"/>
      <c r="X2" s="262"/>
      <c r="Z2" s="261"/>
      <c r="AA2" s="262"/>
      <c r="AC2" s="261"/>
      <c r="AD2" s="262"/>
      <c r="AF2" s="261"/>
      <c r="AG2" s="262"/>
      <c r="AI2" s="261"/>
      <c r="AJ2" s="262"/>
      <c r="AL2" s="261"/>
      <c r="AM2" s="262"/>
      <c r="AO2" s="261"/>
      <c r="AP2" s="262"/>
      <c r="AR2" s="261"/>
      <c r="AS2" s="262"/>
      <c r="AU2" s="261"/>
      <c r="AV2" s="262"/>
      <c r="AX2" s="261"/>
      <c r="AY2" s="262"/>
      <c r="BA2" s="261"/>
      <c r="BB2" s="262"/>
      <c r="BD2" s="261"/>
      <c r="BE2" s="262"/>
      <c r="BG2" s="261"/>
      <c r="BH2" s="262"/>
      <c r="BJ2" s="261"/>
      <c r="BK2" s="262"/>
      <c r="BM2" s="261"/>
      <c r="BN2" s="262"/>
      <c r="BP2" s="261"/>
      <c r="BQ2" s="262"/>
      <c r="BS2" s="261"/>
      <c r="BT2" s="262"/>
      <c r="BV2" s="261"/>
      <c r="BW2" s="262"/>
      <c r="BY2" s="261"/>
      <c r="BZ2" s="262"/>
      <c r="CB2" s="261"/>
      <c r="CC2" s="262"/>
      <c r="CE2" s="261"/>
      <c r="CF2" s="262"/>
      <c r="CH2" s="261"/>
      <c r="CI2" s="262"/>
      <c r="CK2" s="261"/>
      <c r="CL2" s="262"/>
      <c r="CN2" s="261"/>
      <c r="CO2" s="262"/>
      <c r="CQ2" s="261"/>
      <c r="CR2" s="262"/>
      <c r="CT2" s="261"/>
      <c r="CU2" s="262"/>
      <c r="CW2" s="261"/>
      <c r="CX2" s="262"/>
      <c r="CZ2" s="261"/>
      <c r="DA2" s="262"/>
      <c r="DC2" s="261"/>
      <c r="DD2" s="262"/>
      <c r="DF2" s="261"/>
      <c r="DG2" s="262"/>
      <c r="DI2" s="261"/>
      <c r="DJ2" s="262"/>
      <c r="DL2" s="261"/>
      <c r="DM2" s="262"/>
      <c r="DO2" s="261"/>
      <c r="DP2" s="262"/>
      <c r="DR2" s="261"/>
      <c r="DS2" s="262"/>
      <c r="DU2" s="261"/>
      <c r="DV2" s="262"/>
      <c r="DX2" s="261"/>
      <c r="DY2" s="262"/>
      <c r="EB2" s="175" t="s">
        <v>44</v>
      </c>
      <c r="EC2" s="175"/>
      <c r="ED2" s="241"/>
      <c r="EE2" s="241">
        <f>EB41</f>
        <v>0</v>
      </c>
      <c r="EI2" s="241">
        <f>EG40</f>
        <v>0</v>
      </c>
      <c r="EM2" s="241"/>
      <c r="EN2" s="241">
        <f>EK41</f>
        <v>0</v>
      </c>
      <c r="EO2" s="265">
        <v>0</v>
      </c>
      <c r="EP2" s="261">
        <f>EN2+EO2</f>
        <v>0</v>
      </c>
      <c r="EQ2" s="261">
        <f>EE2+EO2</f>
        <v>0</v>
      </c>
    </row>
    <row r="3" spans="1:147" ht="15.75" thickTop="1" x14ac:dyDescent="0.25">
      <c r="A3" s="266" t="s">
        <v>247</v>
      </c>
      <c r="E3" s="267" t="s">
        <v>45</v>
      </c>
      <c r="F3" s="243"/>
      <c r="G3" s="244"/>
      <c r="EB3" s="175" t="s">
        <v>46</v>
      </c>
      <c r="ED3" s="241"/>
      <c r="EE3" s="241">
        <f>AVERAGE(EB11:EB41)</f>
        <v>271844354.83870965</v>
      </c>
      <c r="EI3" s="241">
        <f>AVERAGE(EG11:EG40)</f>
        <v>0</v>
      </c>
      <c r="EM3" s="241"/>
      <c r="EN3" s="241">
        <f>AVERAGE(EK11:EK41)</f>
        <v>226475000</v>
      </c>
    </row>
    <row r="4" spans="1:147" x14ac:dyDescent="0.25">
      <c r="E4" s="245" t="s">
        <v>44</v>
      </c>
      <c r="F4" s="241"/>
      <c r="G4" s="246">
        <f>EQ2</f>
        <v>0</v>
      </c>
      <c r="AI4" s="260" t="s">
        <v>47</v>
      </c>
      <c r="EB4" s="175" t="s">
        <v>48</v>
      </c>
      <c r="ED4" s="242"/>
      <c r="EE4" s="242">
        <f>IF(EE3=0,0,360*(AVERAGE(ED11:ED41)/EE3))</f>
        <v>4.6904141957417524E-2</v>
      </c>
      <c r="EI4" s="242">
        <f>IF(EI3=0,0,360*(AVERAGE(EH11:EH40)/EI3))</f>
        <v>0</v>
      </c>
      <c r="EM4" s="242"/>
      <c r="EN4" s="242">
        <f>IF(EN3=0,0,360*(AVERAGE(EM11:EM41)/EN3))</f>
        <v>4.7259974931363941E-2</v>
      </c>
      <c r="EO4" s="202" t="s">
        <v>241</v>
      </c>
      <c r="EQ4" s="191" t="s">
        <v>47</v>
      </c>
    </row>
    <row r="5" spans="1:147" x14ac:dyDescent="0.25">
      <c r="E5" s="245" t="s">
        <v>46</v>
      </c>
      <c r="F5" s="241"/>
      <c r="G5" s="246">
        <f>EE3</f>
        <v>271844354.83870965</v>
      </c>
      <c r="AI5" s="268" t="s">
        <v>39</v>
      </c>
      <c r="EB5" s="175" t="s">
        <v>49</v>
      </c>
      <c r="ED5" s="241"/>
      <c r="EE5" s="241">
        <f>MAX(EB11:EB41)</f>
        <v>501000000</v>
      </c>
      <c r="EI5" s="241">
        <f>MAX(EG11:EG40)</f>
        <v>0</v>
      </c>
      <c r="EM5" s="241"/>
      <c r="EN5" s="241">
        <f>MAX(EK11:EK41)</f>
        <v>477900000</v>
      </c>
      <c r="EO5" s="175" t="s">
        <v>242</v>
      </c>
    </row>
    <row r="6" spans="1:147" x14ac:dyDescent="0.25">
      <c r="E6" s="245" t="s">
        <v>48</v>
      </c>
      <c r="F6" s="241"/>
      <c r="G6" s="247">
        <f>EE4</f>
        <v>4.6904141957417524E-2</v>
      </c>
    </row>
    <row r="7" spans="1:147" ht="15.75" thickBot="1" x14ac:dyDescent="0.3">
      <c r="E7" s="248" t="s">
        <v>49</v>
      </c>
      <c r="F7" s="249"/>
      <c r="G7" s="250">
        <f>EE5</f>
        <v>501000000</v>
      </c>
      <c r="AI7" s="268" t="s">
        <v>39</v>
      </c>
      <c r="EB7" s="269" t="s">
        <v>50</v>
      </c>
      <c r="EC7" s="269"/>
      <c r="ED7" s="251"/>
      <c r="EE7" s="251"/>
      <c r="EG7" s="269" t="s">
        <v>51</v>
      </c>
      <c r="EH7" s="251"/>
      <c r="EI7" s="251"/>
      <c r="EJ7" s="174"/>
      <c r="EK7" s="269" t="s">
        <v>52</v>
      </c>
      <c r="EL7" s="269"/>
      <c r="EM7" s="251"/>
      <c r="EN7" s="251"/>
    </row>
    <row r="8" spans="1:147" ht="15.75" thickTop="1" x14ac:dyDescent="0.25">
      <c r="AI8" s="263" t="s">
        <v>53</v>
      </c>
      <c r="AL8" s="263" t="s">
        <v>53</v>
      </c>
      <c r="AO8" s="263" t="s">
        <v>53</v>
      </c>
      <c r="AR8" s="263" t="s">
        <v>53</v>
      </c>
      <c r="AU8" s="263" t="s">
        <v>53</v>
      </c>
      <c r="AX8" s="263" t="s">
        <v>53</v>
      </c>
      <c r="BA8" s="263" t="s">
        <v>53</v>
      </c>
      <c r="BD8" s="263" t="s">
        <v>53</v>
      </c>
      <c r="BG8" s="263" t="s">
        <v>53</v>
      </c>
      <c r="BJ8" s="263" t="s">
        <v>53</v>
      </c>
      <c r="BM8" s="263" t="s">
        <v>53</v>
      </c>
      <c r="BP8" s="263" t="s">
        <v>53</v>
      </c>
      <c r="BS8" s="263" t="s">
        <v>53</v>
      </c>
      <c r="BV8" s="263" t="s">
        <v>53</v>
      </c>
      <c r="BY8" s="263" t="s">
        <v>53</v>
      </c>
      <c r="CB8" s="263" t="s">
        <v>53</v>
      </c>
      <c r="CE8" s="263" t="s">
        <v>53</v>
      </c>
      <c r="CH8" s="263" t="s">
        <v>53</v>
      </c>
      <c r="CK8" s="263" t="s">
        <v>53</v>
      </c>
      <c r="CN8" s="263" t="s">
        <v>53</v>
      </c>
      <c r="CQ8" s="263" t="s">
        <v>53</v>
      </c>
      <c r="CT8" s="263" t="s">
        <v>53</v>
      </c>
      <c r="CW8" s="263" t="s">
        <v>53</v>
      </c>
      <c r="CZ8" s="263" t="s">
        <v>53</v>
      </c>
      <c r="DC8" s="263" t="s">
        <v>53</v>
      </c>
      <c r="DF8" s="263" t="s">
        <v>53</v>
      </c>
      <c r="DI8" s="263" t="s">
        <v>53</v>
      </c>
      <c r="DL8" s="263" t="s">
        <v>53</v>
      </c>
      <c r="DO8" s="263" t="s">
        <v>53</v>
      </c>
      <c r="DR8" s="263" t="s">
        <v>53</v>
      </c>
      <c r="EB8" s="252"/>
      <c r="EC8" s="252"/>
      <c r="ED8" s="252"/>
      <c r="EE8" s="252" t="s">
        <v>54</v>
      </c>
      <c r="EG8" s="252"/>
      <c r="EH8" s="270" t="s">
        <v>38</v>
      </c>
      <c r="EI8" s="252" t="s">
        <v>54</v>
      </c>
      <c r="EJ8" s="252"/>
      <c r="EK8" s="191" t="s">
        <v>55</v>
      </c>
      <c r="EL8" s="191" t="s">
        <v>56</v>
      </c>
      <c r="EM8" s="270" t="s">
        <v>57</v>
      </c>
      <c r="EN8" s="252" t="s">
        <v>54</v>
      </c>
    </row>
    <row r="9" spans="1:147" x14ac:dyDescent="0.25">
      <c r="B9" s="253" t="s">
        <v>58</v>
      </c>
      <c r="C9" s="254"/>
      <c r="D9" s="251"/>
      <c r="E9" s="253" t="s">
        <v>59</v>
      </c>
      <c r="F9" s="254"/>
      <c r="G9" s="251"/>
      <c r="H9" s="253" t="s">
        <v>60</v>
      </c>
      <c r="I9" s="254"/>
      <c r="J9" s="251"/>
      <c r="K9" s="253" t="s">
        <v>61</v>
      </c>
      <c r="L9" s="254"/>
      <c r="M9" s="251"/>
      <c r="N9" s="253" t="s">
        <v>62</v>
      </c>
      <c r="O9" s="254"/>
      <c r="P9" s="251"/>
      <c r="Q9" s="253" t="s">
        <v>63</v>
      </c>
      <c r="R9" s="254"/>
      <c r="S9" s="251"/>
      <c r="T9" s="253" t="s">
        <v>64</v>
      </c>
      <c r="U9" s="254"/>
      <c r="V9" s="251"/>
      <c r="W9" s="253" t="s">
        <v>65</v>
      </c>
      <c r="X9" s="254"/>
      <c r="Y9" s="251"/>
      <c r="Z9" s="253" t="s">
        <v>66</v>
      </c>
      <c r="AA9" s="254"/>
      <c r="AB9" s="251"/>
      <c r="AC9" s="271" t="s">
        <v>67</v>
      </c>
      <c r="AD9" s="254"/>
      <c r="AE9" s="251"/>
      <c r="AF9" s="271" t="s">
        <v>68</v>
      </c>
      <c r="AG9" s="254"/>
      <c r="AH9" s="251"/>
      <c r="AI9" s="253" t="s">
        <v>69</v>
      </c>
      <c r="AJ9" s="254"/>
      <c r="AK9" s="251"/>
      <c r="AL9" s="253" t="s">
        <v>70</v>
      </c>
      <c r="AM9" s="254"/>
      <c r="AN9" s="251"/>
      <c r="AO9" s="253" t="s">
        <v>71</v>
      </c>
      <c r="AP9" s="254"/>
      <c r="AQ9" s="251"/>
      <c r="AR9" s="253" t="s">
        <v>72</v>
      </c>
      <c r="AS9" s="254"/>
      <c r="AT9" s="251"/>
      <c r="AU9" s="253" t="s">
        <v>73</v>
      </c>
      <c r="AV9" s="254"/>
      <c r="AW9" s="251"/>
      <c r="AX9" s="253" t="s">
        <v>74</v>
      </c>
      <c r="AY9" s="254"/>
      <c r="AZ9" s="251"/>
      <c r="BA9" s="253" t="s">
        <v>75</v>
      </c>
      <c r="BB9" s="254"/>
      <c r="BC9" s="251"/>
      <c r="BD9" s="253" t="s">
        <v>76</v>
      </c>
      <c r="BE9" s="254"/>
      <c r="BF9" s="251"/>
      <c r="BG9" s="253" t="s">
        <v>77</v>
      </c>
      <c r="BH9" s="254"/>
      <c r="BI9" s="251"/>
      <c r="BJ9" s="253" t="s">
        <v>78</v>
      </c>
      <c r="BK9" s="254"/>
      <c r="BL9" s="251"/>
      <c r="BM9" s="253" t="s">
        <v>79</v>
      </c>
      <c r="BN9" s="254"/>
      <c r="BO9" s="251"/>
      <c r="BP9" s="253" t="s">
        <v>80</v>
      </c>
      <c r="BQ9" s="254"/>
      <c r="BR9" s="251"/>
      <c r="BS9" s="253" t="s">
        <v>81</v>
      </c>
      <c r="BT9" s="254"/>
      <c r="BU9" s="251"/>
      <c r="BV9" s="253" t="s">
        <v>82</v>
      </c>
      <c r="BW9" s="254"/>
      <c r="BX9" s="251"/>
      <c r="BY9" s="253" t="s">
        <v>83</v>
      </c>
      <c r="BZ9" s="254"/>
      <c r="CA9" s="251"/>
      <c r="CB9" s="253" t="s">
        <v>84</v>
      </c>
      <c r="CC9" s="254"/>
      <c r="CD9" s="251"/>
      <c r="CE9" s="253" t="s">
        <v>85</v>
      </c>
      <c r="CF9" s="254"/>
      <c r="CG9" s="251"/>
      <c r="CH9" s="253" t="s">
        <v>86</v>
      </c>
      <c r="CI9" s="254"/>
      <c r="CJ9" s="251"/>
      <c r="CK9" s="253" t="s">
        <v>87</v>
      </c>
      <c r="CL9" s="254"/>
      <c r="CM9" s="251"/>
      <c r="CN9" s="253" t="s">
        <v>88</v>
      </c>
      <c r="CO9" s="254"/>
      <c r="CP9" s="251"/>
      <c r="CQ9" s="253" t="s">
        <v>89</v>
      </c>
      <c r="CR9" s="254"/>
      <c r="CS9" s="251"/>
      <c r="CT9" s="253" t="s">
        <v>90</v>
      </c>
      <c r="CU9" s="254"/>
      <c r="CV9" s="251"/>
      <c r="CW9" s="253" t="s">
        <v>91</v>
      </c>
      <c r="CX9" s="254"/>
      <c r="CY9" s="251"/>
      <c r="CZ9" s="253" t="s">
        <v>92</v>
      </c>
      <c r="DA9" s="254"/>
      <c r="DB9" s="251"/>
      <c r="DC9" s="253" t="s">
        <v>93</v>
      </c>
      <c r="DD9" s="254"/>
      <c r="DE9" s="251"/>
      <c r="DF9" s="253" t="s">
        <v>94</v>
      </c>
      <c r="DG9" s="254"/>
      <c r="DH9" s="251"/>
      <c r="DI9" s="253" t="s">
        <v>95</v>
      </c>
      <c r="DJ9" s="254"/>
      <c r="DK9" s="251"/>
      <c r="DL9" s="253" t="s">
        <v>96</v>
      </c>
      <c r="DM9" s="254"/>
      <c r="DN9" s="251"/>
      <c r="DO9" s="253" t="s">
        <v>97</v>
      </c>
      <c r="DP9" s="254"/>
      <c r="DQ9" s="251"/>
      <c r="DR9" s="253" t="s">
        <v>98</v>
      </c>
      <c r="DS9" s="254"/>
      <c r="DT9" s="251"/>
      <c r="DU9" s="253" t="s">
        <v>99</v>
      </c>
      <c r="DV9" s="254"/>
      <c r="DW9" s="251"/>
      <c r="DX9" s="272" t="s">
        <v>100</v>
      </c>
      <c r="DY9" s="254"/>
      <c r="DZ9" s="251"/>
      <c r="EA9" s="174"/>
      <c r="EB9" s="191" t="s">
        <v>101</v>
      </c>
      <c r="EC9" s="191" t="s">
        <v>102</v>
      </c>
      <c r="ED9" s="252" t="s">
        <v>103</v>
      </c>
      <c r="EE9" s="252" t="s">
        <v>104</v>
      </c>
      <c r="EG9" s="270" t="s">
        <v>105</v>
      </c>
      <c r="EH9" s="252" t="s">
        <v>103</v>
      </c>
      <c r="EI9" s="252" t="s">
        <v>104</v>
      </c>
      <c r="EJ9" s="252"/>
      <c r="EK9" s="270" t="s">
        <v>57</v>
      </c>
      <c r="EL9" s="270" t="s">
        <v>57</v>
      </c>
      <c r="EM9" s="252" t="s">
        <v>103</v>
      </c>
      <c r="EN9" s="252" t="s">
        <v>104</v>
      </c>
    </row>
    <row r="10" spans="1:147" x14ac:dyDescent="0.25">
      <c r="A10" s="252" t="s">
        <v>106</v>
      </c>
      <c r="B10" s="273" t="s">
        <v>107</v>
      </c>
      <c r="C10" s="274" t="s">
        <v>108</v>
      </c>
      <c r="D10" s="275" t="s">
        <v>12</v>
      </c>
      <c r="E10" s="273" t="s">
        <v>107</v>
      </c>
      <c r="F10" s="274" t="s">
        <v>108</v>
      </c>
      <c r="G10" s="275" t="s">
        <v>12</v>
      </c>
      <c r="H10" s="273" t="s">
        <v>107</v>
      </c>
      <c r="I10" s="274" t="s">
        <v>108</v>
      </c>
      <c r="J10" s="275" t="s">
        <v>12</v>
      </c>
      <c r="K10" s="273" t="s">
        <v>107</v>
      </c>
      <c r="L10" s="274" t="s">
        <v>108</v>
      </c>
      <c r="M10" s="275" t="s">
        <v>12</v>
      </c>
      <c r="N10" s="273" t="s">
        <v>107</v>
      </c>
      <c r="O10" s="274" t="s">
        <v>108</v>
      </c>
      <c r="P10" s="275" t="s">
        <v>12</v>
      </c>
      <c r="Q10" s="273" t="s">
        <v>107</v>
      </c>
      <c r="R10" s="274" t="s">
        <v>108</v>
      </c>
      <c r="S10" s="275" t="s">
        <v>12</v>
      </c>
      <c r="T10" s="273" t="s">
        <v>107</v>
      </c>
      <c r="U10" s="274" t="s">
        <v>108</v>
      </c>
      <c r="V10" s="275" t="s">
        <v>12</v>
      </c>
      <c r="W10" s="273" t="s">
        <v>107</v>
      </c>
      <c r="X10" s="274" t="s">
        <v>108</v>
      </c>
      <c r="Y10" s="275" t="s">
        <v>12</v>
      </c>
      <c r="Z10" s="273" t="s">
        <v>107</v>
      </c>
      <c r="AA10" s="274" t="s">
        <v>108</v>
      </c>
      <c r="AB10" s="275" t="s">
        <v>12</v>
      </c>
      <c r="AC10" s="273" t="s">
        <v>107</v>
      </c>
      <c r="AD10" s="274" t="s">
        <v>108</v>
      </c>
      <c r="AE10" s="275" t="s">
        <v>12</v>
      </c>
      <c r="AF10" s="273" t="s">
        <v>107</v>
      </c>
      <c r="AG10" s="274" t="s">
        <v>108</v>
      </c>
      <c r="AH10" s="275" t="s">
        <v>12</v>
      </c>
      <c r="AI10" s="273" t="s">
        <v>107</v>
      </c>
      <c r="AJ10" s="274" t="s">
        <v>108</v>
      </c>
      <c r="AK10" s="275" t="s">
        <v>12</v>
      </c>
      <c r="AL10" s="273" t="s">
        <v>107</v>
      </c>
      <c r="AM10" s="274" t="s">
        <v>108</v>
      </c>
      <c r="AN10" s="275" t="s">
        <v>12</v>
      </c>
      <c r="AO10" s="273" t="s">
        <v>107</v>
      </c>
      <c r="AP10" s="274" t="s">
        <v>108</v>
      </c>
      <c r="AQ10" s="275" t="s">
        <v>12</v>
      </c>
      <c r="AR10" s="273" t="s">
        <v>107</v>
      </c>
      <c r="AS10" s="274" t="s">
        <v>108</v>
      </c>
      <c r="AT10" s="275" t="s">
        <v>12</v>
      </c>
      <c r="AU10" s="273" t="s">
        <v>107</v>
      </c>
      <c r="AV10" s="274" t="s">
        <v>108</v>
      </c>
      <c r="AW10" s="275" t="s">
        <v>12</v>
      </c>
      <c r="AX10" s="273" t="s">
        <v>107</v>
      </c>
      <c r="AY10" s="274" t="s">
        <v>108</v>
      </c>
      <c r="AZ10" s="275" t="s">
        <v>12</v>
      </c>
      <c r="BA10" s="273" t="s">
        <v>107</v>
      </c>
      <c r="BB10" s="274" t="s">
        <v>108</v>
      </c>
      <c r="BC10" s="275" t="s">
        <v>12</v>
      </c>
      <c r="BD10" s="273" t="s">
        <v>107</v>
      </c>
      <c r="BE10" s="274" t="s">
        <v>108</v>
      </c>
      <c r="BF10" s="275" t="s">
        <v>12</v>
      </c>
      <c r="BG10" s="273" t="s">
        <v>107</v>
      </c>
      <c r="BH10" s="274" t="s">
        <v>108</v>
      </c>
      <c r="BI10" s="275" t="s">
        <v>12</v>
      </c>
      <c r="BJ10" s="273" t="s">
        <v>107</v>
      </c>
      <c r="BK10" s="274" t="s">
        <v>108</v>
      </c>
      <c r="BL10" s="275" t="s">
        <v>12</v>
      </c>
      <c r="BM10" s="273" t="s">
        <v>107</v>
      </c>
      <c r="BN10" s="274" t="s">
        <v>108</v>
      </c>
      <c r="BO10" s="275" t="s">
        <v>12</v>
      </c>
      <c r="BP10" s="273" t="s">
        <v>107</v>
      </c>
      <c r="BQ10" s="274" t="s">
        <v>108</v>
      </c>
      <c r="BR10" s="275" t="s">
        <v>12</v>
      </c>
      <c r="BS10" s="273" t="s">
        <v>107</v>
      </c>
      <c r="BT10" s="274" t="s">
        <v>108</v>
      </c>
      <c r="BU10" s="275" t="s">
        <v>12</v>
      </c>
      <c r="BV10" s="273" t="s">
        <v>107</v>
      </c>
      <c r="BW10" s="274" t="s">
        <v>108</v>
      </c>
      <c r="BX10" s="275" t="s">
        <v>12</v>
      </c>
      <c r="BY10" s="273" t="s">
        <v>107</v>
      </c>
      <c r="BZ10" s="274" t="s">
        <v>108</v>
      </c>
      <c r="CA10" s="275" t="s">
        <v>12</v>
      </c>
      <c r="CB10" s="273" t="s">
        <v>107</v>
      </c>
      <c r="CC10" s="274" t="s">
        <v>108</v>
      </c>
      <c r="CD10" s="275" t="s">
        <v>12</v>
      </c>
      <c r="CE10" s="273" t="s">
        <v>107</v>
      </c>
      <c r="CF10" s="274" t="s">
        <v>108</v>
      </c>
      <c r="CG10" s="275" t="s">
        <v>12</v>
      </c>
      <c r="CH10" s="273" t="s">
        <v>107</v>
      </c>
      <c r="CI10" s="274" t="s">
        <v>108</v>
      </c>
      <c r="CJ10" s="275" t="s">
        <v>12</v>
      </c>
      <c r="CK10" s="273" t="s">
        <v>107</v>
      </c>
      <c r="CL10" s="274" t="s">
        <v>108</v>
      </c>
      <c r="CM10" s="275" t="s">
        <v>12</v>
      </c>
      <c r="CN10" s="273" t="s">
        <v>107</v>
      </c>
      <c r="CO10" s="274" t="s">
        <v>108</v>
      </c>
      <c r="CP10" s="275" t="s">
        <v>12</v>
      </c>
      <c r="CQ10" s="273" t="s">
        <v>107</v>
      </c>
      <c r="CR10" s="274" t="s">
        <v>108</v>
      </c>
      <c r="CS10" s="275" t="s">
        <v>12</v>
      </c>
      <c r="CT10" s="273" t="s">
        <v>107</v>
      </c>
      <c r="CU10" s="274" t="s">
        <v>108</v>
      </c>
      <c r="CV10" s="275" t="s">
        <v>12</v>
      </c>
      <c r="CW10" s="273" t="s">
        <v>107</v>
      </c>
      <c r="CX10" s="274" t="s">
        <v>108</v>
      </c>
      <c r="CY10" s="275" t="s">
        <v>12</v>
      </c>
      <c r="CZ10" s="273" t="s">
        <v>107</v>
      </c>
      <c r="DA10" s="274" t="s">
        <v>108</v>
      </c>
      <c r="DB10" s="275" t="s">
        <v>12</v>
      </c>
      <c r="DC10" s="273" t="s">
        <v>107</v>
      </c>
      <c r="DD10" s="274" t="s">
        <v>108</v>
      </c>
      <c r="DE10" s="275" t="s">
        <v>12</v>
      </c>
      <c r="DF10" s="273" t="s">
        <v>107</v>
      </c>
      <c r="DG10" s="274" t="s">
        <v>108</v>
      </c>
      <c r="DH10" s="275" t="s">
        <v>12</v>
      </c>
      <c r="DI10" s="273" t="s">
        <v>107</v>
      </c>
      <c r="DJ10" s="274" t="s">
        <v>108</v>
      </c>
      <c r="DK10" s="275" t="s">
        <v>12</v>
      </c>
      <c r="DL10" s="273" t="s">
        <v>107</v>
      </c>
      <c r="DM10" s="274" t="s">
        <v>108</v>
      </c>
      <c r="DN10" s="275" t="s">
        <v>12</v>
      </c>
      <c r="DO10" s="273" t="s">
        <v>107</v>
      </c>
      <c r="DP10" s="274" t="s">
        <v>108</v>
      </c>
      <c r="DQ10" s="275" t="s">
        <v>12</v>
      </c>
      <c r="DR10" s="273" t="s">
        <v>107</v>
      </c>
      <c r="DS10" s="274" t="s">
        <v>108</v>
      </c>
      <c r="DT10" s="275" t="s">
        <v>12</v>
      </c>
      <c r="DU10" s="273" t="s">
        <v>107</v>
      </c>
      <c r="DV10" s="274" t="s">
        <v>108</v>
      </c>
      <c r="DW10" s="275" t="s">
        <v>12</v>
      </c>
      <c r="DX10" s="273" t="s">
        <v>107</v>
      </c>
      <c r="DY10" s="274"/>
      <c r="DZ10" s="275"/>
      <c r="EA10" s="275"/>
      <c r="EB10" s="275" t="s">
        <v>109</v>
      </c>
      <c r="EC10" s="275" t="s">
        <v>109</v>
      </c>
      <c r="ED10" s="275" t="s">
        <v>12</v>
      </c>
      <c r="EE10" s="275" t="s">
        <v>108</v>
      </c>
      <c r="EG10" s="275" t="s">
        <v>109</v>
      </c>
      <c r="EH10" s="275" t="s">
        <v>12</v>
      </c>
      <c r="EI10" s="275" t="s">
        <v>108</v>
      </c>
      <c r="EJ10" s="275"/>
      <c r="EK10" s="275" t="s">
        <v>109</v>
      </c>
      <c r="EL10" s="275" t="s">
        <v>109</v>
      </c>
      <c r="EM10" s="275" t="s">
        <v>12</v>
      </c>
      <c r="EN10" s="275" t="s">
        <v>108</v>
      </c>
    </row>
    <row r="11" spans="1:147" x14ac:dyDescent="0.25">
      <c r="A11" s="255">
        <v>45627</v>
      </c>
      <c r="B11" s="241">
        <v>95125000</v>
      </c>
      <c r="C11" s="242">
        <v>4.58E-2</v>
      </c>
      <c r="D11" s="241">
        <f>(B11*C11)/360</f>
        <v>12102.013888888889</v>
      </c>
      <c r="G11" s="241">
        <f>(E11*F11)/360</f>
        <v>0</v>
      </c>
      <c r="J11" s="241">
        <f>(H11*I11)/360</f>
        <v>0</v>
      </c>
      <c r="M11" s="241">
        <f>(K11*L11)/360</f>
        <v>0</v>
      </c>
      <c r="P11" s="241">
        <f>(N11*O11)/360</f>
        <v>0</v>
      </c>
      <c r="S11" s="241">
        <f>(Q11*R11)/360</f>
        <v>0</v>
      </c>
      <c r="V11" s="241">
        <f>(T11*U11)/360</f>
        <v>0</v>
      </c>
      <c r="Y11" s="241">
        <f>(W11*X11)/360</f>
        <v>0</v>
      </c>
      <c r="AB11" s="241">
        <f>(Z11*AA11)/360</f>
        <v>0</v>
      </c>
      <c r="AE11" s="241">
        <v>0</v>
      </c>
      <c r="AH11" s="241">
        <v>0</v>
      </c>
      <c r="AI11" s="256">
        <f>60000000</f>
        <v>60000000</v>
      </c>
      <c r="AJ11" s="257">
        <v>4.7E-2</v>
      </c>
      <c r="AK11" s="241">
        <f>(AI11*AJ11)/360</f>
        <v>7833.333333333333</v>
      </c>
      <c r="AL11" s="256">
        <f>33975000</f>
        <v>33975000</v>
      </c>
      <c r="AM11" s="257">
        <v>4.7300000000000002E-2</v>
      </c>
      <c r="AN11" s="241">
        <f>(AL11*AM11)/360</f>
        <v>4463.9375</v>
      </c>
      <c r="AO11" s="256">
        <f>40925000+65000000</f>
        <v>105925000</v>
      </c>
      <c r="AP11" s="257">
        <v>4.7399999999999998E-2</v>
      </c>
      <c r="AQ11" s="241">
        <f>(AO11*AP11)/360</f>
        <v>13946.791666666666</v>
      </c>
      <c r="AR11" s="256">
        <f>80000000</f>
        <v>80000000</v>
      </c>
      <c r="AS11" s="257">
        <v>5.0299999999999997E-2</v>
      </c>
      <c r="AT11" s="241">
        <f>(AR11*AS11)/360</f>
        <v>11177.777777777777</v>
      </c>
      <c r="AW11" s="241">
        <f>(AU11*AV11)/360</f>
        <v>0</v>
      </c>
      <c r="AZ11" s="241">
        <f>(AX11*AY11)/360</f>
        <v>0</v>
      </c>
      <c r="BC11" s="241">
        <f>(BA11*BB11)/360</f>
        <v>0</v>
      </c>
      <c r="BF11" s="241">
        <f>(BD11*BE11)/360</f>
        <v>0</v>
      </c>
      <c r="BI11" s="241">
        <f>(BG11*BH11)/360</f>
        <v>0</v>
      </c>
      <c r="BL11" s="241">
        <f>(BJ11*BK11)/360</f>
        <v>0</v>
      </c>
      <c r="BO11" s="241">
        <f>(BM11*BN11)/360</f>
        <v>0</v>
      </c>
      <c r="BR11" s="241">
        <f>(BP11*BQ11)/360</f>
        <v>0</v>
      </c>
      <c r="BU11" s="241">
        <f>(BS11*BT11)/360</f>
        <v>0</v>
      </c>
      <c r="BX11" s="241">
        <f>(BV11*BW11)/360</f>
        <v>0</v>
      </c>
      <c r="CA11" s="241">
        <f>(BY11*BZ11)/360</f>
        <v>0</v>
      </c>
      <c r="CD11" s="241">
        <f>(CB11*CC11)/360</f>
        <v>0</v>
      </c>
      <c r="CG11" s="241">
        <f>(CE11*CF11)/360</f>
        <v>0</v>
      </c>
      <c r="CJ11" s="241">
        <f>(CH11*CI11)/360</f>
        <v>0</v>
      </c>
      <c r="CM11" s="241">
        <f>(CK11*CL11)/360</f>
        <v>0</v>
      </c>
      <c r="CP11" s="241">
        <f>(CN11*CO11)/360</f>
        <v>0</v>
      </c>
      <c r="CS11" s="241">
        <f>(CQ11*CR11)/360</f>
        <v>0</v>
      </c>
      <c r="CV11" s="241">
        <f>(CT11*CU11)/360</f>
        <v>0</v>
      </c>
      <c r="CY11" s="241">
        <f>(CW11*CX11)/360</f>
        <v>0</v>
      </c>
      <c r="DB11" s="241">
        <f>(CZ11*DA11)/360</f>
        <v>0</v>
      </c>
      <c r="DE11" s="241">
        <f>(DC11*DD11)/360</f>
        <v>0</v>
      </c>
      <c r="DH11" s="241">
        <f>(DF11*DG11)/360</f>
        <v>0</v>
      </c>
      <c r="DK11" s="241">
        <f>(DI11*DJ11)/360</f>
        <v>0</v>
      </c>
      <c r="DN11" s="241">
        <f>(DL11*DM11)/360</f>
        <v>0</v>
      </c>
      <c r="DQ11" s="241">
        <f>(DO11*DP11)/360</f>
        <v>0</v>
      </c>
      <c r="DT11" s="241">
        <f>(DR11*DS11)/360</f>
        <v>0</v>
      </c>
      <c r="DW11" s="241">
        <f>(DU11*DV11)/360</f>
        <v>0</v>
      </c>
      <c r="DZ11" s="241"/>
      <c r="EA11" s="241"/>
      <c r="EB11" s="261">
        <f>B11+E11+H11+K11+N11+Q11+T11+W11+Z11+AC11+AF11+AL11+AO11+AR11+AU11+AX11+BA11+BD11+BG11+DU11+AI11+DR11+DO11+DL11+DI11+DF11+DC11+CZ11+CW11+CT11+CQ11+CN11+CK11+CH11+CE11+CB11+BY11+BV11+BS11+BP11+BM11+BJ11</f>
        <v>375025000</v>
      </c>
      <c r="EC11" s="261">
        <f>EB11-EK11+EL11</f>
        <v>95125000</v>
      </c>
      <c r="ED11" s="241">
        <f>D11+G11+J11+M11+P11+S11+V11+Y11+AB11+AE11+AH11+AK11+AN11+AQ11+AT11+AW11+AZ11+BC11+BF11+BI11+DW11+DT11+DQ11+DN11+DK11+DH11+DE11+DB11+CY11+CV11+CS11+CP11+CM11+CJ11+CG11+CD11+CA11+BX11+BU11+BR11+BO11+BL11</f>
        <v>49523.854166666672</v>
      </c>
      <c r="EE11" s="242">
        <f>IF(EB11&lt;&gt;0,((ED11/EB11)*360),0)</f>
        <v>4.7539730684621029E-2</v>
      </c>
      <c r="EG11" s="261">
        <f>Q11+T11+W11+Z11+AC11+AF11</f>
        <v>0</v>
      </c>
      <c r="EH11" s="241">
        <f>S11+V11+Y11+AB11+AE11+AH11</f>
        <v>0</v>
      </c>
      <c r="EI11" s="242">
        <f>IF(EG11&lt;&gt;0,((EH11/EG11)*360),0)</f>
        <v>0</v>
      </c>
      <c r="EJ11" s="242"/>
      <c r="EK11" s="261">
        <f>DR11+DL11+DI11+DF11+DC11+CZ11+CW11+CT11+CQ11+CN11+CK11+CH11+CE11+CB11+BY11+BV11+BS11+BP11+BM11+BJ11+BG11+BD11+BA11+AX11+AU11+AR11+AO11+AL11+AI11+DO11</f>
        <v>279900000</v>
      </c>
      <c r="EL11" s="261">
        <f>DX11</f>
        <v>0</v>
      </c>
      <c r="EM11" s="261">
        <f>DT11+DQ11+DN11+DK11+DH11+DE11+DB11+CY11+CV11+CS11+CP11+CM11+CJ11+CG11+CD11+CA11+BX11+BU11+BR11+BO11+BL11+BI11+BF11+BC11+AZ11+AW11+AT11+AQ11+AN11+AK11</f>
        <v>37421.840277777781</v>
      </c>
      <c r="EN11" s="242">
        <f>IF(EK11&lt;&gt;0,((EM11/EK11)*360),0)</f>
        <v>4.8130984280100042E-2</v>
      </c>
      <c r="EP11" s="241"/>
    </row>
    <row r="12" spans="1:147" x14ac:dyDescent="0.25">
      <c r="A12" s="255">
        <f>1+A11</f>
        <v>45628</v>
      </c>
      <c r="B12" s="241">
        <v>57975000</v>
      </c>
      <c r="C12" s="242">
        <v>4.5700000000000005E-2</v>
      </c>
      <c r="D12" s="241">
        <f t="shared" ref="D12:D41" si="0">(B12*C12)/360</f>
        <v>7359.6041666666679</v>
      </c>
      <c r="G12" s="241">
        <f t="shared" ref="G12:G41" si="1">(E12*F12)/360</f>
        <v>0</v>
      </c>
      <c r="J12" s="241">
        <f t="shared" ref="J12:J41" si="2">(H12*I12)/360</f>
        <v>0</v>
      </c>
      <c r="M12" s="241">
        <f t="shared" ref="M12:M41" si="3">(K12*L12)/360</f>
        <v>0</v>
      </c>
      <c r="P12" s="241">
        <f t="shared" ref="P12:P41" si="4">(N12*O12)/360</f>
        <v>0</v>
      </c>
      <c r="S12" s="241">
        <f t="shared" ref="S12:S41" si="5">(Q12*R12)/360</f>
        <v>0</v>
      </c>
      <c r="V12" s="241">
        <f t="shared" ref="V12:V41" si="6">(T12*U12)/360</f>
        <v>0</v>
      </c>
      <c r="Y12" s="241">
        <f t="shared" ref="Y12:Y41" si="7">(W12*X12)/360</f>
        <v>0</v>
      </c>
      <c r="AB12" s="241">
        <f t="shared" ref="AB12:AB41" si="8">(Z12*AA12)/360</f>
        <v>0</v>
      </c>
      <c r="AE12" s="241">
        <v>0</v>
      </c>
      <c r="AH12" s="241">
        <v>0</v>
      </c>
      <c r="AI12" s="256">
        <f>25500000+40000000+20000000</f>
        <v>85500000</v>
      </c>
      <c r="AJ12" s="257">
        <v>4.7E-2</v>
      </c>
      <c r="AK12" s="241">
        <f t="shared" ref="AK12:AK41" si="9">(AI12*AJ12)/360</f>
        <v>11162.5</v>
      </c>
      <c r="AL12" s="256">
        <f t="shared" ref="AL12:AL18" si="10">60000000+95000000</f>
        <v>155000000</v>
      </c>
      <c r="AM12" s="257">
        <v>4.7399999999999998E-2</v>
      </c>
      <c r="AN12" s="241">
        <f t="shared" ref="AN12:AN41" si="11">(AL12*AM12)/360</f>
        <v>20408.333333333332</v>
      </c>
      <c r="AO12" s="256">
        <f t="shared" ref="AO12:AO19" si="12">80000000</f>
        <v>80000000</v>
      </c>
      <c r="AP12" s="257">
        <v>4.7500000000000001E-2</v>
      </c>
      <c r="AQ12" s="241">
        <f t="shared" ref="AQ12:AQ41" si="13">(AO12*AP12)/360</f>
        <v>10555.555555555555</v>
      </c>
      <c r="AR12" s="256"/>
      <c r="AS12" s="257"/>
      <c r="AT12" s="241">
        <f t="shared" ref="AT12:AT41" si="14">(AR12*AS12)/360</f>
        <v>0</v>
      </c>
      <c r="AW12" s="241">
        <f t="shared" ref="AW12:AW41" si="15">(AU12*AV12)/360</f>
        <v>0</v>
      </c>
      <c r="AZ12" s="241">
        <f t="shared" ref="AZ12:AZ41" si="16">(AX12*AY12)/360</f>
        <v>0</v>
      </c>
      <c r="BC12" s="241">
        <f t="shared" ref="BC12:BC41" si="17">(BA12*BB12)/360</f>
        <v>0</v>
      </c>
      <c r="BF12" s="241">
        <f t="shared" ref="BF12:BF41" si="18">(BD12*BE12)/360</f>
        <v>0</v>
      </c>
      <c r="BI12" s="241">
        <f t="shared" ref="BI12:BI41" si="19">(BG12*BH12)/360</f>
        <v>0</v>
      </c>
      <c r="BL12" s="241">
        <f t="shared" ref="BL12:BL41" si="20">(BJ12*BK12)/360</f>
        <v>0</v>
      </c>
      <c r="BO12" s="241">
        <f t="shared" ref="BO12:BO41" si="21">(BM12*BN12)/360</f>
        <v>0</v>
      </c>
      <c r="BR12" s="241">
        <f t="shared" ref="BR12:BR41" si="22">(BP12*BQ12)/360</f>
        <v>0</v>
      </c>
      <c r="BU12" s="241">
        <f t="shared" ref="BU12:BU41" si="23">(BS12*BT12)/360</f>
        <v>0</v>
      </c>
      <c r="BX12" s="241">
        <f t="shared" ref="BX12:BX41" si="24">(BV12*BW12)/360</f>
        <v>0</v>
      </c>
      <c r="CA12" s="241">
        <f t="shared" ref="CA12:CA41" si="25">(BY12*BZ12)/360</f>
        <v>0</v>
      </c>
      <c r="CD12" s="241">
        <f t="shared" ref="CD12:CD41" si="26">(CB12*CC12)/360</f>
        <v>0</v>
      </c>
      <c r="CG12" s="241">
        <f t="shared" ref="CG12:CG41" si="27">(CE12*CF12)/360</f>
        <v>0</v>
      </c>
      <c r="CJ12" s="241">
        <f t="shared" ref="CJ12:CJ41" si="28">(CH12*CI12)/360</f>
        <v>0</v>
      </c>
      <c r="CM12" s="241">
        <f t="shared" ref="CM12:CM41" si="29">(CK12*CL12)/360</f>
        <v>0</v>
      </c>
      <c r="CP12" s="241">
        <f t="shared" ref="CP12:CP41" si="30">(CN12*CO12)/360</f>
        <v>0</v>
      </c>
      <c r="CS12" s="241">
        <f t="shared" ref="CS12:CS41" si="31">(CQ12*CR12)/360</f>
        <v>0</v>
      </c>
      <c r="CV12" s="241">
        <f t="shared" ref="CV12:CV41" si="32">(CT12*CU12)/360</f>
        <v>0</v>
      </c>
      <c r="CY12" s="241">
        <f t="shared" ref="CY12:CY41" si="33">(CW12*CX12)/360</f>
        <v>0</v>
      </c>
      <c r="DB12" s="241">
        <f t="shared" ref="DB12:DB41" si="34">(CZ12*DA12)/360</f>
        <v>0</v>
      </c>
      <c r="DE12" s="241">
        <f t="shared" ref="DE12:DE41" si="35">(DC12*DD12)/360</f>
        <v>0</v>
      </c>
      <c r="DH12" s="241">
        <f t="shared" ref="DH12:DH41" si="36">(DF12*DG12)/360</f>
        <v>0</v>
      </c>
      <c r="DK12" s="241">
        <f t="shared" ref="DK12:DK41" si="37">(DI12*DJ12)/360</f>
        <v>0</v>
      </c>
      <c r="DN12" s="241">
        <f t="shared" ref="DN12:DN41" si="38">(DL12*DM12)/360</f>
        <v>0</v>
      </c>
      <c r="DQ12" s="241">
        <f t="shared" ref="DQ12:DQ41" si="39">(DO12*DP12)/360</f>
        <v>0</v>
      </c>
      <c r="DT12" s="241">
        <f t="shared" ref="DT12:DT41" si="40">(DR12*DS12)/360</f>
        <v>0</v>
      </c>
      <c r="DW12" s="241">
        <f t="shared" ref="DW12:DW41" si="41">(DU12*DV12)/360</f>
        <v>0</v>
      </c>
      <c r="DZ12" s="241"/>
      <c r="EA12" s="241"/>
      <c r="EB12" s="261">
        <f t="shared" ref="EB12:EB41" si="42">B12+E12+H12+K12+N12+Q12+T12+W12+Z12+AC12+AF12+AL12+AO12+AR12+AU12+AX12+BA12+BD12+BG12+DU12+AI12+DR12+DO12+DL12+DI12+DF12+DC12+CZ12+CW12+CT12+CQ12+CN12+CK12+CH12+CE12+CB12+BY12+BV12+BS12+BP12+BM12+BJ12</f>
        <v>378475000</v>
      </c>
      <c r="EC12" s="261">
        <f t="shared" ref="EC12:EC41" si="43">EB12-EK12+EL12</f>
        <v>57975000</v>
      </c>
      <c r="ED12" s="241">
        <f t="shared" ref="ED12:ED41" si="44">D12+G12+J12+M12+P12+S12+V12+Y12+AB12+AE12+AH12+AK12+AN12+AQ12+AT12+AW12+AZ12+BC12+BF12+BI12+DW12+DT12+DQ12+DN12+DK12+DH12+DE12+DB12+CY12+CV12+CS12+CP12+CM12+CJ12+CG12+CD12+CA12+BX12+BU12+BR12+BO12+BL12</f>
        <v>49485.993055555555</v>
      </c>
      <c r="EE12" s="242">
        <f t="shared" ref="EE12:EE41" si="45">IF(EB12&lt;&gt;0,((ED12/EB12)*360),0)</f>
        <v>4.7070367923905142E-2</v>
      </c>
      <c r="EG12" s="261">
        <f t="shared" ref="EG12:EG41" si="46">Q12+T12+W12+Z12+AC12+AF12</f>
        <v>0</v>
      </c>
      <c r="EH12" s="241">
        <f t="shared" ref="EH12:EH41" si="47">S12+V12+Y12+AB12+AE12+AH12</f>
        <v>0</v>
      </c>
      <c r="EI12" s="242">
        <f t="shared" ref="EI12:EI41" si="48">IF(EG12&lt;&gt;0,((EH12/EG12)*360),0)</f>
        <v>0</v>
      </c>
      <c r="EJ12" s="242"/>
      <c r="EK12" s="261">
        <f t="shared" ref="EK12:EK41" si="49">DR12+DL12+DI12+DF12+DC12+CZ12+CW12+CT12+CQ12+CN12+CK12+CH12+CE12+CB12+BY12+BV12+BS12+BP12+BM12+BJ12+BG12+BD12+BA12+AX12+AU12+AR12+AO12+AL12+AI12+DO12</f>
        <v>320500000</v>
      </c>
      <c r="EL12" s="261">
        <f t="shared" ref="EL12:EL41" si="50">DX12</f>
        <v>0</v>
      </c>
      <c r="EM12" s="261">
        <f t="shared" ref="EM12:EM41" si="51">DT12+DQ12+DN12+DK12+DH12+DE12+DB12+CY12+CV12+CS12+CP12+CM12+CJ12+CG12+CD12+CA12+BX12+BU12+BR12+BO12+BL12+BI12+BF12+BC12+AZ12+AW12+AT12+AQ12+AN12+AK12</f>
        <v>42126.388888888891</v>
      </c>
      <c r="EN12" s="242">
        <f t="shared" ref="EN12:EN41" si="52">IF(EK12&lt;&gt;0,((EM12/EK12)*360),0)</f>
        <v>4.7318252730109207E-2</v>
      </c>
      <c r="EP12" s="241"/>
    </row>
    <row r="13" spans="1:147" x14ac:dyDescent="0.25">
      <c r="A13" s="255">
        <f t="shared" ref="A13:A41" si="53">1+A12</f>
        <v>45629</v>
      </c>
      <c r="B13" s="241">
        <v>67975000</v>
      </c>
      <c r="C13" s="242">
        <v>4.5599999999999995E-2</v>
      </c>
      <c r="D13" s="241">
        <f t="shared" si="0"/>
        <v>8610.1666666666661</v>
      </c>
      <c r="G13" s="241">
        <f t="shared" si="1"/>
        <v>0</v>
      </c>
      <c r="J13" s="241">
        <f t="shared" si="2"/>
        <v>0</v>
      </c>
      <c r="M13" s="241">
        <f t="shared" si="3"/>
        <v>0</v>
      </c>
      <c r="P13" s="241">
        <f t="shared" si="4"/>
        <v>0</v>
      </c>
      <c r="S13" s="241">
        <f t="shared" si="5"/>
        <v>0</v>
      </c>
      <c r="V13" s="241">
        <f t="shared" si="6"/>
        <v>0</v>
      </c>
      <c r="Y13" s="241">
        <f t="shared" si="7"/>
        <v>0</v>
      </c>
      <c r="AB13" s="241">
        <f t="shared" si="8"/>
        <v>0</v>
      </c>
      <c r="AE13" s="241">
        <v>0</v>
      </c>
      <c r="AH13" s="241">
        <v>0</v>
      </c>
      <c r="AI13" s="256">
        <f>40000000+26425000</f>
        <v>66425000</v>
      </c>
      <c r="AJ13" s="257">
        <v>4.7E-2</v>
      </c>
      <c r="AK13" s="241">
        <f t="shared" si="9"/>
        <v>8672.1527777777774</v>
      </c>
      <c r="AL13" s="256">
        <f t="shared" si="10"/>
        <v>155000000</v>
      </c>
      <c r="AM13" s="257">
        <v>4.7399999999999998E-2</v>
      </c>
      <c r="AN13" s="241">
        <f t="shared" si="11"/>
        <v>20408.333333333332</v>
      </c>
      <c r="AO13" s="256">
        <f t="shared" si="12"/>
        <v>80000000</v>
      </c>
      <c r="AP13" s="257">
        <v>4.7500000000000001E-2</v>
      </c>
      <c r="AQ13" s="241">
        <f t="shared" si="13"/>
        <v>10555.555555555555</v>
      </c>
      <c r="AR13" s="256"/>
      <c r="AS13" s="257"/>
      <c r="AT13" s="241">
        <f t="shared" si="14"/>
        <v>0</v>
      </c>
      <c r="AW13" s="241">
        <f t="shared" si="15"/>
        <v>0</v>
      </c>
      <c r="AZ13" s="241">
        <f t="shared" si="16"/>
        <v>0</v>
      </c>
      <c r="BC13" s="241">
        <f t="shared" si="17"/>
        <v>0</v>
      </c>
      <c r="BF13" s="241">
        <f t="shared" si="18"/>
        <v>0</v>
      </c>
      <c r="BI13" s="241">
        <f t="shared" si="19"/>
        <v>0</v>
      </c>
      <c r="BL13" s="241">
        <f t="shared" si="20"/>
        <v>0</v>
      </c>
      <c r="BO13" s="241">
        <f t="shared" si="21"/>
        <v>0</v>
      </c>
      <c r="BR13" s="241">
        <f t="shared" si="22"/>
        <v>0</v>
      </c>
      <c r="BU13" s="241">
        <f t="shared" si="23"/>
        <v>0</v>
      </c>
      <c r="BX13" s="241">
        <f t="shared" si="24"/>
        <v>0</v>
      </c>
      <c r="CA13" s="241">
        <f t="shared" si="25"/>
        <v>0</v>
      </c>
      <c r="CD13" s="241">
        <f t="shared" si="26"/>
        <v>0</v>
      </c>
      <c r="CG13" s="241">
        <f t="shared" si="27"/>
        <v>0</v>
      </c>
      <c r="CJ13" s="241">
        <f t="shared" si="28"/>
        <v>0</v>
      </c>
      <c r="CM13" s="241">
        <f t="shared" si="29"/>
        <v>0</v>
      </c>
      <c r="CP13" s="241">
        <f t="shared" si="30"/>
        <v>0</v>
      </c>
      <c r="CS13" s="241">
        <f t="shared" si="31"/>
        <v>0</v>
      </c>
      <c r="CV13" s="241">
        <f t="shared" si="32"/>
        <v>0</v>
      </c>
      <c r="CY13" s="241">
        <f t="shared" si="33"/>
        <v>0</v>
      </c>
      <c r="DB13" s="241">
        <f t="shared" si="34"/>
        <v>0</v>
      </c>
      <c r="DE13" s="241">
        <f t="shared" si="35"/>
        <v>0</v>
      </c>
      <c r="DH13" s="241">
        <f t="shared" si="36"/>
        <v>0</v>
      </c>
      <c r="DK13" s="241">
        <f t="shared" si="37"/>
        <v>0</v>
      </c>
      <c r="DN13" s="241">
        <f t="shared" si="38"/>
        <v>0</v>
      </c>
      <c r="DQ13" s="241">
        <f t="shared" si="39"/>
        <v>0</v>
      </c>
      <c r="DT13" s="241">
        <f t="shared" si="40"/>
        <v>0</v>
      </c>
      <c r="DW13" s="241">
        <f t="shared" si="41"/>
        <v>0</v>
      </c>
      <c r="DZ13" s="241"/>
      <c r="EA13" s="241"/>
      <c r="EB13" s="261">
        <f t="shared" si="42"/>
        <v>369400000</v>
      </c>
      <c r="EC13" s="261">
        <f t="shared" si="43"/>
        <v>67975000</v>
      </c>
      <c r="ED13" s="241">
        <f t="shared" si="44"/>
        <v>48246.208333333336</v>
      </c>
      <c r="EE13" s="242">
        <f t="shared" si="45"/>
        <v>4.7018502977801836E-2</v>
      </c>
      <c r="EG13" s="261">
        <f t="shared" si="46"/>
        <v>0</v>
      </c>
      <c r="EH13" s="241">
        <f t="shared" si="47"/>
        <v>0</v>
      </c>
      <c r="EI13" s="242">
        <f t="shared" si="48"/>
        <v>0</v>
      </c>
      <c r="EJ13" s="242"/>
      <c r="EK13" s="261">
        <f t="shared" si="49"/>
        <v>301425000</v>
      </c>
      <c r="EL13" s="261">
        <f t="shared" si="50"/>
        <v>0</v>
      </c>
      <c r="EM13" s="261">
        <f t="shared" si="51"/>
        <v>39636.041666666664</v>
      </c>
      <c r="EN13" s="242">
        <f t="shared" si="52"/>
        <v>4.7338392634983822E-2</v>
      </c>
      <c r="EP13" s="241"/>
    </row>
    <row r="14" spans="1:147" x14ac:dyDescent="0.25">
      <c r="A14" s="255">
        <f t="shared" si="53"/>
        <v>45630</v>
      </c>
      <c r="B14" s="241">
        <v>71100000</v>
      </c>
      <c r="C14" s="242">
        <v>4.5599999999999995E-2</v>
      </c>
      <c r="D14" s="241">
        <f t="shared" si="0"/>
        <v>9005.9999999999982</v>
      </c>
      <c r="G14" s="241">
        <f t="shared" si="1"/>
        <v>0</v>
      </c>
      <c r="J14" s="241">
        <f t="shared" si="2"/>
        <v>0</v>
      </c>
      <c r="M14" s="241">
        <f t="shared" si="3"/>
        <v>0</v>
      </c>
      <c r="P14" s="241">
        <f t="shared" si="4"/>
        <v>0</v>
      </c>
      <c r="S14" s="241">
        <f t="shared" si="5"/>
        <v>0</v>
      </c>
      <c r="V14" s="241">
        <f t="shared" si="6"/>
        <v>0</v>
      </c>
      <c r="Y14" s="241">
        <f t="shared" si="7"/>
        <v>0</v>
      </c>
      <c r="AB14" s="241">
        <f t="shared" si="8"/>
        <v>0</v>
      </c>
      <c r="AE14" s="241">
        <v>0</v>
      </c>
      <c r="AH14" s="241">
        <v>0</v>
      </c>
      <c r="AI14" s="256">
        <f>40000000+18875000</f>
        <v>58875000</v>
      </c>
      <c r="AJ14" s="257">
        <v>4.7E-2</v>
      </c>
      <c r="AK14" s="241">
        <f t="shared" si="9"/>
        <v>7686.458333333333</v>
      </c>
      <c r="AL14" s="256">
        <f t="shared" si="10"/>
        <v>155000000</v>
      </c>
      <c r="AM14" s="257">
        <v>4.7399999999999998E-2</v>
      </c>
      <c r="AN14" s="241">
        <f t="shared" si="11"/>
        <v>20408.333333333332</v>
      </c>
      <c r="AO14" s="256">
        <f t="shared" si="12"/>
        <v>80000000</v>
      </c>
      <c r="AP14" s="257">
        <v>4.7500000000000001E-2</v>
      </c>
      <c r="AQ14" s="241">
        <f t="shared" si="13"/>
        <v>10555.555555555555</v>
      </c>
      <c r="AR14" s="256"/>
      <c r="AS14" s="257"/>
      <c r="AT14" s="241">
        <f t="shared" si="14"/>
        <v>0</v>
      </c>
      <c r="AW14" s="241">
        <f t="shared" si="15"/>
        <v>0</v>
      </c>
      <c r="AZ14" s="241">
        <f t="shared" si="16"/>
        <v>0</v>
      </c>
      <c r="BC14" s="241">
        <f t="shared" si="17"/>
        <v>0</v>
      </c>
      <c r="BF14" s="241">
        <f t="shared" si="18"/>
        <v>0</v>
      </c>
      <c r="BI14" s="241">
        <f t="shared" si="19"/>
        <v>0</v>
      </c>
      <c r="BL14" s="241">
        <f t="shared" si="20"/>
        <v>0</v>
      </c>
      <c r="BO14" s="241">
        <f t="shared" si="21"/>
        <v>0</v>
      </c>
      <c r="BR14" s="241">
        <f t="shared" si="22"/>
        <v>0</v>
      </c>
      <c r="BU14" s="241">
        <f t="shared" si="23"/>
        <v>0</v>
      </c>
      <c r="BX14" s="241">
        <f t="shared" si="24"/>
        <v>0</v>
      </c>
      <c r="CA14" s="241">
        <f t="shared" si="25"/>
        <v>0</v>
      </c>
      <c r="CD14" s="241">
        <f t="shared" si="26"/>
        <v>0</v>
      </c>
      <c r="CG14" s="241">
        <f t="shared" si="27"/>
        <v>0</v>
      </c>
      <c r="CJ14" s="241">
        <f t="shared" si="28"/>
        <v>0</v>
      </c>
      <c r="CM14" s="241">
        <f t="shared" si="29"/>
        <v>0</v>
      </c>
      <c r="CP14" s="241">
        <f t="shared" si="30"/>
        <v>0</v>
      </c>
      <c r="CS14" s="241">
        <f t="shared" si="31"/>
        <v>0</v>
      </c>
      <c r="CV14" s="241">
        <f t="shared" si="32"/>
        <v>0</v>
      </c>
      <c r="CY14" s="241">
        <f t="shared" si="33"/>
        <v>0</v>
      </c>
      <c r="DB14" s="241">
        <f t="shared" si="34"/>
        <v>0</v>
      </c>
      <c r="DE14" s="241">
        <f t="shared" si="35"/>
        <v>0</v>
      </c>
      <c r="DH14" s="241">
        <f t="shared" si="36"/>
        <v>0</v>
      </c>
      <c r="DK14" s="241">
        <f t="shared" si="37"/>
        <v>0</v>
      </c>
      <c r="DN14" s="241">
        <f t="shared" si="38"/>
        <v>0</v>
      </c>
      <c r="DQ14" s="241">
        <f t="shared" si="39"/>
        <v>0</v>
      </c>
      <c r="DT14" s="241">
        <f t="shared" si="40"/>
        <v>0</v>
      </c>
      <c r="DW14" s="241">
        <f t="shared" si="41"/>
        <v>0</v>
      </c>
      <c r="DZ14" s="241"/>
      <c r="EA14" s="241"/>
      <c r="EB14" s="261">
        <f t="shared" si="42"/>
        <v>364975000</v>
      </c>
      <c r="EC14" s="261">
        <f t="shared" si="43"/>
        <v>71100000</v>
      </c>
      <c r="ED14" s="241">
        <f t="shared" si="44"/>
        <v>47656.347222222219</v>
      </c>
      <c r="EE14" s="242">
        <f t="shared" si="45"/>
        <v>4.7006740187684089E-2</v>
      </c>
      <c r="EG14" s="261">
        <f t="shared" si="46"/>
        <v>0</v>
      </c>
      <c r="EH14" s="241">
        <f t="shared" si="47"/>
        <v>0</v>
      </c>
      <c r="EI14" s="242">
        <f t="shared" si="48"/>
        <v>0</v>
      </c>
      <c r="EJ14" s="242"/>
      <c r="EK14" s="261">
        <f t="shared" si="49"/>
        <v>293875000</v>
      </c>
      <c r="EL14" s="261">
        <f t="shared" si="50"/>
        <v>0</v>
      </c>
      <c r="EM14" s="261">
        <f t="shared" si="51"/>
        <v>38650.347222222219</v>
      </c>
      <c r="EN14" s="242">
        <f t="shared" si="52"/>
        <v>4.7347086346235634E-2</v>
      </c>
      <c r="EP14" s="241"/>
    </row>
    <row r="15" spans="1:147" x14ac:dyDescent="0.25">
      <c r="A15" s="255">
        <f t="shared" si="53"/>
        <v>45631</v>
      </c>
      <c r="B15" s="241">
        <v>69475000</v>
      </c>
      <c r="C15" s="242">
        <v>4.5700000000000005E-2</v>
      </c>
      <c r="D15" s="241">
        <f t="shared" si="0"/>
        <v>8819.4652777777792</v>
      </c>
      <c r="G15" s="241">
        <f t="shared" si="1"/>
        <v>0</v>
      </c>
      <c r="J15" s="241">
        <f t="shared" si="2"/>
        <v>0</v>
      </c>
      <c r="M15" s="241">
        <f t="shared" si="3"/>
        <v>0</v>
      </c>
      <c r="P15" s="241">
        <f t="shared" si="4"/>
        <v>0</v>
      </c>
      <c r="S15" s="241">
        <f t="shared" si="5"/>
        <v>0</v>
      </c>
      <c r="V15" s="241">
        <f t="shared" si="6"/>
        <v>0</v>
      </c>
      <c r="Y15" s="241">
        <f t="shared" si="7"/>
        <v>0</v>
      </c>
      <c r="AB15" s="241">
        <f t="shared" si="8"/>
        <v>0</v>
      </c>
      <c r="AE15" s="241">
        <v>0</v>
      </c>
      <c r="AH15" s="241">
        <v>0</v>
      </c>
      <c r="AI15" s="256">
        <f>22125000+40000000</f>
        <v>62125000</v>
      </c>
      <c r="AJ15" s="257">
        <v>4.7E-2</v>
      </c>
      <c r="AK15" s="241">
        <f t="shared" si="9"/>
        <v>8110.7638888888887</v>
      </c>
      <c r="AL15" s="256">
        <f t="shared" si="10"/>
        <v>155000000</v>
      </c>
      <c r="AM15" s="257">
        <v>4.7399999999999998E-2</v>
      </c>
      <c r="AN15" s="241">
        <f t="shared" si="11"/>
        <v>20408.333333333332</v>
      </c>
      <c r="AO15" s="256">
        <f t="shared" si="12"/>
        <v>80000000</v>
      </c>
      <c r="AP15" s="257">
        <v>4.7500000000000001E-2</v>
      </c>
      <c r="AQ15" s="241">
        <f t="shared" si="13"/>
        <v>10555.555555555555</v>
      </c>
      <c r="AR15" s="256"/>
      <c r="AS15" s="257"/>
      <c r="AT15" s="241">
        <f t="shared" si="14"/>
        <v>0</v>
      </c>
      <c r="AW15" s="241">
        <f t="shared" si="15"/>
        <v>0</v>
      </c>
      <c r="AZ15" s="241">
        <f t="shared" si="16"/>
        <v>0</v>
      </c>
      <c r="BC15" s="241">
        <f t="shared" si="17"/>
        <v>0</v>
      </c>
      <c r="BF15" s="241">
        <f t="shared" si="18"/>
        <v>0</v>
      </c>
      <c r="BI15" s="241">
        <f t="shared" si="19"/>
        <v>0</v>
      </c>
      <c r="BL15" s="241">
        <f t="shared" si="20"/>
        <v>0</v>
      </c>
      <c r="BO15" s="241">
        <f t="shared" si="21"/>
        <v>0</v>
      </c>
      <c r="BR15" s="241">
        <f t="shared" si="22"/>
        <v>0</v>
      </c>
      <c r="BU15" s="241">
        <f t="shared" si="23"/>
        <v>0</v>
      </c>
      <c r="BX15" s="241">
        <f t="shared" si="24"/>
        <v>0</v>
      </c>
      <c r="CA15" s="241">
        <f t="shared" si="25"/>
        <v>0</v>
      </c>
      <c r="CD15" s="241">
        <f t="shared" si="26"/>
        <v>0</v>
      </c>
      <c r="CG15" s="241">
        <f t="shared" si="27"/>
        <v>0</v>
      </c>
      <c r="CJ15" s="241">
        <f t="shared" si="28"/>
        <v>0</v>
      </c>
      <c r="CM15" s="241">
        <f t="shared" si="29"/>
        <v>0</v>
      </c>
      <c r="CP15" s="241">
        <f t="shared" si="30"/>
        <v>0</v>
      </c>
      <c r="CS15" s="241">
        <f t="shared" si="31"/>
        <v>0</v>
      </c>
      <c r="CV15" s="241">
        <f t="shared" si="32"/>
        <v>0</v>
      </c>
      <c r="CY15" s="241">
        <f t="shared" si="33"/>
        <v>0</v>
      </c>
      <c r="DB15" s="241">
        <f t="shared" si="34"/>
        <v>0</v>
      </c>
      <c r="DE15" s="241">
        <f t="shared" si="35"/>
        <v>0</v>
      </c>
      <c r="DH15" s="241">
        <f t="shared" si="36"/>
        <v>0</v>
      </c>
      <c r="DK15" s="241">
        <f t="shared" si="37"/>
        <v>0</v>
      </c>
      <c r="DN15" s="241">
        <f t="shared" si="38"/>
        <v>0</v>
      </c>
      <c r="DQ15" s="241">
        <f t="shared" si="39"/>
        <v>0</v>
      </c>
      <c r="DT15" s="241">
        <f t="shared" si="40"/>
        <v>0</v>
      </c>
      <c r="DW15" s="241">
        <f t="shared" si="41"/>
        <v>0</v>
      </c>
      <c r="DZ15" s="241"/>
      <c r="EA15" s="241"/>
      <c r="EB15" s="261">
        <f t="shared" si="42"/>
        <v>366600000</v>
      </c>
      <c r="EC15" s="261">
        <f t="shared" si="43"/>
        <v>69475000</v>
      </c>
      <c r="ED15" s="241">
        <f t="shared" si="44"/>
        <v>47894.118055555555</v>
      </c>
      <c r="EE15" s="242">
        <f t="shared" si="45"/>
        <v>4.7031867157665032E-2</v>
      </c>
      <c r="EG15" s="261">
        <f t="shared" si="46"/>
        <v>0</v>
      </c>
      <c r="EH15" s="241">
        <f t="shared" si="47"/>
        <v>0</v>
      </c>
      <c r="EI15" s="242">
        <f t="shared" si="48"/>
        <v>0</v>
      </c>
      <c r="EJ15" s="242"/>
      <c r="EK15" s="261">
        <f t="shared" si="49"/>
        <v>297125000</v>
      </c>
      <c r="EL15" s="261">
        <f t="shared" si="50"/>
        <v>0</v>
      </c>
      <c r="EM15" s="261">
        <f t="shared" si="51"/>
        <v>39074.652777777774</v>
      </c>
      <c r="EN15" s="242">
        <f t="shared" si="52"/>
        <v>4.7343289861169542E-2</v>
      </c>
      <c r="EP15" s="241"/>
    </row>
    <row r="16" spans="1:147" x14ac:dyDescent="0.25">
      <c r="A16" s="255">
        <f t="shared" si="53"/>
        <v>45632</v>
      </c>
      <c r="B16" s="241">
        <v>60675000</v>
      </c>
      <c r="C16" s="242">
        <v>4.5700000000000005E-2</v>
      </c>
      <c r="D16" s="241">
        <f t="shared" si="0"/>
        <v>7702.3541666666679</v>
      </c>
      <c r="G16" s="241">
        <f t="shared" si="1"/>
        <v>0</v>
      </c>
      <c r="J16" s="241">
        <f t="shared" si="2"/>
        <v>0</v>
      </c>
      <c r="M16" s="241">
        <f t="shared" si="3"/>
        <v>0</v>
      </c>
      <c r="P16" s="241">
        <f t="shared" si="4"/>
        <v>0</v>
      </c>
      <c r="S16" s="241">
        <f t="shared" si="5"/>
        <v>0</v>
      </c>
      <c r="V16" s="241">
        <f t="shared" si="6"/>
        <v>0</v>
      </c>
      <c r="Y16" s="241">
        <f t="shared" si="7"/>
        <v>0</v>
      </c>
      <c r="AB16" s="241">
        <f t="shared" si="8"/>
        <v>0</v>
      </c>
      <c r="AE16" s="241">
        <v>0</v>
      </c>
      <c r="AH16" s="241">
        <v>0</v>
      </c>
      <c r="AI16" s="256">
        <f>32775000+50000000</f>
        <v>82775000</v>
      </c>
      <c r="AJ16" s="257">
        <v>4.7E-2</v>
      </c>
      <c r="AK16" s="241">
        <f t="shared" si="9"/>
        <v>10806.736111111111</v>
      </c>
      <c r="AL16" s="256">
        <f t="shared" si="10"/>
        <v>155000000</v>
      </c>
      <c r="AM16" s="257">
        <v>4.7399999999999998E-2</v>
      </c>
      <c r="AN16" s="241">
        <f t="shared" si="11"/>
        <v>20408.333333333332</v>
      </c>
      <c r="AO16" s="256">
        <f t="shared" si="12"/>
        <v>80000000</v>
      </c>
      <c r="AP16" s="257">
        <v>4.7500000000000001E-2</v>
      </c>
      <c r="AQ16" s="241">
        <f t="shared" si="13"/>
        <v>10555.555555555555</v>
      </c>
      <c r="AR16" s="256"/>
      <c r="AS16" s="257"/>
      <c r="AT16" s="241">
        <f t="shared" si="14"/>
        <v>0</v>
      </c>
      <c r="AW16" s="241">
        <f t="shared" si="15"/>
        <v>0</v>
      </c>
      <c r="AZ16" s="241">
        <f t="shared" si="16"/>
        <v>0</v>
      </c>
      <c r="BC16" s="241">
        <f t="shared" si="17"/>
        <v>0</v>
      </c>
      <c r="BF16" s="241">
        <f t="shared" si="18"/>
        <v>0</v>
      </c>
      <c r="BI16" s="241">
        <f t="shared" si="19"/>
        <v>0</v>
      </c>
      <c r="BL16" s="241">
        <f t="shared" si="20"/>
        <v>0</v>
      </c>
      <c r="BO16" s="241">
        <f t="shared" si="21"/>
        <v>0</v>
      </c>
      <c r="BR16" s="241">
        <f t="shared" si="22"/>
        <v>0</v>
      </c>
      <c r="BU16" s="241">
        <f t="shared" si="23"/>
        <v>0</v>
      </c>
      <c r="BX16" s="241">
        <f t="shared" si="24"/>
        <v>0</v>
      </c>
      <c r="CA16" s="241">
        <f t="shared" si="25"/>
        <v>0</v>
      </c>
      <c r="CD16" s="241">
        <f t="shared" si="26"/>
        <v>0</v>
      </c>
      <c r="CG16" s="241">
        <f t="shared" si="27"/>
        <v>0</v>
      </c>
      <c r="CJ16" s="241">
        <f t="shared" si="28"/>
        <v>0</v>
      </c>
      <c r="CM16" s="241">
        <f t="shared" si="29"/>
        <v>0</v>
      </c>
      <c r="CP16" s="241">
        <f t="shared" si="30"/>
        <v>0</v>
      </c>
      <c r="CS16" s="241">
        <f t="shared" si="31"/>
        <v>0</v>
      </c>
      <c r="CV16" s="241">
        <f t="shared" si="32"/>
        <v>0</v>
      </c>
      <c r="CY16" s="241">
        <f t="shared" si="33"/>
        <v>0</v>
      </c>
      <c r="DB16" s="241">
        <f t="shared" si="34"/>
        <v>0</v>
      </c>
      <c r="DE16" s="241">
        <f t="shared" si="35"/>
        <v>0</v>
      </c>
      <c r="DH16" s="241">
        <f t="shared" si="36"/>
        <v>0</v>
      </c>
      <c r="DK16" s="241">
        <f t="shared" si="37"/>
        <v>0</v>
      </c>
      <c r="DN16" s="241">
        <f t="shared" si="38"/>
        <v>0</v>
      </c>
      <c r="DQ16" s="241">
        <f t="shared" si="39"/>
        <v>0</v>
      </c>
      <c r="DT16" s="241">
        <f t="shared" si="40"/>
        <v>0</v>
      </c>
      <c r="DW16" s="241">
        <f t="shared" si="41"/>
        <v>0</v>
      </c>
      <c r="DZ16" s="241"/>
      <c r="EA16" s="241"/>
      <c r="EB16" s="261">
        <f t="shared" si="42"/>
        <v>378450000</v>
      </c>
      <c r="EC16" s="261">
        <f t="shared" si="43"/>
        <v>60675000</v>
      </c>
      <c r="ED16" s="241">
        <f t="shared" si="44"/>
        <v>49472.979166666664</v>
      </c>
      <c r="EE16" s="242">
        <f t="shared" si="45"/>
        <v>4.7061097899326193E-2</v>
      </c>
      <c r="EG16" s="261">
        <f t="shared" si="46"/>
        <v>0</v>
      </c>
      <c r="EH16" s="241">
        <f t="shared" si="47"/>
        <v>0</v>
      </c>
      <c r="EI16" s="242">
        <f t="shared" si="48"/>
        <v>0</v>
      </c>
      <c r="EJ16" s="242"/>
      <c r="EK16" s="261">
        <f t="shared" si="49"/>
        <v>317775000</v>
      </c>
      <c r="EL16" s="261">
        <f t="shared" si="50"/>
        <v>0</v>
      </c>
      <c r="EM16" s="261">
        <f t="shared" si="51"/>
        <v>41770.625</v>
      </c>
      <c r="EN16" s="242">
        <f t="shared" si="52"/>
        <v>4.7320981826764218E-2</v>
      </c>
      <c r="EP16" s="241"/>
    </row>
    <row r="17" spans="1:146" x14ac:dyDescent="0.25">
      <c r="A17" s="255">
        <f t="shared" si="53"/>
        <v>45633</v>
      </c>
      <c r="B17" s="241">
        <v>60675000</v>
      </c>
      <c r="C17" s="242">
        <v>4.5700000000000005E-2</v>
      </c>
      <c r="D17" s="241">
        <f t="shared" si="0"/>
        <v>7702.3541666666679</v>
      </c>
      <c r="G17" s="241">
        <f t="shared" si="1"/>
        <v>0</v>
      </c>
      <c r="J17" s="241">
        <f t="shared" si="2"/>
        <v>0</v>
      </c>
      <c r="M17" s="241">
        <f t="shared" si="3"/>
        <v>0</v>
      </c>
      <c r="P17" s="241">
        <f t="shared" si="4"/>
        <v>0</v>
      </c>
      <c r="S17" s="241">
        <f t="shared" si="5"/>
        <v>0</v>
      </c>
      <c r="V17" s="241">
        <f t="shared" si="6"/>
        <v>0</v>
      </c>
      <c r="Y17" s="241">
        <f t="shared" si="7"/>
        <v>0</v>
      </c>
      <c r="AB17" s="241">
        <f t="shared" si="8"/>
        <v>0</v>
      </c>
      <c r="AE17" s="241">
        <v>0</v>
      </c>
      <c r="AH17" s="241">
        <v>0</v>
      </c>
      <c r="AI17" s="256">
        <f>32775000+50000000</f>
        <v>82775000</v>
      </c>
      <c r="AJ17" s="257">
        <v>4.7E-2</v>
      </c>
      <c r="AK17" s="241">
        <f t="shared" si="9"/>
        <v>10806.736111111111</v>
      </c>
      <c r="AL17" s="256">
        <f t="shared" si="10"/>
        <v>155000000</v>
      </c>
      <c r="AM17" s="257">
        <v>4.7399999999999998E-2</v>
      </c>
      <c r="AN17" s="241">
        <f t="shared" si="11"/>
        <v>20408.333333333332</v>
      </c>
      <c r="AO17" s="256">
        <f t="shared" si="12"/>
        <v>80000000</v>
      </c>
      <c r="AP17" s="257">
        <v>4.7500000000000001E-2</v>
      </c>
      <c r="AQ17" s="241">
        <f t="shared" si="13"/>
        <v>10555.555555555555</v>
      </c>
      <c r="AR17" s="256"/>
      <c r="AS17" s="257"/>
      <c r="AT17" s="241">
        <f t="shared" si="14"/>
        <v>0</v>
      </c>
      <c r="AW17" s="241">
        <f t="shared" si="15"/>
        <v>0</v>
      </c>
      <c r="AZ17" s="241">
        <f t="shared" si="16"/>
        <v>0</v>
      </c>
      <c r="BC17" s="241">
        <f t="shared" si="17"/>
        <v>0</v>
      </c>
      <c r="BF17" s="241">
        <f t="shared" si="18"/>
        <v>0</v>
      </c>
      <c r="BI17" s="241">
        <f t="shared" si="19"/>
        <v>0</v>
      </c>
      <c r="BL17" s="241">
        <f t="shared" si="20"/>
        <v>0</v>
      </c>
      <c r="BO17" s="241">
        <f t="shared" si="21"/>
        <v>0</v>
      </c>
      <c r="BR17" s="241">
        <f t="shared" si="22"/>
        <v>0</v>
      </c>
      <c r="BU17" s="241">
        <f t="shared" si="23"/>
        <v>0</v>
      </c>
      <c r="BX17" s="241">
        <f t="shared" si="24"/>
        <v>0</v>
      </c>
      <c r="CA17" s="241">
        <f t="shared" si="25"/>
        <v>0</v>
      </c>
      <c r="CD17" s="241">
        <f t="shared" si="26"/>
        <v>0</v>
      </c>
      <c r="CG17" s="241">
        <f t="shared" si="27"/>
        <v>0</v>
      </c>
      <c r="CJ17" s="241">
        <f t="shared" si="28"/>
        <v>0</v>
      </c>
      <c r="CM17" s="241">
        <f t="shared" si="29"/>
        <v>0</v>
      </c>
      <c r="CP17" s="241">
        <f t="shared" si="30"/>
        <v>0</v>
      </c>
      <c r="CS17" s="241">
        <f t="shared" si="31"/>
        <v>0</v>
      </c>
      <c r="CV17" s="241">
        <f t="shared" si="32"/>
        <v>0</v>
      </c>
      <c r="CY17" s="241">
        <f t="shared" si="33"/>
        <v>0</v>
      </c>
      <c r="DB17" s="241">
        <f t="shared" si="34"/>
        <v>0</v>
      </c>
      <c r="DE17" s="241">
        <f t="shared" si="35"/>
        <v>0</v>
      </c>
      <c r="DH17" s="241">
        <f t="shared" si="36"/>
        <v>0</v>
      </c>
      <c r="DK17" s="241">
        <f t="shared" si="37"/>
        <v>0</v>
      </c>
      <c r="DN17" s="241">
        <f t="shared" si="38"/>
        <v>0</v>
      </c>
      <c r="DQ17" s="241">
        <f t="shared" si="39"/>
        <v>0</v>
      </c>
      <c r="DT17" s="241">
        <f t="shared" si="40"/>
        <v>0</v>
      </c>
      <c r="DW17" s="241">
        <f t="shared" si="41"/>
        <v>0</v>
      </c>
      <c r="DZ17" s="241"/>
      <c r="EA17" s="241"/>
      <c r="EB17" s="261">
        <f t="shared" si="42"/>
        <v>378450000</v>
      </c>
      <c r="EC17" s="261">
        <f t="shared" si="43"/>
        <v>60675000</v>
      </c>
      <c r="ED17" s="241">
        <f t="shared" si="44"/>
        <v>49472.979166666664</v>
      </c>
      <c r="EE17" s="242">
        <f t="shared" si="45"/>
        <v>4.7061097899326193E-2</v>
      </c>
      <c r="EG17" s="261">
        <f t="shared" si="46"/>
        <v>0</v>
      </c>
      <c r="EH17" s="241">
        <f t="shared" si="47"/>
        <v>0</v>
      </c>
      <c r="EI17" s="242">
        <f t="shared" si="48"/>
        <v>0</v>
      </c>
      <c r="EJ17" s="242"/>
      <c r="EK17" s="261">
        <f t="shared" si="49"/>
        <v>317775000</v>
      </c>
      <c r="EL17" s="261">
        <f t="shared" si="50"/>
        <v>0</v>
      </c>
      <c r="EM17" s="261">
        <f t="shared" si="51"/>
        <v>41770.625</v>
      </c>
      <c r="EN17" s="242">
        <f t="shared" si="52"/>
        <v>4.7320981826764218E-2</v>
      </c>
      <c r="EP17" s="241"/>
    </row>
    <row r="18" spans="1:146" x14ac:dyDescent="0.25">
      <c r="A18" s="255">
        <f t="shared" si="53"/>
        <v>45634</v>
      </c>
      <c r="B18" s="241">
        <v>60675000</v>
      </c>
      <c r="C18" s="242">
        <v>4.5700000000000005E-2</v>
      </c>
      <c r="D18" s="241">
        <f t="shared" si="0"/>
        <v>7702.3541666666679</v>
      </c>
      <c r="G18" s="241">
        <f t="shared" si="1"/>
        <v>0</v>
      </c>
      <c r="J18" s="241">
        <f t="shared" si="2"/>
        <v>0</v>
      </c>
      <c r="M18" s="241">
        <f t="shared" si="3"/>
        <v>0</v>
      </c>
      <c r="P18" s="241">
        <f t="shared" si="4"/>
        <v>0</v>
      </c>
      <c r="S18" s="241">
        <f t="shared" si="5"/>
        <v>0</v>
      </c>
      <c r="V18" s="241">
        <f t="shared" si="6"/>
        <v>0</v>
      </c>
      <c r="Y18" s="241">
        <f t="shared" si="7"/>
        <v>0</v>
      </c>
      <c r="AB18" s="241">
        <f t="shared" si="8"/>
        <v>0</v>
      </c>
      <c r="AE18" s="241">
        <v>0</v>
      </c>
      <c r="AH18" s="241">
        <v>0</v>
      </c>
      <c r="AI18" s="256">
        <f>32775000+50000000</f>
        <v>82775000</v>
      </c>
      <c r="AJ18" s="257">
        <v>4.7E-2</v>
      </c>
      <c r="AK18" s="241">
        <f t="shared" si="9"/>
        <v>10806.736111111111</v>
      </c>
      <c r="AL18" s="256">
        <f t="shared" si="10"/>
        <v>155000000</v>
      </c>
      <c r="AM18" s="257">
        <v>4.7399999999999998E-2</v>
      </c>
      <c r="AN18" s="241">
        <f t="shared" si="11"/>
        <v>20408.333333333332</v>
      </c>
      <c r="AO18" s="256">
        <f t="shared" si="12"/>
        <v>80000000</v>
      </c>
      <c r="AP18" s="257">
        <v>4.7500000000000001E-2</v>
      </c>
      <c r="AQ18" s="241">
        <f t="shared" si="13"/>
        <v>10555.555555555555</v>
      </c>
      <c r="AR18" s="256"/>
      <c r="AS18" s="257"/>
      <c r="AT18" s="241">
        <f t="shared" si="14"/>
        <v>0</v>
      </c>
      <c r="AW18" s="241">
        <f t="shared" si="15"/>
        <v>0</v>
      </c>
      <c r="AZ18" s="241">
        <f t="shared" si="16"/>
        <v>0</v>
      </c>
      <c r="BC18" s="241">
        <f t="shared" si="17"/>
        <v>0</v>
      </c>
      <c r="BF18" s="241">
        <f t="shared" si="18"/>
        <v>0</v>
      </c>
      <c r="BI18" s="241">
        <f t="shared" si="19"/>
        <v>0</v>
      </c>
      <c r="BL18" s="241">
        <f t="shared" si="20"/>
        <v>0</v>
      </c>
      <c r="BO18" s="241">
        <f t="shared" si="21"/>
        <v>0</v>
      </c>
      <c r="BR18" s="241">
        <f t="shared" si="22"/>
        <v>0</v>
      </c>
      <c r="BU18" s="241">
        <f t="shared" si="23"/>
        <v>0</v>
      </c>
      <c r="BX18" s="241">
        <f t="shared" si="24"/>
        <v>0</v>
      </c>
      <c r="CA18" s="241">
        <f t="shared" si="25"/>
        <v>0</v>
      </c>
      <c r="CD18" s="241">
        <f t="shared" si="26"/>
        <v>0</v>
      </c>
      <c r="CG18" s="241">
        <f t="shared" si="27"/>
        <v>0</v>
      </c>
      <c r="CJ18" s="241">
        <f t="shared" si="28"/>
        <v>0</v>
      </c>
      <c r="CM18" s="241">
        <f t="shared" si="29"/>
        <v>0</v>
      </c>
      <c r="CP18" s="241">
        <f t="shared" si="30"/>
        <v>0</v>
      </c>
      <c r="CS18" s="241">
        <f t="shared" si="31"/>
        <v>0</v>
      </c>
      <c r="CV18" s="241">
        <f t="shared" si="32"/>
        <v>0</v>
      </c>
      <c r="CY18" s="241">
        <f t="shared" si="33"/>
        <v>0</v>
      </c>
      <c r="DB18" s="241">
        <f t="shared" si="34"/>
        <v>0</v>
      </c>
      <c r="DE18" s="241">
        <f t="shared" si="35"/>
        <v>0</v>
      </c>
      <c r="DH18" s="241">
        <f t="shared" si="36"/>
        <v>0</v>
      </c>
      <c r="DK18" s="241">
        <f t="shared" si="37"/>
        <v>0</v>
      </c>
      <c r="DN18" s="241">
        <f t="shared" si="38"/>
        <v>0</v>
      </c>
      <c r="DQ18" s="241">
        <f t="shared" si="39"/>
        <v>0</v>
      </c>
      <c r="DT18" s="241">
        <f t="shared" si="40"/>
        <v>0</v>
      </c>
      <c r="DW18" s="241">
        <f t="shared" si="41"/>
        <v>0</v>
      </c>
      <c r="DZ18" s="241"/>
      <c r="EA18" s="241"/>
      <c r="EB18" s="261">
        <f t="shared" si="42"/>
        <v>378450000</v>
      </c>
      <c r="EC18" s="261">
        <f t="shared" si="43"/>
        <v>60675000</v>
      </c>
      <c r="ED18" s="241">
        <f t="shared" si="44"/>
        <v>49472.979166666664</v>
      </c>
      <c r="EE18" s="242">
        <f t="shared" si="45"/>
        <v>4.7061097899326193E-2</v>
      </c>
      <c r="EG18" s="261">
        <f t="shared" si="46"/>
        <v>0</v>
      </c>
      <c r="EH18" s="241">
        <f t="shared" si="47"/>
        <v>0</v>
      </c>
      <c r="EI18" s="242">
        <f t="shared" si="48"/>
        <v>0</v>
      </c>
      <c r="EJ18" s="242"/>
      <c r="EK18" s="261">
        <f t="shared" si="49"/>
        <v>317775000</v>
      </c>
      <c r="EL18" s="261">
        <f t="shared" si="50"/>
        <v>0</v>
      </c>
      <c r="EM18" s="261">
        <f t="shared" si="51"/>
        <v>41770.625</v>
      </c>
      <c r="EN18" s="242">
        <f t="shared" si="52"/>
        <v>4.7320981826764218E-2</v>
      </c>
      <c r="EP18" s="241"/>
    </row>
    <row r="19" spans="1:146" x14ac:dyDescent="0.25">
      <c r="A19" s="255">
        <f t="shared" si="53"/>
        <v>45635</v>
      </c>
      <c r="B19" s="241">
        <v>53900000</v>
      </c>
      <c r="C19" s="242">
        <v>4.5700000000000005E-2</v>
      </c>
      <c r="D19" s="241">
        <f t="shared" si="0"/>
        <v>6842.3055555555566</v>
      </c>
      <c r="G19" s="241">
        <f t="shared" si="1"/>
        <v>0</v>
      </c>
      <c r="J19" s="241">
        <f t="shared" si="2"/>
        <v>0</v>
      </c>
      <c r="M19" s="241">
        <f t="shared" si="3"/>
        <v>0</v>
      </c>
      <c r="P19" s="241">
        <f t="shared" si="4"/>
        <v>0</v>
      </c>
      <c r="S19" s="241">
        <f t="shared" si="5"/>
        <v>0</v>
      </c>
      <c r="V19" s="241">
        <f t="shared" si="6"/>
        <v>0</v>
      </c>
      <c r="Y19" s="241">
        <f t="shared" si="7"/>
        <v>0</v>
      </c>
      <c r="AB19" s="241">
        <f t="shared" si="8"/>
        <v>0</v>
      </c>
      <c r="AE19" s="241">
        <v>0</v>
      </c>
      <c r="AH19" s="241">
        <v>0</v>
      </c>
      <c r="AI19" s="256">
        <f>50000000+43625000</f>
        <v>93625000</v>
      </c>
      <c r="AJ19" s="257">
        <v>4.7E-2</v>
      </c>
      <c r="AK19" s="241">
        <f t="shared" si="9"/>
        <v>12223.263888888889</v>
      </c>
      <c r="AL19" s="256">
        <f>95000000</f>
        <v>95000000</v>
      </c>
      <c r="AM19" s="257">
        <v>4.7399999999999998E-2</v>
      </c>
      <c r="AN19" s="241">
        <f t="shared" si="11"/>
        <v>12508.333333333334</v>
      </c>
      <c r="AO19" s="256">
        <f t="shared" si="12"/>
        <v>80000000</v>
      </c>
      <c r="AP19" s="257">
        <v>4.7500000000000001E-2</v>
      </c>
      <c r="AQ19" s="241">
        <f t="shared" si="13"/>
        <v>10555.555555555555</v>
      </c>
      <c r="AR19" s="256">
        <f>60000000</f>
        <v>60000000</v>
      </c>
      <c r="AS19" s="257">
        <v>4.7300000000000002E-2</v>
      </c>
      <c r="AT19" s="241">
        <f t="shared" si="14"/>
        <v>7883.333333333333</v>
      </c>
      <c r="AW19" s="241">
        <f t="shared" si="15"/>
        <v>0</v>
      </c>
      <c r="AZ19" s="241">
        <f t="shared" si="16"/>
        <v>0</v>
      </c>
      <c r="BC19" s="241">
        <f t="shared" si="17"/>
        <v>0</v>
      </c>
      <c r="BF19" s="241">
        <f t="shared" si="18"/>
        <v>0</v>
      </c>
      <c r="BI19" s="241">
        <f t="shared" si="19"/>
        <v>0</v>
      </c>
      <c r="BL19" s="241">
        <f t="shared" si="20"/>
        <v>0</v>
      </c>
      <c r="BO19" s="241">
        <f t="shared" si="21"/>
        <v>0</v>
      </c>
      <c r="BR19" s="241">
        <f t="shared" si="22"/>
        <v>0</v>
      </c>
      <c r="BU19" s="241">
        <f t="shared" si="23"/>
        <v>0</v>
      </c>
      <c r="BX19" s="241">
        <f t="shared" si="24"/>
        <v>0</v>
      </c>
      <c r="CA19" s="241">
        <f t="shared" si="25"/>
        <v>0</v>
      </c>
      <c r="CD19" s="241">
        <f t="shared" si="26"/>
        <v>0</v>
      </c>
      <c r="CG19" s="241">
        <f t="shared" si="27"/>
        <v>0</v>
      </c>
      <c r="CJ19" s="241">
        <f t="shared" si="28"/>
        <v>0</v>
      </c>
      <c r="CM19" s="241">
        <f t="shared" si="29"/>
        <v>0</v>
      </c>
      <c r="CP19" s="241">
        <f t="shared" si="30"/>
        <v>0</v>
      </c>
      <c r="CS19" s="241">
        <f t="shared" si="31"/>
        <v>0</v>
      </c>
      <c r="CV19" s="241">
        <f t="shared" si="32"/>
        <v>0</v>
      </c>
      <c r="CY19" s="241">
        <f t="shared" si="33"/>
        <v>0</v>
      </c>
      <c r="DB19" s="241">
        <f t="shared" si="34"/>
        <v>0</v>
      </c>
      <c r="DE19" s="241">
        <f t="shared" si="35"/>
        <v>0</v>
      </c>
      <c r="DH19" s="241">
        <f t="shared" si="36"/>
        <v>0</v>
      </c>
      <c r="DK19" s="241">
        <f t="shared" si="37"/>
        <v>0</v>
      </c>
      <c r="DN19" s="241">
        <f t="shared" si="38"/>
        <v>0</v>
      </c>
      <c r="DQ19" s="241">
        <f t="shared" si="39"/>
        <v>0</v>
      </c>
      <c r="DT19" s="241">
        <f t="shared" si="40"/>
        <v>0</v>
      </c>
      <c r="DW19" s="241">
        <f t="shared" si="41"/>
        <v>0</v>
      </c>
      <c r="DZ19" s="241"/>
      <c r="EA19" s="241"/>
      <c r="EB19" s="261">
        <f t="shared" si="42"/>
        <v>382525000</v>
      </c>
      <c r="EC19" s="261">
        <f t="shared" si="43"/>
        <v>53900000</v>
      </c>
      <c r="ED19" s="241">
        <f t="shared" si="44"/>
        <v>50012.791666666672</v>
      </c>
      <c r="EE19" s="242">
        <f t="shared" si="45"/>
        <v>4.7067786419188296E-2</v>
      </c>
      <c r="EG19" s="261">
        <f t="shared" si="46"/>
        <v>0</v>
      </c>
      <c r="EH19" s="241">
        <f t="shared" si="47"/>
        <v>0</v>
      </c>
      <c r="EI19" s="242">
        <f t="shared" si="48"/>
        <v>0</v>
      </c>
      <c r="EJ19" s="242"/>
      <c r="EK19" s="261">
        <f t="shared" si="49"/>
        <v>328625000</v>
      </c>
      <c r="EL19" s="261">
        <f t="shared" si="50"/>
        <v>0</v>
      </c>
      <c r="EM19" s="261">
        <f t="shared" si="51"/>
        <v>43170.486111111109</v>
      </c>
      <c r="EN19" s="242">
        <f t="shared" si="52"/>
        <v>4.7292126283758083E-2</v>
      </c>
      <c r="EP19" s="241"/>
    </row>
    <row r="20" spans="1:146" x14ac:dyDescent="0.25">
      <c r="A20" s="255">
        <f t="shared" si="53"/>
        <v>45636</v>
      </c>
      <c r="B20" s="241">
        <v>61650000</v>
      </c>
      <c r="C20" s="242">
        <v>4.4900000000000002E-2</v>
      </c>
      <c r="D20" s="241">
        <f t="shared" si="0"/>
        <v>7689.125</v>
      </c>
      <c r="G20" s="241">
        <f t="shared" si="1"/>
        <v>0</v>
      </c>
      <c r="J20" s="241">
        <f t="shared" si="2"/>
        <v>0</v>
      </c>
      <c r="M20" s="241">
        <f t="shared" si="3"/>
        <v>0</v>
      </c>
      <c r="P20" s="241">
        <f t="shared" si="4"/>
        <v>0</v>
      </c>
      <c r="S20" s="241">
        <f t="shared" si="5"/>
        <v>0</v>
      </c>
      <c r="V20" s="241">
        <f t="shared" si="6"/>
        <v>0</v>
      </c>
      <c r="Y20" s="241">
        <f t="shared" si="7"/>
        <v>0</v>
      </c>
      <c r="AB20" s="241">
        <f t="shared" si="8"/>
        <v>0</v>
      </c>
      <c r="AE20" s="241">
        <v>0</v>
      </c>
      <c r="AH20" s="241">
        <v>0</v>
      </c>
      <c r="AI20" s="256">
        <f>34425000</f>
        <v>34425000</v>
      </c>
      <c r="AJ20" s="257">
        <v>4.7E-2</v>
      </c>
      <c r="AK20" s="241">
        <f t="shared" si="9"/>
        <v>4494.375</v>
      </c>
      <c r="AL20" s="256">
        <f>95000000</f>
        <v>95000000</v>
      </c>
      <c r="AM20" s="257">
        <v>4.7399999999999998E-2</v>
      </c>
      <c r="AN20" s="241">
        <f t="shared" si="11"/>
        <v>12508.333333333334</v>
      </c>
      <c r="AO20" s="256">
        <f>80000000+50000000</f>
        <v>130000000</v>
      </c>
      <c r="AP20" s="257">
        <v>4.7500000000000001E-2</v>
      </c>
      <c r="AQ20" s="241">
        <f t="shared" si="13"/>
        <v>17152.777777777777</v>
      </c>
      <c r="AR20" s="256">
        <f>60000000</f>
        <v>60000000</v>
      </c>
      <c r="AS20" s="257">
        <v>4.7300000000000002E-2</v>
      </c>
      <c r="AT20" s="241">
        <f t="shared" si="14"/>
        <v>7883.333333333333</v>
      </c>
      <c r="AW20" s="241">
        <f t="shared" si="15"/>
        <v>0</v>
      </c>
      <c r="AZ20" s="241">
        <f t="shared" si="16"/>
        <v>0</v>
      </c>
      <c r="BC20" s="241">
        <f t="shared" si="17"/>
        <v>0</v>
      </c>
      <c r="BF20" s="241">
        <f t="shared" si="18"/>
        <v>0</v>
      </c>
      <c r="BI20" s="241">
        <f t="shared" si="19"/>
        <v>0</v>
      </c>
      <c r="BL20" s="241">
        <f t="shared" si="20"/>
        <v>0</v>
      </c>
      <c r="BO20" s="241">
        <f t="shared" si="21"/>
        <v>0</v>
      </c>
      <c r="BR20" s="241">
        <f t="shared" si="22"/>
        <v>0</v>
      </c>
      <c r="BU20" s="241">
        <f t="shared" si="23"/>
        <v>0</v>
      </c>
      <c r="BX20" s="241">
        <f t="shared" si="24"/>
        <v>0</v>
      </c>
      <c r="CA20" s="241">
        <f t="shared" si="25"/>
        <v>0</v>
      </c>
      <c r="CD20" s="241">
        <f t="shared" si="26"/>
        <v>0</v>
      </c>
      <c r="CG20" s="241">
        <f t="shared" si="27"/>
        <v>0</v>
      </c>
      <c r="CJ20" s="241">
        <f t="shared" si="28"/>
        <v>0</v>
      </c>
      <c r="CM20" s="241">
        <f t="shared" si="29"/>
        <v>0</v>
      </c>
      <c r="CP20" s="241">
        <f t="shared" si="30"/>
        <v>0</v>
      </c>
      <c r="CS20" s="241">
        <f t="shared" si="31"/>
        <v>0</v>
      </c>
      <c r="CV20" s="241">
        <f t="shared" si="32"/>
        <v>0</v>
      </c>
      <c r="CY20" s="241">
        <f t="shared" si="33"/>
        <v>0</v>
      </c>
      <c r="DB20" s="241">
        <f t="shared" si="34"/>
        <v>0</v>
      </c>
      <c r="DE20" s="241">
        <f t="shared" si="35"/>
        <v>0</v>
      </c>
      <c r="DH20" s="241">
        <f t="shared" si="36"/>
        <v>0</v>
      </c>
      <c r="DK20" s="241">
        <f t="shared" si="37"/>
        <v>0</v>
      </c>
      <c r="DN20" s="241">
        <f t="shared" si="38"/>
        <v>0</v>
      </c>
      <c r="DQ20" s="241">
        <f t="shared" si="39"/>
        <v>0</v>
      </c>
      <c r="DT20" s="241">
        <f t="shared" si="40"/>
        <v>0</v>
      </c>
      <c r="DW20" s="241">
        <f t="shared" si="41"/>
        <v>0</v>
      </c>
      <c r="DZ20" s="241"/>
      <c r="EA20" s="241"/>
      <c r="EB20" s="261">
        <f t="shared" si="42"/>
        <v>381075000</v>
      </c>
      <c r="EC20" s="261">
        <f t="shared" si="43"/>
        <v>61650000</v>
      </c>
      <c r="ED20" s="241">
        <f t="shared" si="44"/>
        <v>49727.944444444445</v>
      </c>
      <c r="EE20" s="242">
        <f t="shared" si="45"/>
        <v>4.6977786524962276E-2</v>
      </c>
      <c r="EG20" s="261">
        <f t="shared" si="46"/>
        <v>0</v>
      </c>
      <c r="EH20" s="241">
        <f t="shared" si="47"/>
        <v>0</v>
      </c>
      <c r="EI20" s="242">
        <f t="shared" si="48"/>
        <v>0</v>
      </c>
      <c r="EJ20" s="242"/>
      <c r="EK20" s="261">
        <f t="shared" si="49"/>
        <v>319425000</v>
      </c>
      <c r="EL20" s="261">
        <f t="shared" si="50"/>
        <v>0</v>
      </c>
      <c r="EM20" s="261">
        <f t="shared" si="51"/>
        <v>42038.819444444445</v>
      </c>
      <c r="EN20" s="242">
        <f t="shared" si="52"/>
        <v>4.7378805666431871E-2</v>
      </c>
      <c r="EP20" s="241"/>
    </row>
    <row r="21" spans="1:146" x14ac:dyDescent="0.25">
      <c r="A21" s="255">
        <f t="shared" si="53"/>
        <v>45637</v>
      </c>
      <c r="B21" s="241">
        <v>59700000</v>
      </c>
      <c r="C21" s="242">
        <v>4.4900000000000002E-2</v>
      </c>
      <c r="D21" s="241">
        <f t="shared" si="0"/>
        <v>7445.916666666667</v>
      </c>
      <c r="G21" s="241">
        <f t="shared" si="1"/>
        <v>0</v>
      </c>
      <c r="J21" s="241">
        <f t="shared" si="2"/>
        <v>0</v>
      </c>
      <c r="M21" s="241">
        <f t="shared" si="3"/>
        <v>0</v>
      </c>
      <c r="P21" s="241">
        <f t="shared" si="4"/>
        <v>0</v>
      </c>
      <c r="S21" s="241">
        <f t="shared" si="5"/>
        <v>0</v>
      </c>
      <c r="V21" s="241">
        <f t="shared" si="6"/>
        <v>0</v>
      </c>
      <c r="Y21" s="241">
        <f t="shared" si="7"/>
        <v>0</v>
      </c>
      <c r="AB21" s="241">
        <f t="shared" si="8"/>
        <v>0</v>
      </c>
      <c r="AE21" s="241">
        <v>0</v>
      </c>
      <c r="AH21" s="241">
        <v>0</v>
      </c>
      <c r="AI21" s="256">
        <v>36800000</v>
      </c>
      <c r="AJ21" s="257">
        <v>4.7E-2</v>
      </c>
      <c r="AK21" s="241">
        <f t="shared" si="9"/>
        <v>4804.4444444444443</v>
      </c>
      <c r="AL21" s="256"/>
      <c r="AM21" s="257"/>
      <c r="AN21" s="241">
        <f t="shared" si="11"/>
        <v>0</v>
      </c>
      <c r="AO21" s="256">
        <f>80000000+50000000+95000000</f>
        <v>225000000</v>
      </c>
      <c r="AP21" s="257">
        <v>4.7500000000000001E-2</v>
      </c>
      <c r="AQ21" s="241">
        <f t="shared" si="13"/>
        <v>29687.5</v>
      </c>
      <c r="AR21" s="256">
        <f>60000000</f>
        <v>60000000</v>
      </c>
      <c r="AS21" s="257">
        <v>4.7300000000000002E-2</v>
      </c>
      <c r="AT21" s="241">
        <f t="shared" si="14"/>
        <v>7883.333333333333</v>
      </c>
      <c r="AW21" s="241">
        <f t="shared" si="15"/>
        <v>0</v>
      </c>
      <c r="AZ21" s="241">
        <f t="shared" si="16"/>
        <v>0</v>
      </c>
      <c r="BC21" s="241">
        <f t="shared" si="17"/>
        <v>0</v>
      </c>
      <c r="BF21" s="241">
        <f t="shared" si="18"/>
        <v>0</v>
      </c>
      <c r="BI21" s="241">
        <f t="shared" si="19"/>
        <v>0</v>
      </c>
      <c r="BL21" s="241">
        <f t="shared" si="20"/>
        <v>0</v>
      </c>
      <c r="BO21" s="241">
        <f t="shared" si="21"/>
        <v>0</v>
      </c>
      <c r="BR21" s="241">
        <f t="shared" si="22"/>
        <v>0</v>
      </c>
      <c r="BU21" s="241">
        <f t="shared" si="23"/>
        <v>0</v>
      </c>
      <c r="BX21" s="241">
        <f t="shared" si="24"/>
        <v>0</v>
      </c>
      <c r="CA21" s="241">
        <f t="shared" si="25"/>
        <v>0</v>
      </c>
      <c r="CD21" s="241">
        <f t="shared" si="26"/>
        <v>0</v>
      </c>
      <c r="CG21" s="241">
        <f t="shared" si="27"/>
        <v>0</v>
      </c>
      <c r="CJ21" s="241">
        <f t="shared" si="28"/>
        <v>0</v>
      </c>
      <c r="CM21" s="241">
        <f t="shared" si="29"/>
        <v>0</v>
      </c>
      <c r="CP21" s="241">
        <f t="shared" si="30"/>
        <v>0</v>
      </c>
      <c r="CS21" s="241">
        <f t="shared" si="31"/>
        <v>0</v>
      </c>
      <c r="CV21" s="241">
        <f t="shared" si="32"/>
        <v>0</v>
      </c>
      <c r="CY21" s="241">
        <f t="shared" si="33"/>
        <v>0</v>
      </c>
      <c r="DB21" s="241">
        <f t="shared" si="34"/>
        <v>0</v>
      </c>
      <c r="DE21" s="241">
        <f t="shared" si="35"/>
        <v>0</v>
      </c>
      <c r="DH21" s="241">
        <f t="shared" si="36"/>
        <v>0</v>
      </c>
      <c r="DK21" s="241">
        <f t="shared" si="37"/>
        <v>0</v>
      </c>
      <c r="DN21" s="241">
        <f t="shared" si="38"/>
        <v>0</v>
      </c>
      <c r="DQ21" s="241">
        <f t="shared" si="39"/>
        <v>0</v>
      </c>
      <c r="DT21" s="241">
        <f t="shared" si="40"/>
        <v>0</v>
      </c>
      <c r="DW21" s="241">
        <f t="shared" si="41"/>
        <v>0</v>
      </c>
      <c r="DZ21" s="241"/>
      <c r="EA21" s="241"/>
      <c r="EB21" s="261">
        <f t="shared" si="42"/>
        <v>381500000</v>
      </c>
      <c r="EC21" s="261">
        <f t="shared" si="43"/>
        <v>59700000</v>
      </c>
      <c r="ED21" s="241">
        <f t="shared" si="44"/>
        <v>49821.194444444445</v>
      </c>
      <c r="EE21" s="242">
        <f t="shared" si="45"/>
        <v>4.701344692005243E-2</v>
      </c>
      <c r="EG21" s="261">
        <f t="shared" si="46"/>
        <v>0</v>
      </c>
      <c r="EH21" s="241">
        <f t="shared" si="47"/>
        <v>0</v>
      </c>
      <c r="EI21" s="242">
        <f t="shared" si="48"/>
        <v>0</v>
      </c>
      <c r="EJ21" s="242"/>
      <c r="EK21" s="261">
        <f t="shared" si="49"/>
        <v>321800000</v>
      </c>
      <c r="EL21" s="261">
        <f t="shared" si="50"/>
        <v>0</v>
      </c>
      <c r="EM21" s="261">
        <f t="shared" si="51"/>
        <v>42375.277777777781</v>
      </c>
      <c r="EN21" s="242">
        <f t="shared" si="52"/>
        <v>4.7405531385954013E-2</v>
      </c>
      <c r="EP21" s="241"/>
    </row>
    <row r="22" spans="1:146" x14ac:dyDescent="0.25">
      <c r="A22" s="255">
        <f t="shared" si="53"/>
        <v>45638</v>
      </c>
      <c r="B22" s="241">
        <v>71800000</v>
      </c>
      <c r="C22" s="242">
        <v>4.4900000000000002E-2</v>
      </c>
      <c r="D22" s="241">
        <f t="shared" si="0"/>
        <v>8955.0555555555547</v>
      </c>
      <c r="G22" s="241">
        <f t="shared" si="1"/>
        <v>0</v>
      </c>
      <c r="J22" s="241">
        <f t="shared" si="2"/>
        <v>0</v>
      </c>
      <c r="M22" s="241">
        <f t="shared" si="3"/>
        <v>0</v>
      </c>
      <c r="P22" s="241">
        <f t="shared" si="4"/>
        <v>0</v>
      </c>
      <c r="S22" s="241">
        <f t="shared" si="5"/>
        <v>0</v>
      </c>
      <c r="V22" s="241">
        <f t="shared" si="6"/>
        <v>0</v>
      </c>
      <c r="Y22" s="241">
        <f t="shared" si="7"/>
        <v>0</v>
      </c>
      <c r="AB22" s="241">
        <f t="shared" si="8"/>
        <v>0</v>
      </c>
      <c r="AE22" s="241">
        <v>0</v>
      </c>
      <c r="AH22" s="241">
        <v>0</v>
      </c>
      <c r="AI22" s="256">
        <v>12850000</v>
      </c>
      <c r="AJ22" s="257">
        <v>4.7E-2</v>
      </c>
      <c r="AK22" s="241">
        <f t="shared" si="9"/>
        <v>1677.6388888888889</v>
      </c>
      <c r="AL22" s="256"/>
      <c r="AM22" s="257"/>
      <c r="AN22" s="241">
        <f t="shared" si="11"/>
        <v>0</v>
      </c>
      <c r="AO22" s="256">
        <f>80000000+50000000+95000000</f>
        <v>225000000</v>
      </c>
      <c r="AP22" s="257">
        <v>4.7500000000000001E-2</v>
      </c>
      <c r="AQ22" s="241">
        <f t="shared" si="13"/>
        <v>29687.5</v>
      </c>
      <c r="AR22" s="256">
        <f>60000000</f>
        <v>60000000</v>
      </c>
      <c r="AS22" s="257">
        <v>4.7300000000000002E-2</v>
      </c>
      <c r="AT22" s="241">
        <f t="shared" si="14"/>
        <v>7883.333333333333</v>
      </c>
      <c r="AW22" s="241">
        <f t="shared" si="15"/>
        <v>0</v>
      </c>
      <c r="AZ22" s="241">
        <f t="shared" si="16"/>
        <v>0</v>
      </c>
      <c r="BC22" s="241">
        <f t="shared" si="17"/>
        <v>0</v>
      </c>
      <c r="BF22" s="241">
        <f t="shared" si="18"/>
        <v>0</v>
      </c>
      <c r="BI22" s="241">
        <f t="shared" si="19"/>
        <v>0</v>
      </c>
      <c r="BL22" s="241">
        <f t="shared" si="20"/>
        <v>0</v>
      </c>
      <c r="BO22" s="241">
        <f t="shared" si="21"/>
        <v>0</v>
      </c>
      <c r="BR22" s="241">
        <f t="shared" si="22"/>
        <v>0</v>
      </c>
      <c r="BU22" s="241">
        <f t="shared" si="23"/>
        <v>0</v>
      </c>
      <c r="BX22" s="241">
        <f t="shared" si="24"/>
        <v>0</v>
      </c>
      <c r="CA22" s="241">
        <f t="shared" si="25"/>
        <v>0</v>
      </c>
      <c r="CD22" s="241">
        <f t="shared" si="26"/>
        <v>0</v>
      </c>
      <c r="CG22" s="241">
        <f t="shared" si="27"/>
        <v>0</v>
      </c>
      <c r="CJ22" s="241">
        <f t="shared" si="28"/>
        <v>0</v>
      </c>
      <c r="CM22" s="241">
        <f t="shared" si="29"/>
        <v>0</v>
      </c>
      <c r="CP22" s="241">
        <f t="shared" si="30"/>
        <v>0</v>
      </c>
      <c r="CS22" s="241">
        <f t="shared" si="31"/>
        <v>0</v>
      </c>
      <c r="CV22" s="241">
        <f t="shared" si="32"/>
        <v>0</v>
      </c>
      <c r="CY22" s="241">
        <f t="shared" si="33"/>
        <v>0</v>
      </c>
      <c r="DB22" s="241">
        <f t="shared" si="34"/>
        <v>0</v>
      </c>
      <c r="DE22" s="241">
        <f t="shared" si="35"/>
        <v>0</v>
      </c>
      <c r="DH22" s="241">
        <f t="shared" si="36"/>
        <v>0</v>
      </c>
      <c r="DK22" s="241">
        <f t="shared" si="37"/>
        <v>0</v>
      </c>
      <c r="DN22" s="241">
        <f t="shared" si="38"/>
        <v>0</v>
      </c>
      <c r="DQ22" s="241">
        <f t="shared" si="39"/>
        <v>0</v>
      </c>
      <c r="DT22" s="241">
        <f t="shared" si="40"/>
        <v>0</v>
      </c>
      <c r="DW22" s="241">
        <f t="shared" si="41"/>
        <v>0</v>
      </c>
      <c r="DZ22" s="241"/>
      <c r="EA22" s="241"/>
      <c r="EB22" s="261">
        <f t="shared" si="42"/>
        <v>369650000</v>
      </c>
      <c r="EC22" s="261">
        <f t="shared" si="43"/>
        <v>71800000</v>
      </c>
      <c r="ED22" s="241">
        <f t="shared" si="44"/>
        <v>48203.527777777781</v>
      </c>
      <c r="EE22" s="242">
        <f t="shared" si="45"/>
        <v>4.6945137292033007E-2</v>
      </c>
      <c r="EG22" s="261">
        <f t="shared" si="46"/>
        <v>0</v>
      </c>
      <c r="EH22" s="241">
        <f t="shared" si="47"/>
        <v>0</v>
      </c>
      <c r="EI22" s="242">
        <f t="shared" si="48"/>
        <v>0</v>
      </c>
      <c r="EJ22" s="242"/>
      <c r="EK22" s="261">
        <f t="shared" si="49"/>
        <v>297850000</v>
      </c>
      <c r="EL22" s="261">
        <f t="shared" si="50"/>
        <v>0</v>
      </c>
      <c r="EM22" s="261">
        <f t="shared" si="51"/>
        <v>39248.472222222226</v>
      </c>
      <c r="EN22" s="242">
        <f t="shared" si="52"/>
        <v>4.7438140003357394E-2</v>
      </c>
      <c r="EP22" s="241"/>
    </row>
    <row r="23" spans="1:146" x14ac:dyDescent="0.25">
      <c r="A23" s="255">
        <f t="shared" si="53"/>
        <v>45639</v>
      </c>
      <c r="B23" s="241">
        <v>49600000</v>
      </c>
      <c r="C23" s="242">
        <v>4.5100000000000001E-2</v>
      </c>
      <c r="D23" s="241">
        <f t="shared" si="0"/>
        <v>6213.7777777777774</v>
      </c>
      <c r="G23" s="241">
        <f t="shared" si="1"/>
        <v>0</v>
      </c>
      <c r="J23" s="241">
        <f t="shared" si="2"/>
        <v>0</v>
      </c>
      <c r="M23" s="241">
        <f t="shared" si="3"/>
        <v>0</v>
      </c>
      <c r="P23" s="241">
        <f t="shared" si="4"/>
        <v>0</v>
      </c>
      <c r="S23" s="241">
        <f t="shared" si="5"/>
        <v>0</v>
      </c>
      <c r="V23" s="241">
        <f t="shared" si="6"/>
        <v>0</v>
      </c>
      <c r="Y23" s="241">
        <f t="shared" si="7"/>
        <v>0</v>
      </c>
      <c r="AB23" s="241">
        <f t="shared" si="8"/>
        <v>0</v>
      </c>
      <c r="AE23" s="241">
        <v>0</v>
      </c>
      <c r="AH23" s="241">
        <v>0</v>
      </c>
      <c r="AI23" s="256">
        <f>43000000+50000000+60000000+30925000+40000000+41350000</f>
        <v>265275000</v>
      </c>
      <c r="AJ23" s="257">
        <v>4.7E-2</v>
      </c>
      <c r="AK23" s="241">
        <f t="shared" si="9"/>
        <v>34633.125</v>
      </c>
      <c r="AL23" s="256"/>
      <c r="AM23" s="257"/>
      <c r="AN23" s="241">
        <f t="shared" si="11"/>
        <v>0</v>
      </c>
      <c r="AO23" s="256">
        <f t="shared" ref="AO23:AO29" si="54">50000000+95000000</f>
        <v>145000000</v>
      </c>
      <c r="AP23" s="257">
        <v>4.7500000000000001E-2</v>
      </c>
      <c r="AQ23" s="241">
        <f t="shared" si="13"/>
        <v>19131.944444444445</v>
      </c>
      <c r="AR23" s="256"/>
      <c r="AS23" s="257"/>
      <c r="AT23" s="241">
        <f t="shared" si="14"/>
        <v>0</v>
      </c>
      <c r="AW23" s="241">
        <f t="shared" si="15"/>
        <v>0</v>
      </c>
      <c r="AX23" s="241">
        <f t="shared" ref="AX23:AX29" si="55">25000000</f>
        <v>25000000</v>
      </c>
      <c r="AY23" s="242">
        <v>4.7199999999999999E-2</v>
      </c>
      <c r="AZ23" s="241">
        <f t="shared" si="16"/>
        <v>3277.7777777777778</v>
      </c>
      <c r="BC23" s="241">
        <f t="shared" si="17"/>
        <v>0</v>
      </c>
      <c r="BF23" s="241">
        <f t="shared" si="18"/>
        <v>0</v>
      </c>
      <c r="BI23" s="241">
        <f t="shared" si="19"/>
        <v>0</v>
      </c>
      <c r="BL23" s="241">
        <f t="shared" si="20"/>
        <v>0</v>
      </c>
      <c r="BO23" s="241">
        <f t="shared" si="21"/>
        <v>0</v>
      </c>
      <c r="BR23" s="241">
        <f t="shared" si="22"/>
        <v>0</v>
      </c>
      <c r="BU23" s="241">
        <f t="shared" si="23"/>
        <v>0</v>
      </c>
      <c r="BX23" s="241">
        <f t="shared" si="24"/>
        <v>0</v>
      </c>
      <c r="CA23" s="241">
        <f t="shared" si="25"/>
        <v>0</v>
      </c>
      <c r="CD23" s="241">
        <f t="shared" si="26"/>
        <v>0</v>
      </c>
      <c r="CG23" s="241">
        <f t="shared" si="27"/>
        <v>0</v>
      </c>
      <c r="CJ23" s="241">
        <f t="shared" si="28"/>
        <v>0</v>
      </c>
      <c r="CM23" s="241">
        <f t="shared" si="29"/>
        <v>0</v>
      </c>
      <c r="CP23" s="241">
        <f t="shared" si="30"/>
        <v>0</v>
      </c>
      <c r="CS23" s="241">
        <f t="shared" si="31"/>
        <v>0</v>
      </c>
      <c r="CV23" s="241">
        <f t="shared" si="32"/>
        <v>0</v>
      </c>
      <c r="CY23" s="241">
        <f t="shared" si="33"/>
        <v>0</v>
      </c>
      <c r="DB23" s="241">
        <f t="shared" si="34"/>
        <v>0</v>
      </c>
      <c r="DE23" s="241">
        <f t="shared" si="35"/>
        <v>0</v>
      </c>
      <c r="DH23" s="241">
        <f t="shared" si="36"/>
        <v>0</v>
      </c>
      <c r="DK23" s="241">
        <f t="shared" si="37"/>
        <v>0</v>
      </c>
      <c r="DN23" s="241">
        <f t="shared" si="38"/>
        <v>0</v>
      </c>
      <c r="DQ23" s="241">
        <f t="shared" si="39"/>
        <v>0</v>
      </c>
      <c r="DT23" s="241">
        <f t="shared" si="40"/>
        <v>0</v>
      </c>
      <c r="DW23" s="241">
        <f t="shared" si="41"/>
        <v>0</v>
      </c>
      <c r="DZ23" s="241"/>
      <c r="EA23" s="241"/>
      <c r="EB23" s="261">
        <f t="shared" si="42"/>
        <v>484875000</v>
      </c>
      <c r="EC23" s="261">
        <f t="shared" si="43"/>
        <v>49600000</v>
      </c>
      <c r="ED23" s="241">
        <f t="shared" si="44"/>
        <v>63256.625000000007</v>
      </c>
      <c r="EE23" s="242">
        <f t="shared" si="45"/>
        <v>4.6965475638051049E-2</v>
      </c>
      <c r="EG23" s="261">
        <f t="shared" si="46"/>
        <v>0</v>
      </c>
      <c r="EH23" s="241">
        <f t="shared" si="47"/>
        <v>0</v>
      </c>
      <c r="EI23" s="242">
        <f t="shared" si="48"/>
        <v>0</v>
      </c>
      <c r="EJ23" s="242"/>
      <c r="EK23" s="261">
        <f t="shared" si="49"/>
        <v>435275000</v>
      </c>
      <c r="EL23" s="261">
        <f t="shared" si="50"/>
        <v>0</v>
      </c>
      <c r="EM23" s="261">
        <f t="shared" si="51"/>
        <v>57042.847222222219</v>
      </c>
      <c r="EN23" s="242">
        <f t="shared" si="52"/>
        <v>4.7178048360232032E-2</v>
      </c>
      <c r="EP23" s="241"/>
    </row>
    <row r="24" spans="1:146" x14ac:dyDescent="0.25">
      <c r="A24" s="255">
        <f t="shared" si="53"/>
        <v>45640</v>
      </c>
      <c r="B24" s="241">
        <v>49600000</v>
      </c>
      <c r="C24" s="242">
        <v>4.5100000000000001E-2</v>
      </c>
      <c r="D24" s="241">
        <f t="shared" si="0"/>
        <v>6213.7777777777774</v>
      </c>
      <c r="G24" s="241">
        <f t="shared" si="1"/>
        <v>0</v>
      </c>
      <c r="J24" s="241">
        <f t="shared" si="2"/>
        <v>0</v>
      </c>
      <c r="M24" s="241">
        <f t="shared" si="3"/>
        <v>0</v>
      </c>
      <c r="P24" s="241">
        <f t="shared" si="4"/>
        <v>0</v>
      </c>
      <c r="S24" s="241">
        <f t="shared" si="5"/>
        <v>0</v>
      </c>
      <c r="V24" s="241">
        <f t="shared" si="6"/>
        <v>0</v>
      </c>
      <c r="Y24" s="241">
        <f t="shared" si="7"/>
        <v>0</v>
      </c>
      <c r="AB24" s="241">
        <f t="shared" si="8"/>
        <v>0</v>
      </c>
      <c r="AE24" s="241">
        <v>0</v>
      </c>
      <c r="AH24" s="241">
        <v>0</v>
      </c>
      <c r="AI24" s="256">
        <f>43000000+50000000+60000000+30925000+40000000+41350000</f>
        <v>265275000</v>
      </c>
      <c r="AJ24" s="257">
        <v>4.7E-2</v>
      </c>
      <c r="AK24" s="241">
        <f t="shared" si="9"/>
        <v>34633.125</v>
      </c>
      <c r="AL24" s="256"/>
      <c r="AM24" s="257"/>
      <c r="AN24" s="241">
        <f t="shared" si="11"/>
        <v>0</v>
      </c>
      <c r="AO24" s="256">
        <f t="shared" si="54"/>
        <v>145000000</v>
      </c>
      <c r="AP24" s="257">
        <v>4.7500000000000001E-2</v>
      </c>
      <c r="AQ24" s="241">
        <f t="shared" si="13"/>
        <v>19131.944444444445</v>
      </c>
      <c r="AR24" s="256"/>
      <c r="AS24" s="257"/>
      <c r="AT24" s="241">
        <f t="shared" si="14"/>
        <v>0</v>
      </c>
      <c r="AW24" s="241">
        <f t="shared" si="15"/>
        <v>0</v>
      </c>
      <c r="AX24" s="241">
        <f t="shared" si="55"/>
        <v>25000000</v>
      </c>
      <c r="AY24" s="242">
        <v>4.7199999999999999E-2</v>
      </c>
      <c r="AZ24" s="241">
        <f t="shared" si="16"/>
        <v>3277.7777777777778</v>
      </c>
      <c r="BC24" s="241">
        <f t="shared" si="17"/>
        <v>0</v>
      </c>
      <c r="BF24" s="241">
        <f t="shared" si="18"/>
        <v>0</v>
      </c>
      <c r="BI24" s="241">
        <f t="shared" si="19"/>
        <v>0</v>
      </c>
      <c r="BL24" s="241">
        <f t="shared" si="20"/>
        <v>0</v>
      </c>
      <c r="BO24" s="241">
        <f t="shared" si="21"/>
        <v>0</v>
      </c>
      <c r="BR24" s="241">
        <f t="shared" si="22"/>
        <v>0</v>
      </c>
      <c r="BU24" s="241">
        <f t="shared" si="23"/>
        <v>0</v>
      </c>
      <c r="BX24" s="241">
        <f t="shared" si="24"/>
        <v>0</v>
      </c>
      <c r="CA24" s="241">
        <f t="shared" si="25"/>
        <v>0</v>
      </c>
      <c r="CD24" s="241">
        <f t="shared" si="26"/>
        <v>0</v>
      </c>
      <c r="CG24" s="241">
        <f t="shared" si="27"/>
        <v>0</v>
      </c>
      <c r="CJ24" s="241">
        <f t="shared" si="28"/>
        <v>0</v>
      </c>
      <c r="CM24" s="241">
        <f t="shared" si="29"/>
        <v>0</v>
      </c>
      <c r="CP24" s="241">
        <f t="shared" si="30"/>
        <v>0</v>
      </c>
      <c r="CS24" s="241">
        <f t="shared" si="31"/>
        <v>0</v>
      </c>
      <c r="CV24" s="241">
        <f t="shared" si="32"/>
        <v>0</v>
      </c>
      <c r="CY24" s="241">
        <f t="shared" si="33"/>
        <v>0</v>
      </c>
      <c r="DB24" s="241">
        <f t="shared" si="34"/>
        <v>0</v>
      </c>
      <c r="DE24" s="241">
        <f t="shared" si="35"/>
        <v>0</v>
      </c>
      <c r="DH24" s="241">
        <f t="shared" si="36"/>
        <v>0</v>
      </c>
      <c r="DK24" s="241">
        <f t="shared" si="37"/>
        <v>0</v>
      </c>
      <c r="DN24" s="241">
        <f t="shared" si="38"/>
        <v>0</v>
      </c>
      <c r="DQ24" s="241">
        <f t="shared" si="39"/>
        <v>0</v>
      </c>
      <c r="DT24" s="241">
        <f t="shared" si="40"/>
        <v>0</v>
      </c>
      <c r="DW24" s="241">
        <f t="shared" si="41"/>
        <v>0</v>
      </c>
      <c r="DZ24" s="241"/>
      <c r="EA24" s="241"/>
      <c r="EB24" s="261">
        <f t="shared" si="42"/>
        <v>484875000</v>
      </c>
      <c r="EC24" s="261">
        <f t="shared" si="43"/>
        <v>49600000</v>
      </c>
      <c r="ED24" s="241">
        <f t="shared" si="44"/>
        <v>63256.625000000007</v>
      </c>
      <c r="EE24" s="242">
        <f t="shared" si="45"/>
        <v>4.6965475638051049E-2</v>
      </c>
      <c r="EG24" s="261">
        <f t="shared" si="46"/>
        <v>0</v>
      </c>
      <c r="EH24" s="241">
        <f t="shared" si="47"/>
        <v>0</v>
      </c>
      <c r="EI24" s="242">
        <f t="shared" si="48"/>
        <v>0</v>
      </c>
      <c r="EJ24" s="242"/>
      <c r="EK24" s="261">
        <f t="shared" si="49"/>
        <v>435275000</v>
      </c>
      <c r="EL24" s="261">
        <f t="shared" si="50"/>
        <v>0</v>
      </c>
      <c r="EM24" s="261">
        <f t="shared" si="51"/>
        <v>57042.847222222219</v>
      </c>
      <c r="EN24" s="242">
        <f t="shared" si="52"/>
        <v>4.7178048360232032E-2</v>
      </c>
      <c r="EP24" s="241"/>
    </row>
    <row r="25" spans="1:146" x14ac:dyDescent="0.25">
      <c r="A25" s="255">
        <f t="shared" si="53"/>
        <v>45641</v>
      </c>
      <c r="B25" s="241">
        <v>49600000</v>
      </c>
      <c r="C25" s="242">
        <v>4.5100000000000001E-2</v>
      </c>
      <c r="D25" s="241">
        <f t="shared" si="0"/>
        <v>6213.7777777777774</v>
      </c>
      <c r="G25" s="241">
        <f t="shared" si="1"/>
        <v>0</v>
      </c>
      <c r="J25" s="241">
        <f t="shared" si="2"/>
        <v>0</v>
      </c>
      <c r="M25" s="241">
        <f t="shared" si="3"/>
        <v>0</v>
      </c>
      <c r="P25" s="241">
        <f t="shared" si="4"/>
        <v>0</v>
      </c>
      <c r="S25" s="241">
        <f t="shared" si="5"/>
        <v>0</v>
      </c>
      <c r="V25" s="241">
        <f t="shared" si="6"/>
        <v>0</v>
      </c>
      <c r="Y25" s="241">
        <f t="shared" si="7"/>
        <v>0</v>
      </c>
      <c r="AB25" s="241">
        <f t="shared" si="8"/>
        <v>0</v>
      </c>
      <c r="AE25" s="241">
        <v>0</v>
      </c>
      <c r="AH25" s="241">
        <v>0</v>
      </c>
      <c r="AI25" s="256">
        <f>43000000+50000000+60000000+30925000+40000000+41350000</f>
        <v>265275000</v>
      </c>
      <c r="AJ25" s="257">
        <v>4.7E-2</v>
      </c>
      <c r="AK25" s="241">
        <f t="shared" si="9"/>
        <v>34633.125</v>
      </c>
      <c r="AL25" s="256"/>
      <c r="AM25" s="257"/>
      <c r="AN25" s="241">
        <f t="shared" si="11"/>
        <v>0</v>
      </c>
      <c r="AO25" s="256">
        <f t="shared" si="54"/>
        <v>145000000</v>
      </c>
      <c r="AP25" s="257">
        <v>4.7500000000000001E-2</v>
      </c>
      <c r="AQ25" s="241">
        <f t="shared" si="13"/>
        <v>19131.944444444445</v>
      </c>
      <c r="AR25" s="256"/>
      <c r="AS25" s="257"/>
      <c r="AT25" s="241">
        <f t="shared" si="14"/>
        <v>0</v>
      </c>
      <c r="AW25" s="241">
        <f t="shared" si="15"/>
        <v>0</v>
      </c>
      <c r="AX25" s="241">
        <f t="shared" si="55"/>
        <v>25000000</v>
      </c>
      <c r="AY25" s="242">
        <v>4.7199999999999999E-2</v>
      </c>
      <c r="AZ25" s="241">
        <f t="shared" si="16"/>
        <v>3277.7777777777778</v>
      </c>
      <c r="BC25" s="241">
        <f t="shared" si="17"/>
        <v>0</v>
      </c>
      <c r="BF25" s="241">
        <f t="shared" si="18"/>
        <v>0</v>
      </c>
      <c r="BI25" s="241">
        <f t="shared" si="19"/>
        <v>0</v>
      </c>
      <c r="BL25" s="241">
        <f t="shared" si="20"/>
        <v>0</v>
      </c>
      <c r="BO25" s="241">
        <f t="shared" si="21"/>
        <v>0</v>
      </c>
      <c r="BR25" s="241">
        <f t="shared" si="22"/>
        <v>0</v>
      </c>
      <c r="BU25" s="241">
        <f t="shared" si="23"/>
        <v>0</v>
      </c>
      <c r="BX25" s="241">
        <f t="shared" si="24"/>
        <v>0</v>
      </c>
      <c r="CA25" s="241">
        <f t="shared" si="25"/>
        <v>0</v>
      </c>
      <c r="CD25" s="241">
        <f t="shared" si="26"/>
        <v>0</v>
      </c>
      <c r="CG25" s="241">
        <f t="shared" si="27"/>
        <v>0</v>
      </c>
      <c r="CJ25" s="241">
        <f t="shared" si="28"/>
        <v>0</v>
      </c>
      <c r="CM25" s="241">
        <f t="shared" si="29"/>
        <v>0</v>
      </c>
      <c r="CP25" s="241">
        <f t="shared" si="30"/>
        <v>0</v>
      </c>
      <c r="CS25" s="241">
        <f t="shared" si="31"/>
        <v>0</v>
      </c>
      <c r="CV25" s="241">
        <f t="shared" si="32"/>
        <v>0</v>
      </c>
      <c r="CY25" s="241">
        <f t="shared" si="33"/>
        <v>0</v>
      </c>
      <c r="DB25" s="241">
        <f t="shared" si="34"/>
        <v>0</v>
      </c>
      <c r="DE25" s="241">
        <f t="shared" si="35"/>
        <v>0</v>
      </c>
      <c r="DH25" s="241">
        <f t="shared" si="36"/>
        <v>0</v>
      </c>
      <c r="DK25" s="241">
        <f t="shared" si="37"/>
        <v>0</v>
      </c>
      <c r="DN25" s="241">
        <f t="shared" si="38"/>
        <v>0</v>
      </c>
      <c r="DQ25" s="241">
        <f t="shared" si="39"/>
        <v>0</v>
      </c>
      <c r="DT25" s="241">
        <f t="shared" si="40"/>
        <v>0</v>
      </c>
      <c r="DW25" s="241">
        <f t="shared" si="41"/>
        <v>0</v>
      </c>
      <c r="DZ25" s="241"/>
      <c r="EA25" s="241"/>
      <c r="EB25" s="261">
        <f t="shared" si="42"/>
        <v>484875000</v>
      </c>
      <c r="EC25" s="261">
        <f t="shared" si="43"/>
        <v>49600000</v>
      </c>
      <c r="ED25" s="241">
        <f t="shared" si="44"/>
        <v>63256.625000000007</v>
      </c>
      <c r="EE25" s="242">
        <f t="shared" si="45"/>
        <v>4.6965475638051049E-2</v>
      </c>
      <c r="EG25" s="261">
        <f t="shared" si="46"/>
        <v>0</v>
      </c>
      <c r="EH25" s="241">
        <f t="shared" si="47"/>
        <v>0</v>
      </c>
      <c r="EI25" s="242">
        <f t="shared" si="48"/>
        <v>0</v>
      </c>
      <c r="EJ25" s="242"/>
      <c r="EK25" s="261">
        <f t="shared" si="49"/>
        <v>435275000</v>
      </c>
      <c r="EL25" s="261">
        <f t="shared" si="50"/>
        <v>0</v>
      </c>
      <c r="EM25" s="261">
        <f t="shared" si="51"/>
        <v>57042.847222222219</v>
      </c>
      <c r="EN25" s="242">
        <f t="shared" si="52"/>
        <v>4.7178048360232032E-2</v>
      </c>
      <c r="EP25" s="241"/>
    </row>
    <row r="26" spans="1:146" x14ac:dyDescent="0.25">
      <c r="A26" s="255">
        <f t="shared" si="53"/>
        <v>45642</v>
      </c>
      <c r="B26" s="241">
        <v>23100000</v>
      </c>
      <c r="C26" s="242">
        <v>4.5100000000000001E-2</v>
      </c>
      <c r="D26" s="241">
        <f t="shared" si="0"/>
        <v>2893.9166666666665</v>
      </c>
      <c r="G26" s="241">
        <f t="shared" si="1"/>
        <v>0</v>
      </c>
      <c r="J26" s="241">
        <f t="shared" si="2"/>
        <v>0</v>
      </c>
      <c r="M26" s="241">
        <f t="shared" si="3"/>
        <v>0</v>
      </c>
      <c r="P26" s="241">
        <f t="shared" si="4"/>
        <v>0</v>
      </c>
      <c r="S26" s="241">
        <f t="shared" si="5"/>
        <v>0</v>
      </c>
      <c r="V26" s="241">
        <f t="shared" si="6"/>
        <v>0</v>
      </c>
      <c r="Y26" s="241">
        <f t="shared" si="7"/>
        <v>0</v>
      </c>
      <c r="AB26" s="241">
        <f t="shared" si="8"/>
        <v>0</v>
      </c>
      <c r="AE26" s="241">
        <v>0</v>
      </c>
      <c r="AH26" s="241">
        <v>0</v>
      </c>
      <c r="AI26" s="256">
        <f>30000000</f>
        <v>30000000</v>
      </c>
      <c r="AJ26" s="257">
        <v>4.7E-2</v>
      </c>
      <c r="AK26" s="241">
        <f t="shared" si="9"/>
        <v>3916.6666666666665</v>
      </c>
      <c r="AL26" s="256">
        <f>100000000</f>
        <v>100000000</v>
      </c>
      <c r="AM26" s="257">
        <v>4.7500000000000001E-2</v>
      </c>
      <c r="AN26" s="241">
        <f t="shared" si="11"/>
        <v>13194.444444444445</v>
      </c>
      <c r="AO26" s="256">
        <f t="shared" si="54"/>
        <v>145000000</v>
      </c>
      <c r="AP26" s="257">
        <v>4.7500000000000001E-2</v>
      </c>
      <c r="AQ26" s="241">
        <f t="shared" si="13"/>
        <v>19131.944444444445</v>
      </c>
      <c r="AR26" s="256">
        <f>100000000+27900000</f>
        <v>127900000</v>
      </c>
      <c r="AS26" s="257">
        <v>4.7500000000000001E-2</v>
      </c>
      <c r="AT26" s="241">
        <f t="shared" si="14"/>
        <v>16875.694444444445</v>
      </c>
      <c r="AU26" s="241">
        <f>50000000</f>
        <v>50000000</v>
      </c>
      <c r="AV26" s="242">
        <v>4.8000000000000001E-2</v>
      </c>
      <c r="AW26" s="241">
        <f t="shared" si="15"/>
        <v>6666.666666666667</v>
      </c>
      <c r="AX26" s="241">
        <f t="shared" si="55"/>
        <v>25000000</v>
      </c>
      <c r="AY26" s="242">
        <v>4.7199999999999999E-2</v>
      </c>
      <c r="AZ26" s="241">
        <f t="shared" si="16"/>
        <v>3277.7777777777778</v>
      </c>
      <c r="BC26" s="241">
        <f t="shared" si="17"/>
        <v>0</v>
      </c>
      <c r="BF26" s="241">
        <f t="shared" si="18"/>
        <v>0</v>
      </c>
      <c r="BI26" s="241">
        <f t="shared" si="19"/>
        <v>0</v>
      </c>
      <c r="BL26" s="241">
        <f t="shared" si="20"/>
        <v>0</v>
      </c>
      <c r="BO26" s="241">
        <f t="shared" si="21"/>
        <v>0</v>
      </c>
      <c r="BR26" s="241">
        <f t="shared" si="22"/>
        <v>0</v>
      </c>
      <c r="BU26" s="241">
        <f t="shared" si="23"/>
        <v>0</v>
      </c>
      <c r="BX26" s="241">
        <f t="shared" si="24"/>
        <v>0</v>
      </c>
      <c r="CA26" s="241">
        <f t="shared" si="25"/>
        <v>0</v>
      </c>
      <c r="CD26" s="241">
        <f t="shared" si="26"/>
        <v>0</v>
      </c>
      <c r="CG26" s="241">
        <f t="shared" si="27"/>
        <v>0</v>
      </c>
      <c r="CJ26" s="241">
        <f t="shared" si="28"/>
        <v>0</v>
      </c>
      <c r="CM26" s="241">
        <f t="shared" si="29"/>
        <v>0</v>
      </c>
      <c r="CP26" s="241">
        <f t="shared" si="30"/>
        <v>0</v>
      </c>
      <c r="CS26" s="241">
        <f t="shared" si="31"/>
        <v>0</v>
      </c>
      <c r="CV26" s="241">
        <f t="shared" si="32"/>
        <v>0</v>
      </c>
      <c r="CY26" s="241">
        <f t="shared" si="33"/>
        <v>0</v>
      </c>
      <c r="DB26" s="241">
        <f t="shared" si="34"/>
        <v>0</v>
      </c>
      <c r="DE26" s="241">
        <f t="shared" si="35"/>
        <v>0</v>
      </c>
      <c r="DH26" s="241">
        <f t="shared" si="36"/>
        <v>0</v>
      </c>
      <c r="DK26" s="241">
        <f t="shared" si="37"/>
        <v>0</v>
      </c>
      <c r="DN26" s="241">
        <f t="shared" si="38"/>
        <v>0</v>
      </c>
      <c r="DQ26" s="241">
        <f t="shared" si="39"/>
        <v>0</v>
      </c>
      <c r="DT26" s="241">
        <f t="shared" si="40"/>
        <v>0</v>
      </c>
      <c r="DW26" s="241">
        <f t="shared" si="41"/>
        <v>0</v>
      </c>
      <c r="DZ26" s="241"/>
      <c r="EA26" s="241"/>
      <c r="EB26" s="261">
        <f t="shared" si="42"/>
        <v>501000000</v>
      </c>
      <c r="EC26" s="261">
        <f t="shared" si="43"/>
        <v>23100000</v>
      </c>
      <c r="ED26" s="241">
        <f t="shared" si="44"/>
        <v>65957.111111111109</v>
      </c>
      <c r="EE26" s="242">
        <f t="shared" si="45"/>
        <v>4.7394331337325353E-2</v>
      </c>
      <c r="EG26" s="261">
        <f t="shared" si="46"/>
        <v>0</v>
      </c>
      <c r="EH26" s="241">
        <f t="shared" si="47"/>
        <v>0</v>
      </c>
      <c r="EI26" s="242">
        <f t="shared" si="48"/>
        <v>0</v>
      </c>
      <c r="EJ26" s="242"/>
      <c r="EK26" s="261">
        <f t="shared" si="49"/>
        <v>477900000</v>
      </c>
      <c r="EL26" s="261">
        <f t="shared" si="50"/>
        <v>0</v>
      </c>
      <c r="EM26" s="261">
        <f t="shared" si="51"/>
        <v>63063.194444444445</v>
      </c>
      <c r="EN26" s="242">
        <f t="shared" si="52"/>
        <v>4.7505231219920493E-2</v>
      </c>
      <c r="EP26" s="241"/>
    </row>
    <row r="27" spans="1:146" x14ac:dyDescent="0.25">
      <c r="A27" s="255">
        <f t="shared" si="53"/>
        <v>45643</v>
      </c>
      <c r="B27" s="241">
        <v>82575000</v>
      </c>
      <c r="C27" s="242">
        <v>4.5100000000000001E-2</v>
      </c>
      <c r="D27" s="241">
        <f t="shared" si="0"/>
        <v>10344.8125</v>
      </c>
      <c r="G27" s="241">
        <f t="shared" si="1"/>
        <v>0</v>
      </c>
      <c r="J27" s="241">
        <f t="shared" si="2"/>
        <v>0</v>
      </c>
      <c r="M27" s="241">
        <f t="shared" si="3"/>
        <v>0</v>
      </c>
      <c r="P27" s="241">
        <f t="shared" si="4"/>
        <v>0</v>
      </c>
      <c r="S27" s="241">
        <f t="shared" si="5"/>
        <v>0</v>
      </c>
      <c r="V27" s="241">
        <f t="shared" si="6"/>
        <v>0</v>
      </c>
      <c r="Y27" s="241">
        <f t="shared" si="7"/>
        <v>0</v>
      </c>
      <c r="AB27" s="241">
        <f t="shared" si="8"/>
        <v>0</v>
      </c>
      <c r="AE27" s="241">
        <v>0</v>
      </c>
      <c r="AH27" s="241">
        <v>0</v>
      </c>
      <c r="AI27" s="256">
        <f>40000000+14675000</f>
        <v>54675000</v>
      </c>
      <c r="AJ27" s="257">
        <v>4.7500000000000001E-2</v>
      </c>
      <c r="AK27" s="241">
        <f t="shared" si="9"/>
        <v>7214.0625</v>
      </c>
      <c r="AL27" s="256">
        <f>100000000</f>
        <v>100000000</v>
      </c>
      <c r="AM27" s="257">
        <v>4.7500000000000001E-2</v>
      </c>
      <c r="AN27" s="241">
        <f t="shared" si="11"/>
        <v>13194.444444444445</v>
      </c>
      <c r="AO27" s="256">
        <f t="shared" si="54"/>
        <v>145000000</v>
      </c>
      <c r="AP27" s="257">
        <v>4.7500000000000001E-2</v>
      </c>
      <c r="AQ27" s="241">
        <f t="shared" si="13"/>
        <v>19131.944444444445</v>
      </c>
      <c r="AR27" s="256">
        <f>25000000</f>
        <v>25000000</v>
      </c>
      <c r="AS27" s="257">
        <v>4.7800000000000002E-2</v>
      </c>
      <c r="AT27" s="241">
        <f t="shared" si="14"/>
        <v>3319.4444444444443</v>
      </c>
      <c r="AW27" s="241">
        <f t="shared" si="15"/>
        <v>0</v>
      </c>
      <c r="AX27" s="241">
        <f t="shared" si="55"/>
        <v>25000000</v>
      </c>
      <c r="AY27" s="242">
        <v>4.7199999999999999E-2</v>
      </c>
      <c r="AZ27" s="241">
        <f t="shared" si="16"/>
        <v>3277.7777777777778</v>
      </c>
      <c r="BC27" s="241">
        <f t="shared" si="17"/>
        <v>0</v>
      </c>
      <c r="BF27" s="241">
        <f t="shared" si="18"/>
        <v>0</v>
      </c>
      <c r="BI27" s="241">
        <f t="shared" si="19"/>
        <v>0</v>
      </c>
      <c r="BL27" s="241">
        <f t="shared" si="20"/>
        <v>0</v>
      </c>
      <c r="BO27" s="241">
        <f t="shared" si="21"/>
        <v>0</v>
      </c>
      <c r="BR27" s="241">
        <f t="shared" si="22"/>
        <v>0</v>
      </c>
      <c r="BU27" s="241">
        <f t="shared" si="23"/>
        <v>0</v>
      </c>
      <c r="BX27" s="241">
        <f t="shared" si="24"/>
        <v>0</v>
      </c>
      <c r="CA27" s="241">
        <f t="shared" si="25"/>
        <v>0</v>
      </c>
      <c r="CD27" s="241">
        <f t="shared" si="26"/>
        <v>0</v>
      </c>
      <c r="CG27" s="241">
        <f t="shared" si="27"/>
        <v>0</v>
      </c>
      <c r="CJ27" s="241">
        <f t="shared" si="28"/>
        <v>0</v>
      </c>
      <c r="CM27" s="241">
        <f t="shared" si="29"/>
        <v>0</v>
      </c>
      <c r="CP27" s="241">
        <f t="shared" si="30"/>
        <v>0</v>
      </c>
      <c r="CS27" s="241">
        <f t="shared" si="31"/>
        <v>0</v>
      </c>
      <c r="CV27" s="241">
        <f t="shared" si="32"/>
        <v>0</v>
      </c>
      <c r="CY27" s="241">
        <f t="shared" si="33"/>
        <v>0</v>
      </c>
      <c r="DB27" s="241">
        <f t="shared" si="34"/>
        <v>0</v>
      </c>
      <c r="DE27" s="241">
        <f t="shared" si="35"/>
        <v>0</v>
      </c>
      <c r="DH27" s="241">
        <f t="shared" si="36"/>
        <v>0</v>
      </c>
      <c r="DK27" s="241">
        <f t="shared" si="37"/>
        <v>0</v>
      </c>
      <c r="DN27" s="241">
        <f t="shared" si="38"/>
        <v>0</v>
      </c>
      <c r="DQ27" s="241">
        <f t="shared" si="39"/>
        <v>0</v>
      </c>
      <c r="DT27" s="241">
        <f t="shared" si="40"/>
        <v>0</v>
      </c>
      <c r="DW27" s="241">
        <f t="shared" si="41"/>
        <v>0</v>
      </c>
      <c r="DZ27" s="241"/>
      <c r="EA27" s="241"/>
      <c r="EB27" s="261">
        <f t="shared" si="42"/>
        <v>432250000</v>
      </c>
      <c r="EC27" s="261">
        <f t="shared" si="43"/>
        <v>82575000</v>
      </c>
      <c r="ED27" s="241">
        <f t="shared" si="44"/>
        <v>56482.486111111117</v>
      </c>
      <c r="EE27" s="242">
        <f t="shared" si="45"/>
        <v>4.7041515326778485E-2</v>
      </c>
      <c r="EG27" s="261">
        <f t="shared" si="46"/>
        <v>0</v>
      </c>
      <c r="EH27" s="241">
        <f t="shared" si="47"/>
        <v>0</v>
      </c>
      <c r="EI27" s="242">
        <f t="shared" si="48"/>
        <v>0</v>
      </c>
      <c r="EJ27" s="242"/>
      <c r="EK27" s="261">
        <f t="shared" si="49"/>
        <v>349675000</v>
      </c>
      <c r="EL27" s="261">
        <f t="shared" si="50"/>
        <v>0</v>
      </c>
      <c r="EM27" s="261">
        <f t="shared" si="51"/>
        <v>46137.673611111109</v>
      </c>
      <c r="EN27" s="242">
        <f t="shared" si="52"/>
        <v>4.7499999999999994E-2</v>
      </c>
      <c r="EP27" s="241"/>
    </row>
    <row r="28" spans="1:146" x14ac:dyDescent="0.25">
      <c r="A28" s="255">
        <f t="shared" si="53"/>
        <v>45644</v>
      </c>
      <c r="B28" s="241">
        <v>78975000</v>
      </c>
      <c r="C28" s="242">
        <v>4.5100000000000001E-2</v>
      </c>
      <c r="D28" s="241">
        <f t="shared" si="0"/>
        <v>9893.8125</v>
      </c>
      <c r="G28" s="241">
        <f t="shared" si="1"/>
        <v>0</v>
      </c>
      <c r="J28" s="241">
        <f t="shared" si="2"/>
        <v>0</v>
      </c>
      <c r="M28" s="241">
        <f t="shared" si="3"/>
        <v>0</v>
      </c>
      <c r="P28" s="241">
        <f t="shared" si="4"/>
        <v>0</v>
      </c>
      <c r="S28" s="241">
        <f t="shared" si="5"/>
        <v>0</v>
      </c>
      <c r="V28" s="241">
        <f t="shared" si="6"/>
        <v>0</v>
      </c>
      <c r="Y28" s="241">
        <f t="shared" si="7"/>
        <v>0</v>
      </c>
      <c r="AB28" s="241">
        <f t="shared" si="8"/>
        <v>0</v>
      </c>
      <c r="AE28" s="241">
        <v>0</v>
      </c>
      <c r="AH28" s="241">
        <v>0</v>
      </c>
      <c r="AI28" s="256">
        <f>75000000+525000</f>
        <v>75525000</v>
      </c>
      <c r="AJ28" s="257">
        <v>4.7500000000000001E-2</v>
      </c>
      <c r="AK28" s="241">
        <f t="shared" si="9"/>
        <v>9965.1041666666661</v>
      </c>
      <c r="AL28" s="256">
        <f>100000000</f>
        <v>100000000</v>
      </c>
      <c r="AM28" s="257">
        <v>4.7500000000000001E-2</v>
      </c>
      <c r="AN28" s="241">
        <f t="shared" si="11"/>
        <v>13194.444444444445</v>
      </c>
      <c r="AO28" s="256">
        <f t="shared" si="54"/>
        <v>145000000</v>
      </c>
      <c r="AP28" s="257">
        <v>4.7500000000000001E-2</v>
      </c>
      <c r="AQ28" s="241">
        <f t="shared" si="13"/>
        <v>19131.944444444445</v>
      </c>
      <c r="AR28" s="256"/>
      <c r="AS28" s="257"/>
      <c r="AT28" s="241">
        <f t="shared" si="14"/>
        <v>0</v>
      </c>
      <c r="AW28" s="241">
        <f t="shared" si="15"/>
        <v>0</v>
      </c>
      <c r="AX28" s="241">
        <f t="shared" si="55"/>
        <v>25000000</v>
      </c>
      <c r="AY28" s="242">
        <v>4.7199999999999999E-2</v>
      </c>
      <c r="AZ28" s="241">
        <f t="shared" si="16"/>
        <v>3277.7777777777778</v>
      </c>
      <c r="BC28" s="241">
        <f t="shared" si="17"/>
        <v>0</v>
      </c>
      <c r="BF28" s="241">
        <f t="shared" si="18"/>
        <v>0</v>
      </c>
      <c r="BI28" s="241">
        <f t="shared" si="19"/>
        <v>0</v>
      </c>
      <c r="BL28" s="241">
        <f t="shared" si="20"/>
        <v>0</v>
      </c>
      <c r="BO28" s="241">
        <f t="shared" si="21"/>
        <v>0</v>
      </c>
      <c r="BR28" s="241">
        <f t="shared" si="22"/>
        <v>0</v>
      </c>
      <c r="BU28" s="241">
        <f t="shared" si="23"/>
        <v>0</v>
      </c>
      <c r="BX28" s="241">
        <f t="shared" si="24"/>
        <v>0</v>
      </c>
      <c r="CA28" s="241">
        <f t="shared" si="25"/>
        <v>0</v>
      </c>
      <c r="CD28" s="241">
        <f t="shared" si="26"/>
        <v>0</v>
      </c>
      <c r="CG28" s="241">
        <f t="shared" si="27"/>
        <v>0</v>
      </c>
      <c r="CJ28" s="241">
        <f t="shared" si="28"/>
        <v>0</v>
      </c>
      <c r="CM28" s="241">
        <f t="shared" si="29"/>
        <v>0</v>
      </c>
      <c r="CP28" s="241">
        <f t="shared" si="30"/>
        <v>0</v>
      </c>
      <c r="CS28" s="241">
        <f t="shared" si="31"/>
        <v>0</v>
      </c>
      <c r="CV28" s="241">
        <f t="shared" si="32"/>
        <v>0</v>
      </c>
      <c r="CY28" s="241">
        <f t="shared" si="33"/>
        <v>0</v>
      </c>
      <c r="DB28" s="241">
        <f t="shared" si="34"/>
        <v>0</v>
      </c>
      <c r="DE28" s="241">
        <f t="shared" si="35"/>
        <v>0</v>
      </c>
      <c r="DH28" s="241">
        <f t="shared" si="36"/>
        <v>0</v>
      </c>
      <c r="DK28" s="241">
        <f t="shared" si="37"/>
        <v>0</v>
      </c>
      <c r="DN28" s="241">
        <f t="shared" si="38"/>
        <v>0</v>
      </c>
      <c r="DQ28" s="241">
        <f t="shared" si="39"/>
        <v>0</v>
      </c>
      <c r="DT28" s="241">
        <f t="shared" si="40"/>
        <v>0</v>
      </c>
      <c r="DW28" s="241">
        <f t="shared" si="41"/>
        <v>0</v>
      </c>
      <c r="DZ28" s="241"/>
      <c r="EA28" s="241"/>
      <c r="EB28" s="261">
        <f t="shared" si="42"/>
        <v>424500000</v>
      </c>
      <c r="EC28" s="261">
        <f t="shared" si="43"/>
        <v>78975000</v>
      </c>
      <c r="ED28" s="241">
        <f t="shared" si="44"/>
        <v>55463.083333333336</v>
      </c>
      <c r="EE28" s="242">
        <f t="shared" si="45"/>
        <v>4.7035830388692579E-2</v>
      </c>
      <c r="EG28" s="261">
        <f t="shared" si="46"/>
        <v>0</v>
      </c>
      <c r="EH28" s="241">
        <f t="shared" si="47"/>
        <v>0</v>
      </c>
      <c r="EI28" s="242">
        <f t="shared" si="48"/>
        <v>0</v>
      </c>
      <c r="EJ28" s="242"/>
      <c r="EK28" s="261">
        <f t="shared" si="49"/>
        <v>345525000</v>
      </c>
      <c r="EL28" s="261">
        <f t="shared" si="50"/>
        <v>0</v>
      </c>
      <c r="EM28" s="261">
        <f t="shared" si="51"/>
        <v>45569.270833333336</v>
      </c>
      <c r="EN28" s="242">
        <f t="shared" si="52"/>
        <v>4.7478293900586062E-2</v>
      </c>
      <c r="EP28" s="241"/>
    </row>
    <row r="29" spans="1:146" x14ac:dyDescent="0.25">
      <c r="A29" s="255">
        <f t="shared" si="53"/>
        <v>45645</v>
      </c>
      <c r="B29" s="241">
        <v>79975000</v>
      </c>
      <c r="C29" s="242">
        <v>4.36E-2</v>
      </c>
      <c r="D29" s="241">
        <f t="shared" si="0"/>
        <v>9685.8611111111113</v>
      </c>
      <c r="G29" s="241">
        <f t="shared" si="1"/>
        <v>0</v>
      </c>
      <c r="J29" s="241">
        <f t="shared" si="2"/>
        <v>0</v>
      </c>
      <c r="M29" s="241">
        <f t="shared" si="3"/>
        <v>0</v>
      </c>
      <c r="P29" s="241">
        <f t="shared" si="4"/>
        <v>0</v>
      </c>
      <c r="S29" s="241">
        <f t="shared" si="5"/>
        <v>0</v>
      </c>
      <c r="V29" s="241">
        <f t="shared" si="6"/>
        <v>0</v>
      </c>
      <c r="Y29" s="241">
        <f t="shared" si="7"/>
        <v>0</v>
      </c>
      <c r="AB29" s="241">
        <f t="shared" si="8"/>
        <v>0</v>
      </c>
      <c r="AE29" s="241">
        <v>0</v>
      </c>
      <c r="AH29" s="241">
        <v>0</v>
      </c>
      <c r="AI29" s="256">
        <f>30950000+25000000+65000000</f>
        <v>120950000</v>
      </c>
      <c r="AJ29" s="257">
        <v>4.65E-2</v>
      </c>
      <c r="AK29" s="241">
        <f t="shared" si="9"/>
        <v>15622.708333333334</v>
      </c>
      <c r="AL29" s="256">
        <f>100000000</f>
        <v>100000000</v>
      </c>
      <c r="AM29" s="257">
        <v>4.7500000000000001E-2</v>
      </c>
      <c r="AN29" s="241">
        <f t="shared" si="11"/>
        <v>13194.444444444445</v>
      </c>
      <c r="AO29" s="256">
        <f t="shared" si="54"/>
        <v>145000000</v>
      </c>
      <c r="AP29" s="257">
        <v>4.7500000000000001E-2</v>
      </c>
      <c r="AQ29" s="241">
        <f t="shared" si="13"/>
        <v>19131.944444444445</v>
      </c>
      <c r="AR29" s="256"/>
      <c r="AS29" s="257"/>
      <c r="AT29" s="241">
        <f t="shared" si="14"/>
        <v>0</v>
      </c>
      <c r="AW29" s="241">
        <f t="shared" si="15"/>
        <v>0</v>
      </c>
      <c r="AX29" s="241">
        <f t="shared" si="55"/>
        <v>25000000</v>
      </c>
      <c r="AY29" s="242">
        <v>4.7199999999999999E-2</v>
      </c>
      <c r="AZ29" s="241">
        <f t="shared" si="16"/>
        <v>3277.7777777777778</v>
      </c>
      <c r="BC29" s="241">
        <f t="shared" si="17"/>
        <v>0</v>
      </c>
      <c r="BF29" s="241">
        <f t="shared" si="18"/>
        <v>0</v>
      </c>
      <c r="BI29" s="241">
        <f t="shared" si="19"/>
        <v>0</v>
      </c>
      <c r="BL29" s="241">
        <f t="shared" si="20"/>
        <v>0</v>
      </c>
      <c r="BO29" s="241">
        <f t="shared" si="21"/>
        <v>0</v>
      </c>
      <c r="BR29" s="241">
        <f t="shared" si="22"/>
        <v>0</v>
      </c>
      <c r="BU29" s="241">
        <f t="shared" si="23"/>
        <v>0</v>
      </c>
      <c r="BX29" s="241">
        <f t="shared" si="24"/>
        <v>0</v>
      </c>
      <c r="CA29" s="241">
        <f t="shared" si="25"/>
        <v>0</v>
      </c>
      <c r="CD29" s="241">
        <f t="shared" si="26"/>
        <v>0</v>
      </c>
      <c r="CG29" s="241">
        <f t="shared" si="27"/>
        <v>0</v>
      </c>
      <c r="CJ29" s="241">
        <f t="shared" si="28"/>
        <v>0</v>
      </c>
      <c r="CM29" s="241">
        <f t="shared" si="29"/>
        <v>0</v>
      </c>
      <c r="CP29" s="241">
        <f t="shared" si="30"/>
        <v>0</v>
      </c>
      <c r="CS29" s="241">
        <f t="shared" si="31"/>
        <v>0</v>
      </c>
      <c r="CV29" s="241">
        <f t="shared" si="32"/>
        <v>0</v>
      </c>
      <c r="CY29" s="241">
        <f t="shared" si="33"/>
        <v>0</v>
      </c>
      <c r="DB29" s="241">
        <f t="shared" si="34"/>
        <v>0</v>
      </c>
      <c r="DE29" s="241">
        <f t="shared" si="35"/>
        <v>0</v>
      </c>
      <c r="DH29" s="241">
        <f t="shared" si="36"/>
        <v>0</v>
      </c>
      <c r="DK29" s="241">
        <f t="shared" si="37"/>
        <v>0</v>
      </c>
      <c r="DN29" s="241">
        <f t="shared" si="38"/>
        <v>0</v>
      </c>
      <c r="DQ29" s="241">
        <f t="shared" si="39"/>
        <v>0</v>
      </c>
      <c r="DT29" s="241">
        <f t="shared" si="40"/>
        <v>0</v>
      </c>
      <c r="DW29" s="241">
        <f t="shared" si="41"/>
        <v>0</v>
      </c>
      <c r="DZ29" s="241"/>
      <c r="EA29" s="241"/>
      <c r="EB29" s="261">
        <f t="shared" si="42"/>
        <v>470925000</v>
      </c>
      <c r="EC29" s="261">
        <f t="shared" si="43"/>
        <v>79975000</v>
      </c>
      <c r="ED29" s="241">
        <f t="shared" si="44"/>
        <v>60912.736111111117</v>
      </c>
      <c r="EE29" s="242">
        <f t="shared" si="45"/>
        <v>4.6564920104050542E-2</v>
      </c>
      <c r="EG29" s="261">
        <f t="shared" si="46"/>
        <v>0</v>
      </c>
      <c r="EH29" s="241">
        <f t="shared" si="47"/>
        <v>0</v>
      </c>
      <c r="EI29" s="242">
        <f t="shared" si="48"/>
        <v>0</v>
      </c>
      <c r="EJ29" s="242"/>
      <c r="EK29" s="261">
        <f t="shared" si="49"/>
        <v>390950000</v>
      </c>
      <c r="EL29" s="261">
        <f t="shared" si="50"/>
        <v>0</v>
      </c>
      <c r="EM29" s="261">
        <f t="shared" si="51"/>
        <v>51226.875000000007</v>
      </c>
      <c r="EN29" s="242">
        <f t="shared" si="52"/>
        <v>4.7171441360787825E-2</v>
      </c>
      <c r="EP29" s="241"/>
    </row>
    <row r="30" spans="1:146" x14ac:dyDescent="0.25">
      <c r="A30" s="255">
        <f t="shared" si="53"/>
        <v>45646</v>
      </c>
      <c r="B30" s="241">
        <v>18375000</v>
      </c>
      <c r="C30" s="242">
        <v>4.4400000000000002E-2</v>
      </c>
      <c r="D30" s="241">
        <f t="shared" si="0"/>
        <v>2266.25</v>
      </c>
      <c r="G30" s="241">
        <f t="shared" si="1"/>
        <v>0</v>
      </c>
      <c r="J30" s="241">
        <f t="shared" si="2"/>
        <v>0</v>
      </c>
      <c r="M30" s="241">
        <f t="shared" si="3"/>
        <v>0</v>
      </c>
      <c r="P30" s="241">
        <f t="shared" si="4"/>
        <v>0</v>
      </c>
      <c r="S30" s="241">
        <f t="shared" si="5"/>
        <v>0</v>
      </c>
      <c r="V30" s="241">
        <f t="shared" si="6"/>
        <v>0</v>
      </c>
      <c r="Y30" s="241">
        <f t="shared" si="7"/>
        <v>0</v>
      </c>
      <c r="AB30" s="241">
        <f t="shared" si="8"/>
        <v>0</v>
      </c>
      <c r="AE30" s="241">
        <v>0</v>
      </c>
      <c r="AH30" s="241">
        <v>0</v>
      </c>
      <c r="AI30" s="256"/>
      <c r="AJ30" s="257"/>
      <c r="AK30" s="241">
        <f t="shared" si="9"/>
        <v>0</v>
      </c>
      <c r="AL30" s="256"/>
      <c r="AM30" s="257"/>
      <c r="AN30" s="241">
        <f t="shared" si="11"/>
        <v>0</v>
      </c>
      <c r="AO30" s="256"/>
      <c r="AP30" s="257"/>
      <c r="AQ30" s="241">
        <f t="shared" si="13"/>
        <v>0</v>
      </c>
      <c r="AR30" s="256"/>
      <c r="AS30" s="257"/>
      <c r="AT30" s="241">
        <f t="shared" si="14"/>
        <v>0</v>
      </c>
      <c r="AW30" s="241">
        <f t="shared" si="15"/>
        <v>0</v>
      </c>
      <c r="AZ30" s="241">
        <f t="shared" si="16"/>
        <v>0</v>
      </c>
      <c r="BC30" s="241">
        <f t="shared" si="17"/>
        <v>0</v>
      </c>
      <c r="BF30" s="241">
        <f t="shared" si="18"/>
        <v>0</v>
      </c>
      <c r="BI30" s="241">
        <f t="shared" si="19"/>
        <v>0</v>
      </c>
      <c r="BL30" s="241">
        <f t="shared" si="20"/>
        <v>0</v>
      </c>
      <c r="BO30" s="241">
        <f t="shared" si="21"/>
        <v>0</v>
      </c>
      <c r="BR30" s="241">
        <f t="shared" si="22"/>
        <v>0</v>
      </c>
      <c r="BU30" s="241">
        <f t="shared" si="23"/>
        <v>0</v>
      </c>
      <c r="BX30" s="241">
        <f t="shared" si="24"/>
        <v>0</v>
      </c>
      <c r="CA30" s="241">
        <f t="shared" si="25"/>
        <v>0</v>
      </c>
      <c r="CD30" s="241">
        <f t="shared" si="26"/>
        <v>0</v>
      </c>
      <c r="CG30" s="241">
        <f t="shared" si="27"/>
        <v>0</v>
      </c>
      <c r="CJ30" s="241">
        <f t="shared" si="28"/>
        <v>0</v>
      </c>
      <c r="CM30" s="241">
        <f t="shared" si="29"/>
        <v>0</v>
      </c>
      <c r="CP30" s="241">
        <f t="shared" si="30"/>
        <v>0</v>
      </c>
      <c r="CS30" s="241">
        <f t="shared" si="31"/>
        <v>0</v>
      </c>
      <c r="CV30" s="241">
        <f t="shared" si="32"/>
        <v>0</v>
      </c>
      <c r="CY30" s="241">
        <f t="shared" si="33"/>
        <v>0</v>
      </c>
      <c r="DB30" s="241">
        <f t="shared" si="34"/>
        <v>0</v>
      </c>
      <c r="DE30" s="241">
        <f t="shared" si="35"/>
        <v>0</v>
      </c>
      <c r="DH30" s="241">
        <f t="shared" si="36"/>
        <v>0</v>
      </c>
      <c r="DK30" s="241">
        <f t="shared" si="37"/>
        <v>0</v>
      </c>
      <c r="DN30" s="241">
        <f t="shared" si="38"/>
        <v>0</v>
      </c>
      <c r="DQ30" s="241">
        <f t="shared" si="39"/>
        <v>0</v>
      </c>
      <c r="DT30" s="241">
        <f t="shared" si="40"/>
        <v>0</v>
      </c>
      <c r="DW30" s="241">
        <f t="shared" si="41"/>
        <v>0</v>
      </c>
      <c r="DZ30" s="241"/>
      <c r="EA30" s="241"/>
      <c r="EB30" s="261">
        <f t="shared" si="42"/>
        <v>18375000</v>
      </c>
      <c r="EC30" s="261">
        <f t="shared" si="43"/>
        <v>18375000</v>
      </c>
      <c r="ED30" s="241">
        <f t="shared" si="44"/>
        <v>2266.25</v>
      </c>
      <c r="EE30" s="242">
        <f t="shared" si="45"/>
        <v>4.4400000000000002E-2</v>
      </c>
      <c r="EG30" s="261">
        <f t="shared" si="46"/>
        <v>0</v>
      </c>
      <c r="EH30" s="241">
        <f t="shared" si="47"/>
        <v>0</v>
      </c>
      <c r="EI30" s="242">
        <f t="shared" si="48"/>
        <v>0</v>
      </c>
      <c r="EJ30" s="242"/>
      <c r="EK30" s="261">
        <f t="shared" si="49"/>
        <v>0</v>
      </c>
      <c r="EL30" s="261">
        <f t="shared" si="50"/>
        <v>0</v>
      </c>
      <c r="EM30" s="261">
        <f t="shared" si="51"/>
        <v>0</v>
      </c>
      <c r="EN30" s="242">
        <f t="shared" si="52"/>
        <v>0</v>
      </c>
      <c r="EP30" s="241"/>
    </row>
    <row r="31" spans="1:146" x14ac:dyDescent="0.25">
      <c r="A31" s="255">
        <f t="shared" si="53"/>
        <v>45647</v>
      </c>
      <c r="B31" s="241">
        <v>18375000</v>
      </c>
      <c r="C31" s="242">
        <v>4.4400000000000002E-2</v>
      </c>
      <c r="D31" s="241">
        <f t="shared" si="0"/>
        <v>2266.25</v>
      </c>
      <c r="G31" s="241">
        <f t="shared" si="1"/>
        <v>0</v>
      </c>
      <c r="J31" s="241">
        <f t="shared" si="2"/>
        <v>0</v>
      </c>
      <c r="M31" s="241">
        <f t="shared" si="3"/>
        <v>0</v>
      </c>
      <c r="P31" s="241">
        <f t="shared" si="4"/>
        <v>0</v>
      </c>
      <c r="S31" s="241">
        <f t="shared" si="5"/>
        <v>0</v>
      </c>
      <c r="V31" s="241">
        <f t="shared" si="6"/>
        <v>0</v>
      </c>
      <c r="Y31" s="241">
        <f t="shared" si="7"/>
        <v>0</v>
      </c>
      <c r="AB31" s="241">
        <f t="shared" si="8"/>
        <v>0</v>
      </c>
      <c r="AE31" s="241">
        <v>0</v>
      </c>
      <c r="AH31" s="241">
        <v>0</v>
      </c>
      <c r="AI31" s="256"/>
      <c r="AJ31" s="257"/>
      <c r="AK31" s="241">
        <f t="shared" si="9"/>
        <v>0</v>
      </c>
      <c r="AL31" s="256"/>
      <c r="AM31" s="257"/>
      <c r="AN31" s="241">
        <f t="shared" si="11"/>
        <v>0</v>
      </c>
      <c r="AO31" s="256"/>
      <c r="AP31" s="257"/>
      <c r="AQ31" s="241">
        <f t="shared" si="13"/>
        <v>0</v>
      </c>
      <c r="AR31" s="256"/>
      <c r="AS31" s="257"/>
      <c r="AT31" s="241">
        <f t="shared" si="14"/>
        <v>0</v>
      </c>
      <c r="AW31" s="241">
        <f t="shared" si="15"/>
        <v>0</v>
      </c>
      <c r="AZ31" s="241">
        <f t="shared" si="16"/>
        <v>0</v>
      </c>
      <c r="BC31" s="241">
        <f t="shared" si="17"/>
        <v>0</v>
      </c>
      <c r="BF31" s="241">
        <f t="shared" si="18"/>
        <v>0</v>
      </c>
      <c r="BI31" s="241">
        <f t="shared" si="19"/>
        <v>0</v>
      </c>
      <c r="BL31" s="241">
        <f t="shared" si="20"/>
        <v>0</v>
      </c>
      <c r="BO31" s="241">
        <f t="shared" si="21"/>
        <v>0</v>
      </c>
      <c r="BR31" s="241">
        <f t="shared" si="22"/>
        <v>0</v>
      </c>
      <c r="BU31" s="241">
        <f t="shared" si="23"/>
        <v>0</v>
      </c>
      <c r="BX31" s="241">
        <f t="shared" si="24"/>
        <v>0</v>
      </c>
      <c r="CA31" s="241">
        <f t="shared" si="25"/>
        <v>0</v>
      </c>
      <c r="CD31" s="241">
        <f t="shared" si="26"/>
        <v>0</v>
      </c>
      <c r="CG31" s="241">
        <f t="shared" si="27"/>
        <v>0</v>
      </c>
      <c r="CJ31" s="241">
        <f t="shared" si="28"/>
        <v>0</v>
      </c>
      <c r="CM31" s="241">
        <f t="shared" si="29"/>
        <v>0</v>
      </c>
      <c r="CP31" s="241">
        <f t="shared" si="30"/>
        <v>0</v>
      </c>
      <c r="CS31" s="241">
        <f t="shared" si="31"/>
        <v>0</v>
      </c>
      <c r="CV31" s="241">
        <f t="shared" si="32"/>
        <v>0</v>
      </c>
      <c r="CY31" s="241">
        <f t="shared" si="33"/>
        <v>0</v>
      </c>
      <c r="DB31" s="241">
        <f t="shared" si="34"/>
        <v>0</v>
      </c>
      <c r="DE31" s="241">
        <f t="shared" si="35"/>
        <v>0</v>
      </c>
      <c r="DH31" s="241">
        <f t="shared" si="36"/>
        <v>0</v>
      </c>
      <c r="DK31" s="241">
        <f t="shared" si="37"/>
        <v>0</v>
      </c>
      <c r="DN31" s="241">
        <f t="shared" si="38"/>
        <v>0</v>
      </c>
      <c r="DQ31" s="241">
        <f t="shared" si="39"/>
        <v>0</v>
      </c>
      <c r="DT31" s="241">
        <f t="shared" si="40"/>
        <v>0</v>
      </c>
      <c r="DW31" s="241">
        <f t="shared" si="41"/>
        <v>0</v>
      </c>
      <c r="DZ31" s="241"/>
      <c r="EA31" s="241"/>
      <c r="EB31" s="261">
        <f t="shared" si="42"/>
        <v>18375000</v>
      </c>
      <c r="EC31" s="261">
        <f t="shared" si="43"/>
        <v>18375000</v>
      </c>
      <c r="ED31" s="241">
        <f t="shared" si="44"/>
        <v>2266.25</v>
      </c>
      <c r="EE31" s="242">
        <f t="shared" si="45"/>
        <v>4.4400000000000002E-2</v>
      </c>
      <c r="EG31" s="261">
        <f t="shared" si="46"/>
        <v>0</v>
      </c>
      <c r="EH31" s="241">
        <f t="shared" si="47"/>
        <v>0</v>
      </c>
      <c r="EI31" s="242">
        <f t="shared" si="48"/>
        <v>0</v>
      </c>
      <c r="EJ31" s="242"/>
      <c r="EK31" s="261">
        <f t="shared" si="49"/>
        <v>0</v>
      </c>
      <c r="EL31" s="261">
        <f t="shared" si="50"/>
        <v>0</v>
      </c>
      <c r="EM31" s="261">
        <f t="shared" si="51"/>
        <v>0</v>
      </c>
      <c r="EN31" s="242">
        <f t="shared" si="52"/>
        <v>0</v>
      </c>
      <c r="EP31" s="241"/>
    </row>
    <row r="32" spans="1:146" x14ac:dyDescent="0.25">
      <c r="A32" s="255">
        <f t="shared" si="53"/>
        <v>45648</v>
      </c>
      <c r="B32" s="241">
        <v>18375000</v>
      </c>
      <c r="C32" s="242">
        <v>4.4400000000000002E-2</v>
      </c>
      <c r="D32" s="241">
        <f t="shared" si="0"/>
        <v>2266.25</v>
      </c>
      <c r="G32" s="241">
        <f t="shared" si="1"/>
        <v>0</v>
      </c>
      <c r="J32" s="241">
        <f t="shared" si="2"/>
        <v>0</v>
      </c>
      <c r="M32" s="241">
        <f t="shared" si="3"/>
        <v>0</v>
      </c>
      <c r="P32" s="241">
        <f t="shared" si="4"/>
        <v>0</v>
      </c>
      <c r="S32" s="241">
        <f t="shared" si="5"/>
        <v>0</v>
      </c>
      <c r="V32" s="241">
        <f t="shared" si="6"/>
        <v>0</v>
      </c>
      <c r="Y32" s="241">
        <f t="shared" si="7"/>
        <v>0</v>
      </c>
      <c r="AB32" s="241">
        <f t="shared" si="8"/>
        <v>0</v>
      </c>
      <c r="AE32" s="241">
        <v>0</v>
      </c>
      <c r="AH32" s="241">
        <v>0</v>
      </c>
      <c r="AI32" s="256"/>
      <c r="AJ32" s="257"/>
      <c r="AK32" s="241">
        <f t="shared" si="9"/>
        <v>0</v>
      </c>
      <c r="AL32" s="256"/>
      <c r="AM32" s="257"/>
      <c r="AN32" s="241">
        <f t="shared" si="11"/>
        <v>0</v>
      </c>
      <c r="AO32" s="256"/>
      <c r="AP32" s="257"/>
      <c r="AQ32" s="241">
        <f t="shared" si="13"/>
        <v>0</v>
      </c>
      <c r="AR32" s="256"/>
      <c r="AS32" s="257"/>
      <c r="AT32" s="241">
        <f t="shared" si="14"/>
        <v>0</v>
      </c>
      <c r="AW32" s="241">
        <f t="shared" si="15"/>
        <v>0</v>
      </c>
      <c r="AZ32" s="241">
        <f t="shared" si="16"/>
        <v>0</v>
      </c>
      <c r="BC32" s="241">
        <f t="shared" si="17"/>
        <v>0</v>
      </c>
      <c r="BF32" s="241">
        <f t="shared" si="18"/>
        <v>0</v>
      </c>
      <c r="BI32" s="241">
        <f t="shared" si="19"/>
        <v>0</v>
      </c>
      <c r="BL32" s="241">
        <f t="shared" si="20"/>
        <v>0</v>
      </c>
      <c r="BO32" s="241">
        <f t="shared" si="21"/>
        <v>0</v>
      </c>
      <c r="BR32" s="241">
        <f t="shared" si="22"/>
        <v>0</v>
      </c>
      <c r="BU32" s="241">
        <f t="shared" si="23"/>
        <v>0</v>
      </c>
      <c r="BX32" s="241">
        <f t="shared" si="24"/>
        <v>0</v>
      </c>
      <c r="CA32" s="241">
        <f t="shared" si="25"/>
        <v>0</v>
      </c>
      <c r="CD32" s="241">
        <f t="shared" si="26"/>
        <v>0</v>
      </c>
      <c r="CG32" s="241">
        <f t="shared" si="27"/>
        <v>0</v>
      </c>
      <c r="CJ32" s="241">
        <f t="shared" si="28"/>
        <v>0</v>
      </c>
      <c r="CM32" s="241">
        <f t="shared" si="29"/>
        <v>0</v>
      </c>
      <c r="CP32" s="241">
        <f t="shared" si="30"/>
        <v>0</v>
      </c>
      <c r="CS32" s="241">
        <f t="shared" si="31"/>
        <v>0</v>
      </c>
      <c r="CV32" s="241">
        <f t="shared" si="32"/>
        <v>0</v>
      </c>
      <c r="CY32" s="241">
        <f t="shared" si="33"/>
        <v>0</v>
      </c>
      <c r="DB32" s="241">
        <f t="shared" si="34"/>
        <v>0</v>
      </c>
      <c r="DE32" s="241">
        <f t="shared" si="35"/>
        <v>0</v>
      </c>
      <c r="DH32" s="241">
        <f t="shared" si="36"/>
        <v>0</v>
      </c>
      <c r="DK32" s="241">
        <f t="shared" si="37"/>
        <v>0</v>
      </c>
      <c r="DN32" s="241">
        <f t="shared" si="38"/>
        <v>0</v>
      </c>
      <c r="DQ32" s="241">
        <f t="shared" si="39"/>
        <v>0</v>
      </c>
      <c r="DT32" s="241">
        <f t="shared" si="40"/>
        <v>0</v>
      </c>
      <c r="DW32" s="241">
        <f t="shared" si="41"/>
        <v>0</v>
      </c>
      <c r="DZ32" s="241"/>
      <c r="EA32" s="241"/>
      <c r="EB32" s="261">
        <f t="shared" si="42"/>
        <v>18375000</v>
      </c>
      <c r="EC32" s="261">
        <f t="shared" si="43"/>
        <v>18375000</v>
      </c>
      <c r="ED32" s="241">
        <f t="shared" si="44"/>
        <v>2266.25</v>
      </c>
      <c r="EE32" s="242">
        <f t="shared" si="45"/>
        <v>4.4400000000000002E-2</v>
      </c>
      <c r="EG32" s="261">
        <f t="shared" si="46"/>
        <v>0</v>
      </c>
      <c r="EH32" s="241">
        <f t="shared" si="47"/>
        <v>0</v>
      </c>
      <c r="EI32" s="242">
        <f t="shared" si="48"/>
        <v>0</v>
      </c>
      <c r="EJ32" s="242"/>
      <c r="EK32" s="261">
        <f t="shared" si="49"/>
        <v>0</v>
      </c>
      <c r="EL32" s="261">
        <f t="shared" si="50"/>
        <v>0</v>
      </c>
      <c r="EM32" s="261">
        <f t="shared" si="51"/>
        <v>0</v>
      </c>
      <c r="EN32" s="242">
        <f t="shared" si="52"/>
        <v>0</v>
      </c>
      <c r="EP32" s="241"/>
    </row>
    <row r="33" spans="1:146" x14ac:dyDescent="0.25">
      <c r="A33" s="255">
        <f t="shared" si="53"/>
        <v>45649</v>
      </c>
      <c r="B33" s="241">
        <v>18375000</v>
      </c>
      <c r="C33" s="242">
        <v>4.4299999999999999E-2</v>
      </c>
      <c r="D33" s="241">
        <f t="shared" si="0"/>
        <v>2261.1458333333335</v>
      </c>
      <c r="G33" s="241">
        <f t="shared" si="1"/>
        <v>0</v>
      </c>
      <c r="J33" s="241">
        <f t="shared" si="2"/>
        <v>0</v>
      </c>
      <c r="M33" s="241">
        <f t="shared" si="3"/>
        <v>0</v>
      </c>
      <c r="P33" s="241">
        <f t="shared" si="4"/>
        <v>0</v>
      </c>
      <c r="S33" s="241">
        <f t="shared" si="5"/>
        <v>0</v>
      </c>
      <c r="V33" s="241">
        <f t="shared" si="6"/>
        <v>0</v>
      </c>
      <c r="Y33" s="241">
        <f t="shared" si="7"/>
        <v>0</v>
      </c>
      <c r="AB33" s="241">
        <f t="shared" si="8"/>
        <v>0</v>
      </c>
      <c r="AE33" s="241">
        <v>0</v>
      </c>
      <c r="AH33" s="241">
        <v>0</v>
      </c>
      <c r="AI33" s="256">
        <f>10000000</f>
        <v>10000000</v>
      </c>
      <c r="AJ33" s="257">
        <v>4.5999999999999999E-2</v>
      </c>
      <c r="AK33" s="241">
        <f t="shared" si="9"/>
        <v>1277.7777777777778</v>
      </c>
      <c r="AL33" s="256"/>
      <c r="AM33" s="257"/>
      <c r="AN33" s="241">
        <f t="shared" si="11"/>
        <v>0</v>
      </c>
      <c r="AO33" s="256"/>
      <c r="AP33" s="257"/>
      <c r="AQ33" s="241">
        <f t="shared" si="13"/>
        <v>0</v>
      </c>
      <c r="AR33" s="256"/>
      <c r="AS33" s="257"/>
      <c r="AT33" s="241">
        <f t="shared" si="14"/>
        <v>0</v>
      </c>
      <c r="AW33" s="241">
        <f t="shared" si="15"/>
        <v>0</v>
      </c>
      <c r="AX33" s="241">
        <f>41700000</f>
        <v>41700000</v>
      </c>
      <c r="AY33" s="242">
        <v>4.5699999999999998E-2</v>
      </c>
      <c r="AZ33" s="241">
        <f t="shared" si="16"/>
        <v>5293.583333333333</v>
      </c>
      <c r="BC33" s="241">
        <f t="shared" si="17"/>
        <v>0</v>
      </c>
      <c r="BF33" s="241">
        <f t="shared" si="18"/>
        <v>0</v>
      </c>
      <c r="BI33" s="241">
        <f t="shared" si="19"/>
        <v>0</v>
      </c>
      <c r="BL33" s="241">
        <f t="shared" si="20"/>
        <v>0</v>
      </c>
      <c r="BO33" s="241">
        <f t="shared" si="21"/>
        <v>0</v>
      </c>
      <c r="BR33" s="241">
        <f t="shared" si="22"/>
        <v>0</v>
      </c>
      <c r="BU33" s="241">
        <f t="shared" si="23"/>
        <v>0</v>
      </c>
      <c r="BX33" s="241">
        <f t="shared" si="24"/>
        <v>0</v>
      </c>
      <c r="CA33" s="241">
        <f t="shared" si="25"/>
        <v>0</v>
      </c>
      <c r="CD33" s="241">
        <f t="shared" si="26"/>
        <v>0</v>
      </c>
      <c r="CG33" s="241">
        <f t="shared" si="27"/>
        <v>0</v>
      </c>
      <c r="CJ33" s="241">
        <f t="shared" si="28"/>
        <v>0</v>
      </c>
      <c r="CM33" s="241">
        <f t="shared" si="29"/>
        <v>0</v>
      </c>
      <c r="CP33" s="241">
        <f t="shared" si="30"/>
        <v>0</v>
      </c>
      <c r="CS33" s="241">
        <f t="shared" si="31"/>
        <v>0</v>
      </c>
      <c r="CV33" s="241">
        <f t="shared" si="32"/>
        <v>0</v>
      </c>
      <c r="CY33" s="241">
        <f t="shared" si="33"/>
        <v>0</v>
      </c>
      <c r="DB33" s="241">
        <f t="shared" si="34"/>
        <v>0</v>
      </c>
      <c r="DE33" s="241">
        <f t="shared" si="35"/>
        <v>0</v>
      </c>
      <c r="DH33" s="241">
        <f t="shared" si="36"/>
        <v>0</v>
      </c>
      <c r="DK33" s="241">
        <f t="shared" si="37"/>
        <v>0</v>
      </c>
      <c r="DN33" s="241">
        <f t="shared" si="38"/>
        <v>0</v>
      </c>
      <c r="DQ33" s="241">
        <f t="shared" si="39"/>
        <v>0</v>
      </c>
      <c r="DT33" s="241">
        <f t="shared" si="40"/>
        <v>0</v>
      </c>
      <c r="DW33" s="241">
        <f t="shared" si="41"/>
        <v>0</v>
      </c>
      <c r="DZ33" s="241"/>
      <c r="EA33" s="241"/>
      <c r="EB33" s="261">
        <f t="shared" si="42"/>
        <v>70075000</v>
      </c>
      <c r="EC33" s="261">
        <f t="shared" si="43"/>
        <v>18375000</v>
      </c>
      <c r="ED33" s="241">
        <f t="shared" si="44"/>
        <v>8832.5069444444453</v>
      </c>
      <c r="EE33" s="242">
        <f t="shared" si="45"/>
        <v>4.5375704602211915E-2</v>
      </c>
      <c r="EG33" s="261">
        <f t="shared" si="46"/>
        <v>0</v>
      </c>
      <c r="EH33" s="241">
        <f t="shared" si="47"/>
        <v>0</v>
      </c>
      <c r="EI33" s="242">
        <f t="shared" si="48"/>
        <v>0</v>
      </c>
      <c r="EJ33" s="242"/>
      <c r="EK33" s="261">
        <f t="shared" si="49"/>
        <v>51700000</v>
      </c>
      <c r="EL33" s="261">
        <f t="shared" si="50"/>
        <v>0</v>
      </c>
      <c r="EM33" s="261">
        <f t="shared" si="51"/>
        <v>6571.3611111111113</v>
      </c>
      <c r="EN33" s="242">
        <f t="shared" si="52"/>
        <v>4.5758027079303681E-2</v>
      </c>
      <c r="EP33" s="241"/>
    </row>
    <row r="34" spans="1:146" x14ac:dyDescent="0.25">
      <c r="A34" s="255">
        <f t="shared" si="53"/>
        <v>45650</v>
      </c>
      <c r="B34" s="241">
        <v>20125000</v>
      </c>
      <c r="C34" s="242">
        <v>4.4299999999999999E-2</v>
      </c>
      <c r="D34" s="241">
        <f t="shared" si="0"/>
        <v>2476.4930555555557</v>
      </c>
      <c r="G34" s="241">
        <f t="shared" si="1"/>
        <v>0</v>
      </c>
      <c r="J34" s="241">
        <f t="shared" si="2"/>
        <v>0</v>
      </c>
      <c r="M34" s="241">
        <f t="shared" si="3"/>
        <v>0</v>
      </c>
      <c r="P34" s="241">
        <f t="shared" si="4"/>
        <v>0</v>
      </c>
      <c r="S34" s="241">
        <f t="shared" si="5"/>
        <v>0</v>
      </c>
      <c r="V34" s="241">
        <f t="shared" si="6"/>
        <v>0</v>
      </c>
      <c r="Y34" s="241">
        <f t="shared" si="7"/>
        <v>0</v>
      </c>
      <c r="AB34" s="241">
        <f t="shared" si="8"/>
        <v>0</v>
      </c>
      <c r="AE34" s="241">
        <v>0</v>
      </c>
      <c r="AH34" s="241">
        <v>0</v>
      </c>
      <c r="AI34" s="256">
        <f>1125000</f>
        <v>1125000</v>
      </c>
      <c r="AJ34" s="257">
        <v>4.5999999999999999E-2</v>
      </c>
      <c r="AK34" s="241">
        <f t="shared" si="9"/>
        <v>143.75</v>
      </c>
      <c r="AL34" s="256"/>
      <c r="AM34" s="257"/>
      <c r="AN34" s="241">
        <f t="shared" si="11"/>
        <v>0</v>
      </c>
      <c r="AO34" s="256"/>
      <c r="AP34" s="257"/>
      <c r="AQ34" s="241">
        <f t="shared" si="13"/>
        <v>0</v>
      </c>
      <c r="AR34" s="256"/>
      <c r="AS34" s="257"/>
      <c r="AT34" s="241">
        <f t="shared" si="14"/>
        <v>0</v>
      </c>
      <c r="AW34" s="241">
        <f t="shared" si="15"/>
        <v>0</v>
      </c>
      <c r="AX34" s="241">
        <v>41700000</v>
      </c>
      <c r="AY34" s="242">
        <v>4.5699999999999998E-2</v>
      </c>
      <c r="AZ34" s="241">
        <f t="shared" si="16"/>
        <v>5293.583333333333</v>
      </c>
      <c r="BC34" s="241">
        <f t="shared" si="17"/>
        <v>0</v>
      </c>
      <c r="BF34" s="241">
        <f t="shared" si="18"/>
        <v>0</v>
      </c>
      <c r="BI34" s="241">
        <f t="shared" si="19"/>
        <v>0</v>
      </c>
      <c r="BL34" s="241">
        <f t="shared" si="20"/>
        <v>0</v>
      </c>
      <c r="BO34" s="241">
        <f t="shared" si="21"/>
        <v>0</v>
      </c>
      <c r="BR34" s="241">
        <f t="shared" si="22"/>
        <v>0</v>
      </c>
      <c r="BU34" s="241">
        <f t="shared" si="23"/>
        <v>0</v>
      </c>
      <c r="BX34" s="241">
        <f t="shared" si="24"/>
        <v>0</v>
      </c>
      <c r="CA34" s="241">
        <f t="shared" si="25"/>
        <v>0</v>
      </c>
      <c r="CD34" s="241">
        <f t="shared" si="26"/>
        <v>0</v>
      </c>
      <c r="CG34" s="241">
        <f t="shared" si="27"/>
        <v>0</v>
      </c>
      <c r="CJ34" s="241">
        <f t="shared" si="28"/>
        <v>0</v>
      </c>
      <c r="CM34" s="241">
        <f t="shared" si="29"/>
        <v>0</v>
      </c>
      <c r="CP34" s="241">
        <f t="shared" si="30"/>
        <v>0</v>
      </c>
      <c r="CS34" s="241">
        <f t="shared" si="31"/>
        <v>0</v>
      </c>
      <c r="CV34" s="241">
        <f t="shared" si="32"/>
        <v>0</v>
      </c>
      <c r="CY34" s="241">
        <f t="shared" si="33"/>
        <v>0</v>
      </c>
      <c r="DB34" s="241">
        <f t="shared" si="34"/>
        <v>0</v>
      </c>
      <c r="DE34" s="241">
        <f t="shared" si="35"/>
        <v>0</v>
      </c>
      <c r="DH34" s="241">
        <f t="shared" si="36"/>
        <v>0</v>
      </c>
      <c r="DK34" s="241">
        <f t="shared" si="37"/>
        <v>0</v>
      </c>
      <c r="DN34" s="241">
        <f t="shared" si="38"/>
        <v>0</v>
      </c>
      <c r="DQ34" s="241">
        <f t="shared" si="39"/>
        <v>0</v>
      </c>
      <c r="DT34" s="241">
        <f t="shared" si="40"/>
        <v>0</v>
      </c>
      <c r="DW34" s="241">
        <f t="shared" si="41"/>
        <v>0</v>
      </c>
      <c r="DZ34" s="241"/>
      <c r="EA34" s="241"/>
      <c r="EB34" s="261">
        <f t="shared" si="42"/>
        <v>62950000</v>
      </c>
      <c r="EC34" s="261">
        <f t="shared" si="43"/>
        <v>20125000</v>
      </c>
      <c r="ED34" s="241">
        <f t="shared" si="44"/>
        <v>7913.8263888888887</v>
      </c>
      <c r="EE34" s="242">
        <f t="shared" si="45"/>
        <v>4.5257783955520256E-2</v>
      </c>
      <c r="EG34" s="261">
        <f t="shared" si="46"/>
        <v>0</v>
      </c>
      <c r="EH34" s="241">
        <f t="shared" si="47"/>
        <v>0</v>
      </c>
      <c r="EI34" s="242">
        <f t="shared" si="48"/>
        <v>0</v>
      </c>
      <c r="EJ34" s="242"/>
      <c r="EK34" s="261">
        <f t="shared" si="49"/>
        <v>42825000</v>
      </c>
      <c r="EL34" s="261">
        <f t="shared" si="50"/>
        <v>0</v>
      </c>
      <c r="EM34" s="261">
        <f t="shared" si="51"/>
        <v>5437.333333333333</v>
      </c>
      <c r="EN34" s="242">
        <f t="shared" si="52"/>
        <v>4.5707880910683008E-2</v>
      </c>
      <c r="EP34" s="241"/>
    </row>
    <row r="35" spans="1:146" x14ac:dyDescent="0.25">
      <c r="A35" s="255">
        <f t="shared" si="53"/>
        <v>45651</v>
      </c>
      <c r="B35" s="241">
        <v>20125000</v>
      </c>
      <c r="C35" s="242">
        <v>4.4299999999999999E-2</v>
      </c>
      <c r="D35" s="241">
        <f t="shared" si="0"/>
        <v>2476.4930555555557</v>
      </c>
      <c r="G35" s="241">
        <f t="shared" si="1"/>
        <v>0</v>
      </c>
      <c r="J35" s="241">
        <f t="shared" si="2"/>
        <v>0</v>
      </c>
      <c r="M35" s="241">
        <f t="shared" si="3"/>
        <v>0</v>
      </c>
      <c r="P35" s="241">
        <f t="shared" si="4"/>
        <v>0</v>
      </c>
      <c r="S35" s="241">
        <f t="shared" si="5"/>
        <v>0</v>
      </c>
      <c r="V35" s="241">
        <f t="shared" si="6"/>
        <v>0</v>
      </c>
      <c r="Y35" s="241">
        <f t="shared" si="7"/>
        <v>0</v>
      </c>
      <c r="AB35" s="241">
        <f t="shared" si="8"/>
        <v>0</v>
      </c>
      <c r="AE35" s="241">
        <v>0</v>
      </c>
      <c r="AH35" s="241">
        <v>0</v>
      </c>
      <c r="AI35" s="256">
        <f>1125000</f>
        <v>1125000</v>
      </c>
      <c r="AJ35" s="257">
        <v>4.5999999999999999E-2</v>
      </c>
      <c r="AK35" s="241">
        <f t="shared" si="9"/>
        <v>143.75</v>
      </c>
      <c r="AL35" s="256"/>
      <c r="AM35" s="257"/>
      <c r="AN35" s="241">
        <f t="shared" si="11"/>
        <v>0</v>
      </c>
      <c r="AO35" s="256"/>
      <c r="AP35" s="257"/>
      <c r="AQ35" s="241">
        <f t="shared" si="13"/>
        <v>0</v>
      </c>
      <c r="AR35" s="256"/>
      <c r="AS35" s="257"/>
      <c r="AT35" s="241">
        <f t="shared" si="14"/>
        <v>0</v>
      </c>
      <c r="AW35" s="241">
        <f t="shared" si="15"/>
        <v>0</v>
      </c>
      <c r="AX35" s="241">
        <v>41700000</v>
      </c>
      <c r="AY35" s="242">
        <v>4.5699999999999998E-2</v>
      </c>
      <c r="AZ35" s="241">
        <f t="shared" si="16"/>
        <v>5293.583333333333</v>
      </c>
      <c r="BC35" s="241">
        <f t="shared" si="17"/>
        <v>0</v>
      </c>
      <c r="BF35" s="241">
        <f t="shared" si="18"/>
        <v>0</v>
      </c>
      <c r="BI35" s="241">
        <f t="shared" si="19"/>
        <v>0</v>
      </c>
      <c r="BL35" s="241">
        <f t="shared" si="20"/>
        <v>0</v>
      </c>
      <c r="BO35" s="241">
        <f t="shared" si="21"/>
        <v>0</v>
      </c>
      <c r="BR35" s="241">
        <f t="shared" si="22"/>
        <v>0</v>
      </c>
      <c r="BU35" s="241">
        <f t="shared" si="23"/>
        <v>0</v>
      </c>
      <c r="BX35" s="241">
        <f t="shared" si="24"/>
        <v>0</v>
      </c>
      <c r="CA35" s="241">
        <f t="shared" si="25"/>
        <v>0</v>
      </c>
      <c r="CD35" s="241">
        <f t="shared" si="26"/>
        <v>0</v>
      </c>
      <c r="CG35" s="241">
        <f t="shared" si="27"/>
        <v>0</v>
      </c>
      <c r="CJ35" s="241">
        <f t="shared" si="28"/>
        <v>0</v>
      </c>
      <c r="CM35" s="241">
        <f t="shared" si="29"/>
        <v>0</v>
      </c>
      <c r="CP35" s="241">
        <f t="shared" si="30"/>
        <v>0</v>
      </c>
      <c r="CS35" s="241">
        <f t="shared" si="31"/>
        <v>0</v>
      </c>
      <c r="CV35" s="241">
        <f t="shared" si="32"/>
        <v>0</v>
      </c>
      <c r="CY35" s="241">
        <f t="shared" si="33"/>
        <v>0</v>
      </c>
      <c r="DB35" s="241">
        <f t="shared" si="34"/>
        <v>0</v>
      </c>
      <c r="DE35" s="241">
        <f t="shared" si="35"/>
        <v>0</v>
      </c>
      <c r="DH35" s="241">
        <f t="shared" si="36"/>
        <v>0</v>
      </c>
      <c r="DK35" s="241">
        <f t="shared" si="37"/>
        <v>0</v>
      </c>
      <c r="DN35" s="241">
        <f t="shared" si="38"/>
        <v>0</v>
      </c>
      <c r="DQ35" s="241">
        <f t="shared" si="39"/>
        <v>0</v>
      </c>
      <c r="DT35" s="241">
        <f t="shared" si="40"/>
        <v>0</v>
      </c>
      <c r="DW35" s="241">
        <f t="shared" si="41"/>
        <v>0</v>
      </c>
      <c r="DZ35" s="241"/>
      <c r="EA35" s="241"/>
      <c r="EB35" s="261">
        <f t="shared" si="42"/>
        <v>62950000</v>
      </c>
      <c r="EC35" s="261">
        <f t="shared" si="43"/>
        <v>20125000</v>
      </c>
      <c r="ED35" s="241">
        <f t="shared" si="44"/>
        <v>7913.8263888888887</v>
      </c>
      <c r="EE35" s="242">
        <f t="shared" si="45"/>
        <v>4.5257783955520256E-2</v>
      </c>
      <c r="EG35" s="261">
        <f t="shared" si="46"/>
        <v>0</v>
      </c>
      <c r="EH35" s="241">
        <f t="shared" si="47"/>
        <v>0</v>
      </c>
      <c r="EI35" s="242">
        <f t="shared" si="48"/>
        <v>0</v>
      </c>
      <c r="EJ35" s="242"/>
      <c r="EK35" s="261">
        <f t="shared" si="49"/>
        <v>42825000</v>
      </c>
      <c r="EL35" s="261">
        <f t="shared" si="50"/>
        <v>0</v>
      </c>
      <c r="EM35" s="261">
        <f t="shared" si="51"/>
        <v>5437.333333333333</v>
      </c>
      <c r="EN35" s="242">
        <f t="shared" si="52"/>
        <v>4.5707880910683008E-2</v>
      </c>
      <c r="EP35" s="241"/>
    </row>
    <row r="36" spans="1:146" x14ac:dyDescent="0.25">
      <c r="A36" s="255">
        <f t="shared" si="53"/>
        <v>45652</v>
      </c>
      <c r="B36" s="241">
        <v>18725000</v>
      </c>
      <c r="C36" s="242">
        <v>4.4299999999999999E-2</v>
      </c>
      <c r="D36" s="241">
        <f t="shared" si="0"/>
        <v>2304.2152777777778</v>
      </c>
      <c r="G36" s="241">
        <f t="shared" si="1"/>
        <v>0</v>
      </c>
      <c r="J36" s="241">
        <f t="shared" si="2"/>
        <v>0</v>
      </c>
      <c r="M36" s="241">
        <f t="shared" si="3"/>
        <v>0</v>
      </c>
      <c r="P36" s="241">
        <f t="shared" si="4"/>
        <v>0</v>
      </c>
      <c r="S36" s="241">
        <f t="shared" si="5"/>
        <v>0</v>
      </c>
      <c r="V36" s="241">
        <f t="shared" si="6"/>
        <v>0</v>
      </c>
      <c r="Y36" s="241">
        <f t="shared" si="7"/>
        <v>0</v>
      </c>
      <c r="AB36" s="241">
        <f t="shared" si="8"/>
        <v>0</v>
      </c>
      <c r="AE36" s="241">
        <v>0</v>
      </c>
      <c r="AH36" s="241">
        <v>0</v>
      </c>
      <c r="AI36" s="256">
        <f>30000000+27875000</f>
        <v>57875000</v>
      </c>
      <c r="AJ36" s="257">
        <v>4.5699999999999998E-2</v>
      </c>
      <c r="AK36" s="241">
        <f t="shared" si="9"/>
        <v>7346.9097222222226</v>
      </c>
      <c r="AL36" s="256"/>
      <c r="AM36" s="257"/>
      <c r="AN36" s="241">
        <f t="shared" si="11"/>
        <v>0</v>
      </c>
      <c r="AO36" s="256"/>
      <c r="AP36" s="257"/>
      <c r="AQ36" s="241">
        <f t="shared" si="13"/>
        <v>0</v>
      </c>
      <c r="AR36" s="256"/>
      <c r="AS36" s="257"/>
      <c r="AT36" s="241">
        <f t="shared" si="14"/>
        <v>0</v>
      </c>
      <c r="AW36" s="241">
        <f t="shared" si="15"/>
        <v>0</v>
      </c>
      <c r="AZ36" s="241">
        <f t="shared" si="16"/>
        <v>0</v>
      </c>
      <c r="BC36" s="241">
        <f t="shared" si="17"/>
        <v>0</v>
      </c>
      <c r="BF36" s="241">
        <f t="shared" si="18"/>
        <v>0</v>
      </c>
      <c r="BI36" s="241">
        <f t="shared" si="19"/>
        <v>0</v>
      </c>
      <c r="BL36" s="241">
        <f t="shared" si="20"/>
        <v>0</v>
      </c>
      <c r="BO36" s="241">
        <f t="shared" si="21"/>
        <v>0</v>
      </c>
      <c r="BR36" s="241">
        <f t="shared" si="22"/>
        <v>0</v>
      </c>
      <c r="BU36" s="241">
        <f t="shared" si="23"/>
        <v>0</v>
      </c>
      <c r="BX36" s="241">
        <f t="shared" si="24"/>
        <v>0</v>
      </c>
      <c r="CA36" s="241">
        <f t="shared" si="25"/>
        <v>0</v>
      </c>
      <c r="CD36" s="241">
        <f t="shared" si="26"/>
        <v>0</v>
      </c>
      <c r="CG36" s="241">
        <f t="shared" si="27"/>
        <v>0</v>
      </c>
      <c r="CJ36" s="241">
        <f t="shared" si="28"/>
        <v>0</v>
      </c>
      <c r="CM36" s="241">
        <f t="shared" si="29"/>
        <v>0</v>
      </c>
      <c r="CP36" s="241">
        <f t="shared" si="30"/>
        <v>0</v>
      </c>
      <c r="CS36" s="241">
        <f t="shared" si="31"/>
        <v>0</v>
      </c>
      <c r="CV36" s="241">
        <f t="shared" si="32"/>
        <v>0</v>
      </c>
      <c r="CY36" s="241">
        <f t="shared" si="33"/>
        <v>0</v>
      </c>
      <c r="DB36" s="241">
        <f t="shared" si="34"/>
        <v>0</v>
      </c>
      <c r="DE36" s="241">
        <f t="shared" si="35"/>
        <v>0</v>
      </c>
      <c r="DH36" s="241">
        <f t="shared" si="36"/>
        <v>0</v>
      </c>
      <c r="DK36" s="241">
        <f t="shared" si="37"/>
        <v>0</v>
      </c>
      <c r="DN36" s="241">
        <f t="shared" si="38"/>
        <v>0</v>
      </c>
      <c r="DQ36" s="241">
        <f t="shared" si="39"/>
        <v>0</v>
      </c>
      <c r="DT36" s="241">
        <f t="shared" si="40"/>
        <v>0</v>
      </c>
      <c r="DW36" s="241">
        <f t="shared" si="41"/>
        <v>0</v>
      </c>
      <c r="DZ36" s="241"/>
      <c r="EA36" s="241"/>
      <c r="EB36" s="261">
        <f t="shared" si="42"/>
        <v>76600000</v>
      </c>
      <c r="EC36" s="261">
        <f t="shared" si="43"/>
        <v>18725000</v>
      </c>
      <c r="ED36" s="241">
        <f t="shared" si="44"/>
        <v>9651.125</v>
      </c>
      <c r="EE36" s="242">
        <f t="shared" si="45"/>
        <v>4.5357767624020891E-2</v>
      </c>
      <c r="EG36" s="261">
        <f t="shared" si="46"/>
        <v>0</v>
      </c>
      <c r="EH36" s="241">
        <f t="shared" si="47"/>
        <v>0</v>
      </c>
      <c r="EI36" s="242">
        <f t="shared" si="48"/>
        <v>0</v>
      </c>
      <c r="EJ36" s="242"/>
      <c r="EK36" s="261">
        <f t="shared" si="49"/>
        <v>57875000</v>
      </c>
      <c r="EL36" s="261">
        <f t="shared" si="50"/>
        <v>0</v>
      </c>
      <c r="EM36" s="261">
        <f t="shared" si="51"/>
        <v>7346.9097222222226</v>
      </c>
      <c r="EN36" s="242">
        <f t="shared" si="52"/>
        <v>4.5699999999999998E-2</v>
      </c>
      <c r="EP36" s="241"/>
    </row>
    <row r="37" spans="1:146" x14ac:dyDescent="0.25">
      <c r="A37" s="255">
        <f t="shared" si="53"/>
        <v>45653</v>
      </c>
      <c r="B37" s="241">
        <v>18075000</v>
      </c>
      <c r="C37" s="242">
        <v>4.4299999999999999E-2</v>
      </c>
      <c r="D37" s="241">
        <f t="shared" si="0"/>
        <v>2224.2291666666665</v>
      </c>
      <c r="G37" s="241">
        <f t="shared" si="1"/>
        <v>0</v>
      </c>
      <c r="J37" s="241">
        <f t="shared" si="2"/>
        <v>0</v>
      </c>
      <c r="M37" s="241">
        <f t="shared" si="3"/>
        <v>0</v>
      </c>
      <c r="P37" s="241">
        <f t="shared" si="4"/>
        <v>0</v>
      </c>
      <c r="S37" s="241">
        <f t="shared" si="5"/>
        <v>0</v>
      </c>
      <c r="V37" s="241">
        <f t="shared" si="6"/>
        <v>0</v>
      </c>
      <c r="Y37" s="241">
        <f t="shared" si="7"/>
        <v>0</v>
      </c>
      <c r="AB37" s="241">
        <f t="shared" si="8"/>
        <v>0</v>
      </c>
      <c r="AE37" s="241">
        <v>0</v>
      </c>
      <c r="AH37" s="241">
        <v>0</v>
      </c>
      <c r="AI37" s="256">
        <f>30000000+29375000</f>
        <v>59375000</v>
      </c>
      <c r="AJ37" s="257">
        <v>4.5699999999999998E-2</v>
      </c>
      <c r="AK37" s="241">
        <f t="shared" si="9"/>
        <v>7537.3263888888887</v>
      </c>
      <c r="AL37" s="256"/>
      <c r="AM37" s="257"/>
      <c r="AN37" s="241">
        <f t="shared" si="11"/>
        <v>0</v>
      </c>
      <c r="AO37" s="256"/>
      <c r="AP37" s="257"/>
      <c r="AQ37" s="241">
        <f t="shared" si="13"/>
        <v>0</v>
      </c>
      <c r="AR37" s="256"/>
      <c r="AS37" s="257"/>
      <c r="AT37" s="241">
        <f t="shared" si="14"/>
        <v>0</v>
      </c>
      <c r="AW37" s="241">
        <f t="shared" si="15"/>
        <v>0</v>
      </c>
      <c r="AZ37" s="241">
        <f t="shared" si="16"/>
        <v>0</v>
      </c>
      <c r="BC37" s="241">
        <f t="shared" si="17"/>
        <v>0</v>
      </c>
      <c r="BF37" s="241">
        <f t="shared" si="18"/>
        <v>0</v>
      </c>
      <c r="BI37" s="241">
        <f t="shared" si="19"/>
        <v>0</v>
      </c>
      <c r="BL37" s="241">
        <f t="shared" si="20"/>
        <v>0</v>
      </c>
      <c r="BO37" s="241">
        <f t="shared" si="21"/>
        <v>0</v>
      </c>
      <c r="BR37" s="241">
        <f t="shared" si="22"/>
        <v>0</v>
      </c>
      <c r="BU37" s="241">
        <f t="shared" si="23"/>
        <v>0</v>
      </c>
      <c r="BX37" s="241">
        <f t="shared" si="24"/>
        <v>0</v>
      </c>
      <c r="CA37" s="241">
        <f t="shared" si="25"/>
        <v>0</v>
      </c>
      <c r="CD37" s="241">
        <f t="shared" si="26"/>
        <v>0</v>
      </c>
      <c r="CG37" s="241">
        <f t="shared" si="27"/>
        <v>0</v>
      </c>
      <c r="CJ37" s="241">
        <f t="shared" si="28"/>
        <v>0</v>
      </c>
      <c r="CM37" s="241">
        <f t="shared" si="29"/>
        <v>0</v>
      </c>
      <c r="CP37" s="241">
        <f t="shared" si="30"/>
        <v>0</v>
      </c>
      <c r="CS37" s="241">
        <f t="shared" si="31"/>
        <v>0</v>
      </c>
      <c r="CV37" s="241">
        <f t="shared" si="32"/>
        <v>0</v>
      </c>
      <c r="CY37" s="241">
        <f t="shared" si="33"/>
        <v>0</v>
      </c>
      <c r="DB37" s="241">
        <f t="shared" si="34"/>
        <v>0</v>
      </c>
      <c r="DE37" s="241">
        <f t="shared" si="35"/>
        <v>0</v>
      </c>
      <c r="DH37" s="241">
        <f t="shared" si="36"/>
        <v>0</v>
      </c>
      <c r="DK37" s="241">
        <f t="shared" si="37"/>
        <v>0</v>
      </c>
      <c r="DN37" s="241">
        <f t="shared" si="38"/>
        <v>0</v>
      </c>
      <c r="DQ37" s="241">
        <f t="shared" si="39"/>
        <v>0</v>
      </c>
      <c r="DT37" s="241">
        <f t="shared" si="40"/>
        <v>0</v>
      </c>
      <c r="DW37" s="241">
        <f t="shared" si="41"/>
        <v>0</v>
      </c>
      <c r="DZ37" s="241"/>
      <c r="EA37" s="241"/>
      <c r="EB37" s="261">
        <f t="shared" si="42"/>
        <v>77450000</v>
      </c>
      <c r="EC37" s="261">
        <f t="shared" si="43"/>
        <v>18075000</v>
      </c>
      <c r="ED37" s="241">
        <f t="shared" si="44"/>
        <v>9761.5555555555547</v>
      </c>
      <c r="EE37" s="242">
        <f t="shared" si="45"/>
        <v>4.5373273079406064E-2</v>
      </c>
      <c r="EG37" s="261">
        <f t="shared" si="46"/>
        <v>0</v>
      </c>
      <c r="EH37" s="241">
        <f t="shared" si="47"/>
        <v>0</v>
      </c>
      <c r="EI37" s="242">
        <f t="shared" si="48"/>
        <v>0</v>
      </c>
      <c r="EJ37" s="242"/>
      <c r="EK37" s="261">
        <f t="shared" si="49"/>
        <v>59375000</v>
      </c>
      <c r="EL37" s="261">
        <f t="shared" si="50"/>
        <v>0</v>
      </c>
      <c r="EM37" s="261">
        <f t="shared" si="51"/>
        <v>7537.3263888888887</v>
      </c>
      <c r="EN37" s="242">
        <f t="shared" si="52"/>
        <v>4.5699999999999998E-2</v>
      </c>
      <c r="EP37" s="241"/>
    </row>
    <row r="38" spans="1:146" x14ac:dyDescent="0.25">
      <c r="A38" s="255">
        <f t="shared" si="53"/>
        <v>45654</v>
      </c>
      <c r="B38" s="241">
        <v>18075000</v>
      </c>
      <c r="C38" s="242">
        <v>4.4299999999999999E-2</v>
      </c>
      <c r="D38" s="241">
        <f t="shared" si="0"/>
        <v>2224.2291666666665</v>
      </c>
      <c r="G38" s="241">
        <f t="shared" si="1"/>
        <v>0</v>
      </c>
      <c r="J38" s="241">
        <f t="shared" si="2"/>
        <v>0</v>
      </c>
      <c r="M38" s="241">
        <f t="shared" si="3"/>
        <v>0</v>
      </c>
      <c r="P38" s="241">
        <f t="shared" si="4"/>
        <v>0</v>
      </c>
      <c r="S38" s="241">
        <f t="shared" si="5"/>
        <v>0</v>
      </c>
      <c r="V38" s="241">
        <f t="shared" si="6"/>
        <v>0</v>
      </c>
      <c r="Y38" s="241">
        <f t="shared" si="7"/>
        <v>0</v>
      </c>
      <c r="AB38" s="241">
        <f t="shared" si="8"/>
        <v>0</v>
      </c>
      <c r="AE38" s="241">
        <v>0</v>
      </c>
      <c r="AH38" s="241">
        <v>0</v>
      </c>
      <c r="AI38" s="256">
        <f>30000000+29375000</f>
        <v>59375000</v>
      </c>
      <c r="AJ38" s="257">
        <v>4.5699999999999998E-2</v>
      </c>
      <c r="AK38" s="241">
        <f t="shared" si="9"/>
        <v>7537.3263888888887</v>
      </c>
      <c r="AL38" s="256"/>
      <c r="AM38" s="257"/>
      <c r="AN38" s="241">
        <f t="shared" si="11"/>
        <v>0</v>
      </c>
      <c r="AO38" s="256"/>
      <c r="AP38" s="257"/>
      <c r="AQ38" s="241">
        <f t="shared" si="13"/>
        <v>0</v>
      </c>
      <c r="AR38" s="256"/>
      <c r="AS38" s="257"/>
      <c r="AT38" s="241">
        <f t="shared" si="14"/>
        <v>0</v>
      </c>
      <c r="AW38" s="241">
        <f t="shared" si="15"/>
        <v>0</v>
      </c>
      <c r="AZ38" s="241">
        <f t="shared" si="16"/>
        <v>0</v>
      </c>
      <c r="BC38" s="241">
        <f t="shared" si="17"/>
        <v>0</v>
      </c>
      <c r="BF38" s="241">
        <f t="shared" si="18"/>
        <v>0</v>
      </c>
      <c r="BI38" s="241">
        <f t="shared" si="19"/>
        <v>0</v>
      </c>
      <c r="BL38" s="241">
        <f t="shared" si="20"/>
        <v>0</v>
      </c>
      <c r="BO38" s="241">
        <f t="shared" si="21"/>
        <v>0</v>
      </c>
      <c r="BR38" s="241">
        <f t="shared" si="22"/>
        <v>0</v>
      </c>
      <c r="BU38" s="241">
        <f t="shared" si="23"/>
        <v>0</v>
      </c>
      <c r="BX38" s="241">
        <f t="shared" si="24"/>
        <v>0</v>
      </c>
      <c r="CA38" s="241">
        <f t="shared" si="25"/>
        <v>0</v>
      </c>
      <c r="CD38" s="241">
        <f t="shared" si="26"/>
        <v>0</v>
      </c>
      <c r="CG38" s="241">
        <f t="shared" si="27"/>
        <v>0</v>
      </c>
      <c r="CJ38" s="241">
        <f t="shared" si="28"/>
        <v>0</v>
      </c>
      <c r="CM38" s="241">
        <f t="shared" si="29"/>
        <v>0</v>
      </c>
      <c r="CP38" s="241">
        <f t="shared" si="30"/>
        <v>0</v>
      </c>
      <c r="CS38" s="241">
        <f t="shared" si="31"/>
        <v>0</v>
      </c>
      <c r="CV38" s="241">
        <f t="shared" si="32"/>
        <v>0</v>
      </c>
      <c r="CY38" s="241">
        <f t="shared" si="33"/>
        <v>0</v>
      </c>
      <c r="DB38" s="241">
        <f t="shared" si="34"/>
        <v>0</v>
      </c>
      <c r="DE38" s="241">
        <f t="shared" si="35"/>
        <v>0</v>
      </c>
      <c r="DH38" s="241">
        <f t="shared" si="36"/>
        <v>0</v>
      </c>
      <c r="DK38" s="241">
        <f t="shared" si="37"/>
        <v>0</v>
      </c>
      <c r="DN38" s="241">
        <f t="shared" si="38"/>
        <v>0</v>
      </c>
      <c r="DQ38" s="241">
        <f t="shared" si="39"/>
        <v>0</v>
      </c>
      <c r="DT38" s="241">
        <f t="shared" si="40"/>
        <v>0</v>
      </c>
      <c r="DW38" s="241">
        <f t="shared" si="41"/>
        <v>0</v>
      </c>
      <c r="DZ38" s="241"/>
      <c r="EA38" s="241"/>
      <c r="EB38" s="261">
        <f t="shared" si="42"/>
        <v>77450000</v>
      </c>
      <c r="EC38" s="261">
        <f t="shared" si="43"/>
        <v>18075000</v>
      </c>
      <c r="ED38" s="241">
        <f t="shared" si="44"/>
        <v>9761.5555555555547</v>
      </c>
      <c r="EE38" s="242">
        <f t="shared" si="45"/>
        <v>4.5373273079406064E-2</v>
      </c>
      <c r="EG38" s="261">
        <f t="shared" si="46"/>
        <v>0</v>
      </c>
      <c r="EH38" s="241">
        <f t="shared" si="47"/>
        <v>0</v>
      </c>
      <c r="EI38" s="242">
        <f t="shared" si="48"/>
        <v>0</v>
      </c>
      <c r="EJ38" s="242"/>
      <c r="EK38" s="261">
        <f t="shared" si="49"/>
        <v>59375000</v>
      </c>
      <c r="EL38" s="261">
        <f t="shared" si="50"/>
        <v>0</v>
      </c>
      <c r="EM38" s="261">
        <f t="shared" si="51"/>
        <v>7537.3263888888887</v>
      </c>
      <c r="EN38" s="242">
        <f t="shared" si="52"/>
        <v>4.5699999999999998E-2</v>
      </c>
      <c r="EP38" s="241"/>
    </row>
    <row r="39" spans="1:146" x14ac:dyDescent="0.25">
      <c r="A39" s="255">
        <f t="shared" si="53"/>
        <v>45655</v>
      </c>
      <c r="B39" s="241">
        <v>18075000</v>
      </c>
      <c r="C39" s="242">
        <v>4.4299999999999999E-2</v>
      </c>
      <c r="D39" s="241">
        <f t="shared" si="0"/>
        <v>2224.2291666666665</v>
      </c>
      <c r="G39" s="241">
        <f t="shared" si="1"/>
        <v>0</v>
      </c>
      <c r="J39" s="241">
        <f t="shared" si="2"/>
        <v>0</v>
      </c>
      <c r="M39" s="241">
        <f t="shared" si="3"/>
        <v>0</v>
      </c>
      <c r="P39" s="241">
        <f t="shared" si="4"/>
        <v>0</v>
      </c>
      <c r="S39" s="241">
        <f t="shared" si="5"/>
        <v>0</v>
      </c>
      <c r="V39" s="241">
        <f t="shared" si="6"/>
        <v>0</v>
      </c>
      <c r="Y39" s="241">
        <f t="shared" si="7"/>
        <v>0</v>
      </c>
      <c r="AB39" s="241">
        <f t="shared" si="8"/>
        <v>0</v>
      </c>
      <c r="AE39" s="241">
        <v>0</v>
      </c>
      <c r="AH39" s="241">
        <v>0</v>
      </c>
      <c r="AI39" s="256">
        <f>30000000+29375000</f>
        <v>59375000</v>
      </c>
      <c r="AJ39" s="257">
        <v>4.5699999999999998E-2</v>
      </c>
      <c r="AK39" s="241">
        <f t="shared" si="9"/>
        <v>7537.3263888888887</v>
      </c>
      <c r="AL39" s="256"/>
      <c r="AM39" s="257"/>
      <c r="AN39" s="241">
        <f t="shared" si="11"/>
        <v>0</v>
      </c>
      <c r="AO39" s="256"/>
      <c r="AP39" s="257"/>
      <c r="AQ39" s="241">
        <f t="shared" si="13"/>
        <v>0</v>
      </c>
      <c r="AR39" s="256"/>
      <c r="AS39" s="257"/>
      <c r="AT39" s="241">
        <f t="shared" si="14"/>
        <v>0</v>
      </c>
      <c r="AW39" s="241">
        <f t="shared" si="15"/>
        <v>0</v>
      </c>
      <c r="AZ39" s="241">
        <f t="shared" si="16"/>
        <v>0</v>
      </c>
      <c r="BC39" s="241">
        <f t="shared" si="17"/>
        <v>0</v>
      </c>
      <c r="BF39" s="241">
        <f t="shared" si="18"/>
        <v>0</v>
      </c>
      <c r="BI39" s="241">
        <f t="shared" si="19"/>
        <v>0</v>
      </c>
      <c r="BL39" s="241">
        <f t="shared" si="20"/>
        <v>0</v>
      </c>
      <c r="BO39" s="241">
        <f t="shared" si="21"/>
        <v>0</v>
      </c>
      <c r="BR39" s="241">
        <f t="shared" si="22"/>
        <v>0</v>
      </c>
      <c r="BU39" s="241">
        <f t="shared" si="23"/>
        <v>0</v>
      </c>
      <c r="BX39" s="241">
        <f t="shared" si="24"/>
        <v>0</v>
      </c>
      <c r="CA39" s="241">
        <f t="shared" si="25"/>
        <v>0</v>
      </c>
      <c r="CD39" s="241">
        <f t="shared" si="26"/>
        <v>0</v>
      </c>
      <c r="CG39" s="241">
        <f t="shared" si="27"/>
        <v>0</v>
      </c>
      <c r="CJ39" s="241">
        <f t="shared" si="28"/>
        <v>0</v>
      </c>
      <c r="CM39" s="241">
        <f t="shared" si="29"/>
        <v>0</v>
      </c>
      <c r="CP39" s="241">
        <f t="shared" si="30"/>
        <v>0</v>
      </c>
      <c r="CS39" s="241">
        <f t="shared" si="31"/>
        <v>0</v>
      </c>
      <c r="CV39" s="241">
        <f t="shared" si="32"/>
        <v>0</v>
      </c>
      <c r="CY39" s="241">
        <f t="shared" si="33"/>
        <v>0</v>
      </c>
      <c r="DB39" s="241">
        <f t="shared" si="34"/>
        <v>0</v>
      </c>
      <c r="DE39" s="241">
        <f t="shared" si="35"/>
        <v>0</v>
      </c>
      <c r="DH39" s="241">
        <f t="shared" si="36"/>
        <v>0</v>
      </c>
      <c r="DK39" s="241">
        <f t="shared" si="37"/>
        <v>0</v>
      </c>
      <c r="DN39" s="241">
        <f t="shared" si="38"/>
        <v>0</v>
      </c>
      <c r="DQ39" s="241">
        <f t="shared" si="39"/>
        <v>0</v>
      </c>
      <c r="DT39" s="241">
        <f t="shared" si="40"/>
        <v>0</v>
      </c>
      <c r="DW39" s="241">
        <f t="shared" si="41"/>
        <v>0</v>
      </c>
      <c r="DZ39" s="241"/>
      <c r="EA39" s="241"/>
      <c r="EB39" s="261">
        <f t="shared" si="42"/>
        <v>77450000</v>
      </c>
      <c r="EC39" s="261">
        <f t="shared" si="43"/>
        <v>18075000</v>
      </c>
      <c r="ED39" s="241">
        <f t="shared" si="44"/>
        <v>9761.5555555555547</v>
      </c>
      <c r="EE39" s="242">
        <f t="shared" si="45"/>
        <v>4.5373273079406064E-2</v>
      </c>
      <c r="EG39" s="261">
        <f t="shared" si="46"/>
        <v>0</v>
      </c>
      <c r="EH39" s="241">
        <f t="shared" si="47"/>
        <v>0</v>
      </c>
      <c r="EI39" s="242">
        <f t="shared" si="48"/>
        <v>0</v>
      </c>
      <c r="EJ39" s="242"/>
      <c r="EK39" s="261">
        <f t="shared" si="49"/>
        <v>59375000</v>
      </c>
      <c r="EL39" s="261">
        <f t="shared" si="50"/>
        <v>0</v>
      </c>
      <c r="EM39" s="261">
        <f t="shared" si="51"/>
        <v>7537.3263888888887</v>
      </c>
      <c r="EN39" s="242">
        <f t="shared" si="52"/>
        <v>4.5699999999999998E-2</v>
      </c>
      <c r="EP39" s="241"/>
    </row>
    <row r="40" spans="1:146" x14ac:dyDescent="0.25">
      <c r="A40" s="255">
        <f t="shared" si="53"/>
        <v>45656</v>
      </c>
      <c r="B40" s="241">
        <v>15600000</v>
      </c>
      <c r="C40" s="242">
        <v>4.4299999999999999E-2</v>
      </c>
      <c r="D40" s="241">
        <f t="shared" si="0"/>
        <v>1919.6666666666667</v>
      </c>
      <c r="G40" s="241">
        <f t="shared" si="1"/>
        <v>0</v>
      </c>
      <c r="J40" s="241">
        <f t="shared" si="2"/>
        <v>0</v>
      </c>
      <c r="M40" s="241">
        <f t="shared" si="3"/>
        <v>0</v>
      </c>
      <c r="P40" s="241">
        <f t="shared" si="4"/>
        <v>0</v>
      </c>
      <c r="S40" s="241">
        <f t="shared" si="5"/>
        <v>0</v>
      </c>
      <c r="V40" s="241">
        <f t="shared" si="6"/>
        <v>0</v>
      </c>
      <c r="Y40" s="241">
        <f t="shared" si="7"/>
        <v>0</v>
      </c>
      <c r="AB40" s="241">
        <f t="shared" si="8"/>
        <v>0</v>
      </c>
      <c r="AE40" s="241">
        <v>0</v>
      </c>
      <c r="AH40" s="241">
        <v>0</v>
      </c>
      <c r="AI40" s="256">
        <f>23650000+40000000</f>
        <v>63650000</v>
      </c>
      <c r="AJ40" s="257">
        <v>4.5699999999999998E-2</v>
      </c>
      <c r="AK40" s="241">
        <f t="shared" si="9"/>
        <v>8080.0138888888887</v>
      </c>
      <c r="AL40" s="256"/>
      <c r="AM40" s="257"/>
      <c r="AN40" s="241">
        <f t="shared" si="11"/>
        <v>0</v>
      </c>
      <c r="AO40" s="256"/>
      <c r="AP40" s="257"/>
      <c r="AQ40" s="241">
        <f t="shared" si="13"/>
        <v>0</v>
      </c>
      <c r="AR40" s="256"/>
      <c r="AS40" s="257"/>
      <c r="AT40" s="241">
        <f t="shared" si="14"/>
        <v>0</v>
      </c>
      <c r="AW40" s="241">
        <f t="shared" si="15"/>
        <v>0</v>
      </c>
      <c r="AZ40" s="241">
        <f t="shared" si="16"/>
        <v>0</v>
      </c>
      <c r="BC40" s="241">
        <f t="shared" si="17"/>
        <v>0</v>
      </c>
      <c r="BF40" s="241">
        <f t="shared" si="18"/>
        <v>0</v>
      </c>
      <c r="BI40" s="241">
        <f t="shared" si="19"/>
        <v>0</v>
      </c>
      <c r="BL40" s="241">
        <f t="shared" si="20"/>
        <v>0</v>
      </c>
      <c r="BO40" s="241">
        <f t="shared" si="21"/>
        <v>0</v>
      </c>
      <c r="BR40" s="241">
        <f t="shared" si="22"/>
        <v>0</v>
      </c>
      <c r="BU40" s="241">
        <f t="shared" si="23"/>
        <v>0</v>
      </c>
      <c r="BX40" s="241">
        <f t="shared" si="24"/>
        <v>0</v>
      </c>
      <c r="CA40" s="241">
        <f t="shared" si="25"/>
        <v>0</v>
      </c>
      <c r="CD40" s="241">
        <f t="shared" si="26"/>
        <v>0</v>
      </c>
      <c r="CG40" s="241">
        <f t="shared" si="27"/>
        <v>0</v>
      </c>
      <c r="CJ40" s="241">
        <f t="shared" si="28"/>
        <v>0</v>
      </c>
      <c r="CM40" s="241">
        <f t="shared" si="29"/>
        <v>0</v>
      </c>
      <c r="CP40" s="241">
        <f t="shared" si="30"/>
        <v>0</v>
      </c>
      <c r="CS40" s="241">
        <f t="shared" si="31"/>
        <v>0</v>
      </c>
      <c r="CV40" s="241">
        <f t="shared" si="32"/>
        <v>0</v>
      </c>
      <c r="CY40" s="241">
        <f t="shared" si="33"/>
        <v>0</v>
      </c>
      <c r="DB40" s="241">
        <f t="shared" si="34"/>
        <v>0</v>
      </c>
      <c r="DE40" s="241">
        <f t="shared" si="35"/>
        <v>0</v>
      </c>
      <c r="DH40" s="241">
        <f t="shared" si="36"/>
        <v>0</v>
      </c>
      <c r="DK40" s="241">
        <f t="shared" si="37"/>
        <v>0</v>
      </c>
      <c r="DN40" s="241">
        <f t="shared" si="38"/>
        <v>0</v>
      </c>
      <c r="DQ40" s="241">
        <f t="shared" si="39"/>
        <v>0</v>
      </c>
      <c r="DT40" s="241">
        <f t="shared" si="40"/>
        <v>0</v>
      </c>
      <c r="DW40" s="241">
        <f t="shared" si="41"/>
        <v>0</v>
      </c>
      <c r="DZ40" s="241"/>
      <c r="EA40" s="241"/>
      <c r="EB40" s="261">
        <f t="shared" si="42"/>
        <v>79250000</v>
      </c>
      <c r="EC40" s="261">
        <f t="shared" si="43"/>
        <v>15600000</v>
      </c>
      <c r="ED40" s="241">
        <f t="shared" si="44"/>
        <v>9999.6805555555547</v>
      </c>
      <c r="EE40" s="242">
        <f t="shared" si="45"/>
        <v>4.5424416403785486E-2</v>
      </c>
      <c r="EG40" s="261">
        <f t="shared" si="46"/>
        <v>0</v>
      </c>
      <c r="EH40" s="241">
        <f t="shared" si="47"/>
        <v>0</v>
      </c>
      <c r="EI40" s="242">
        <f t="shared" si="48"/>
        <v>0</v>
      </c>
      <c r="EJ40" s="242"/>
      <c r="EK40" s="261">
        <f t="shared" si="49"/>
        <v>63650000</v>
      </c>
      <c r="EL40" s="261">
        <f t="shared" si="50"/>
        <v>0</v>
      </c>
      <c r="EM40" s="261">
        <f t="shared" si="51"/>
        <v>8080.0138888888887</v>
      </c>
      <c r="EN40" s="242">
        <f t="shared" si="52"/>
        <v>4.5699999999999998E-2</v>
      </c>
      <c r="EP40" s="241"/>
    </row>
    <row r="41" spans="1:146" x14ac:dyDescent="0.25">
      <c r="A41" s="255">
        <f t="shared" si="53"/>
        <v>45657</v>
      </c>
      <c r="B41" s="241">
        <v>0</v>
      </c>
      <c r="C41" s="242">
        <v>4.4299999999999999E-2</v>
      </c>
      <c r="D41" s="241">
        <f t="shared" si="0"/>
        <v>0</v>
      </c>
      <c r="G41" s="241">
        <f t="shared" si="1"/>
        <v>0</v>
      </c>
      <c r="J41" s="241">
        <f t="shared" si="2"/>
        <v>0</v>
      </c>
      <c r="M41" s="241">
        <f t="shared" si="3"/>
        <v>0</v>
      </c>
      <c r="P41" s="241">
        <f t="shared" si="4"/>
        <v>0</v>
      </c>
      <c r="S41" s="241">
        <f t="shared" si="5"/>
        <v>0</v>
      </c>
      <c r="V41" s="241">
        <f t="shared" si="6"/>
        <v>0</v>
      </c>
      <c r="Y41" s="241">
        <f t="shared" si="7"/>
        <v>0</v>
      </c>
      <c r="AB41" s="241">
        <f t="shared" si="8"/>
        <v>0</v>
      </c>
      <c r="AE41" s="241">
        <v>0</v>
      </c>
      <c r="AH41" s="241">
        <v>0</v>
      </c>
      <c r="AI41" s="256"/>
      <c r="AJ41" s="257"/>
      <c r="AK41" s="241">
        <f t="shared" si="9"/>
        <v>0</v>
      </c>
      <c r="AL41" s="256"/>
      <c r="AM41" s="257"/>
      <c r="AN41" s="241">
        <f t="shared" si="11"/>
        <v>0</v>
      </c>
      <c r="AO41" s="256"/>
      <c r="AP41" s="257"/>
      <c r="AQ41" s="241">
        <f t="shared" si="13"/>
        <v>0</v>
      </c>
      <c r="AR41" s="256"/>
      <c r="AS41" s="257"/>
      <c r="AT41" s="241">
        <f t="shared" si="14"/>
        <v>0</v>
      </c>
      <c r="AW41" s="241">
        <f t="shared" si="15"/>
        <v>0</v>
      </c>
      <c r="AZ41" s="241">
        <f t="shared" si="16"/>
        <v>0</v>
      </c>
      <c r="BC41" s="241">
        <f t="shared" si="17"/>
        <v>0</v>
      </c>
      <c r="BF41" s="241">
        <f t="shared" si="18"/>
        <v>0</v>
      </c>
      <c r="BI41" s="241">
        <f t="shared" si="19"/>
        <v>0</v>
      </c>
      <c r="BL41" s="241">
        <f t="shared" si="20"/>
        <v>0</v>
      </c>
      <c r="BO41" s="241">
        <f t="shared" si="21"/>
        <v>0</v>
      </c>
      <c r="BR41" s="241">
        <f t="shared" si="22"/>
        <v>0</v>
      </c>
      <c r="BU41" s="241">
        <f t="shared" si="23"/>
        <v>0</v>
      </c>
      <c r="BX41" s="241">
        <f t="shared" si="24"/>
        <v>0</v>
      </c>
      <c r="CA41" s="241">
        <f t="shared" si="25"/>
        <v>0</v>
      </c>
      <c r="CD41" s="241">
        <f t="shared" si="26"/>
        <v>0</v>
      </c>
      <c r="CG41" s="241">
        <f t="shared" si="27"/>
        <v>0</v>
      </c>
      <c r="CJ41" s="241">
        <f t="shared" si="28"/>
        <v>0</v>
      </c>
      <c r="CM41" s="241">
        <f t="shared" si="29"/>
        <v>0</v>
      </c>
      <c r="CP41" s="241">
        <f t="shared" si="30"/>
        <v>0</v>
      </c>
      <c r="CS41" s="241">
        <f t="shared" si="31"/>
        <v>0</v>
      </c>
      <c r="CV41" s="241">
        <f t="shared" si="32"/>
        <v>0</v>
      </c>
      <c r="CY41" s="241">
        <f t="shared" si="33"/>
        <v>0</v>
      </c>
      <c r="DB41" s="241">
        <f t="shared" si="34"/>
        <v>0</v>
      </c>
      <c r="DE41" s="241">
        <f t="shared" si="35"/>
        <v>0</v>
      </c>
      <c r="DH41" s="241">
        <f t="shared" si="36"/>
        <v>0</v>
      </c>
      <c r="DK41" s="241">
        <f t="shared" si="37"/>
        <v>0</v>
      </c>
      <c r="DN41" s="241">
        <f t="shared" si="38"/>
        <v>0</v>
      </c>
      <c r="DQ41" s="241">
        <f t="shared" si="39"/>
        <v>0</v>
      </c>
      <c r="DT41" s="241">
        <f t="shared" si="40"/>
        <v>0</v>
      </c>
      <c r="DW41" s="241">
        <f t="shared" si="41"/>
        <v>0</v>
      </c>
      <c r="DZ41" s="241"/>
      <c r="EA41" s="241"/>
      <c r="EB41" s="261">
        <f t="shared" si="42"/>
        <v>0</v>
      </c>
      <c r="EC41" s="261">
        <f t="shared" si="43"/>
        <v>0</v>
      </c>
      <c r="ED41" s="241">
        <f t="shared" si="44"/>
        <v>0</v>
      </c>
      <c r="EE41" s="242">
        <f t="shared" si="45"/>
        <v>0</v>
      </c>
      <c r="EG41" s="261">
        <f t="shared" si="46"/>
        <v>0</v>
      </c>
      <c r="EH41" s="241">
        <f t="shared" si="47"/>
        <v>0</v>
      </c>
      <c r="EI41" s="242">
        <f t="shared" si="48"/>
        <v>0</v>
      </c>
      <c r="EJ41" s="242"/>
      <c r="EK41" s="261">
        <f t="shared" si="49"/>
        <v>0</v>
      </c>
      <c r="EL41" s="261">
        <f t="shared" si="50"/>
        <v>0</v>
      </c>
      <c r="EM41" s="261">
        <f t="shared" si="51"/>
        <v>0</v>
      </c>
      <c r="EN41" s="242">
        <f t="shared" si="52"/>
        <v>0</v>
      </c>
      <c r="EP41" s="241"/>
    </row>
    <row r="42" spans="1:146" x14ac:dyDescent="0.25">
      <c r="A42" s="276" t="s">
        <v>35</v>
      </c>
      <c r="D42" s="258">
        <f>SUM(D11:D41)</f>
        <v>176305.90277777781</v>
      </c>
      <c r="G42" s="258">
        <f>SUM(G11:G41)</f>
        <v>0</v>
      </c>
      <c r="J42" s="258">
        <f>SUM(J11:J41)</f>
        <v>0</v>
      </c>
      <c r="M42" s="258">
        <f>SUM(M11:M41)</f>
        <v>0</v>
      </c>
      <c r="P42" s="258">
        <f>SUM(P11:P41)</f>
        <v>0</v>
      </c>
      <c r="S42" s="258">
        <f>SUM(S11:S41)</f>
        <v>0</v>
      </c>
      <c r="V42" s="258">
        <f>SUM(V11:V41)</f>
        <v>0</v>
      </c>
      <c r="Y42" s="258">
        <f>SUM(Y11:Y41)</f>
        <v>0</v>
      </c>
      <c r="AB42" s="258">
        <f>SUM(AB11:AB41)</f>
        <v>0</v>
      </c>
      <c r="AE42" s="258">
        <f>SUM(AE11:AE41)</f>
        <v>0</v>
      </c>
      <c r="AH42" s="258">
        <f>SUM(AH11:AH41)</f>
        <v>0</v>
      </c>
      <c r="AK42" s="258">
        <f>SUM(AK11:AK41)</f>
        <v>279307.23611111107</v>
      </c>
      <c r="AN42" s="258">
        <f>SUM(AN11:AN41)</f>
        <v>225116.71527777775</v>
      </c>
      <c r="AQ42" s="258">
        <f>SUM(AQ11:AQ41)</f>
        <v>308842.625</v>
      </c>
      <c r="AT42" s="258">
        <f>SUM(AT11:AT41)</f>
        <v>62906.25</v>
      </c>
      <c r="AW42" s="258">
        <f>SUM(AW11:AW41)</f>
        <v>6666.666666666667</v>
      </c>
      <c r="AZ42" s="258">
        <f>SUM(AZ11:AZ41)</f>
        <v>38825.194444444445</v>
      </c>
      <c r="BC42" s="258">
        <f>SUM(BC11:BC41)</f>
        <v>0</v>
      </c>
      <c r="BF42" s="258">
        <f>SUM(BF11:BF41)</f>
        <v>0</v>
      </c>
      <c r="BI42" s="258">
        <f>SUM(BI11:BI41)</f>
        <v>0</v>
      </c>
      <c r="BL42" s="258">
        <f>SUM(BL11:BL41)</f>
        <v>0</v>
      </c>
      <c r="BO42" s="258">
        <f>SUM(BO11:BO41)</f>
        <v>0</v>
      </c>
      <c r="BR42" s="258">
        <f>SUM(BR11:BR41)</f>
        <v>0</v>
      </c>
      <c r="BU42" s="258">
        <f>SUM(BU11:BU41)</f>
        <v>0</v>
      </c>
      <c r="BX42" s="258">
        <f>SUM(BX11:BX41)</f>
        <v>0</v>
      </c>
      <c r="CA42" s="258">
        <f>SUM(CA11:CA41)</f>
        <v>0</v>
      </c>
      <c r="CD42" s="258">
        <f>SUM(CD11:CD41)</f>
        <v>0</v>
      </c>
      <c r="CG42" s="258">
        <f>SUM(CG11:CG41)</f>
        <v>0</v>
      </c>
      <c r="CJ42" s="258">
        <f>SUM(CJ11:CJ41)</f>
        <v>0</v>
      </c>
      <c r="CM42" s="258">
        <f>SUM(CM11:CM41)</f>
        <v>0</v>
      </c>
      <c r="CP42" s="258">
        <f>SUM(CP11:CP41)</f>
        <v>0</v>
      </c>
      <c r="CS42" s="258">
        <f>SUM(CS11:CS41)</f>
        <v>0</v>
      </c>
      <c r="CV42" s="258">
        <f>SUM(CV11:CV41)</f>
        <v>0</v>
      </c>
      <c r="CY42" s="258">
        <f>SUM(CY11:CY41)</f>
        <v>0</v>
      </c>
      <c r="DB42" s="258">
        <f>SUM(DB11:DB41)</f>
        <v>0</v>
      </c>
      <c r="DE42" s="258">
        <f>SUM(DE11:DE41)</f>
        <v>0</v>
      </c>
      <c r="DH42" s="258">
        <f>SUM(DH11:DH41)</f>
        <v>0</v>
      </c>
      <c r="DK42" s="258">
        <f>SUM(DK11:DK41)</f>
        <v>0</v>
      </c>
      <c r="DN42" s="258">
        <f>SUM(DN11:DN41)</f>
        <v>0</v>
      </c>
      <c r="DQ42" s="258">
        <f>SUM(DQ11:DQ41)</f>
        <v>0</v>
      </c>
      <c r="DT42" s="258">
        <f>SUM(DT11:DT41)</f>
        <v>0</v>
      </c>
      <c r="DW42" s="258">
        <f>SUM(DW11:DW41)</f>
        <v>0</v>
      </c>
      <c r="DZ42" s="241"/>
      <c r="EA42" s="241"/>
      <c r="EB42" s="241"/>
      <c r="EC42" s="241"/>
      <c r="ED42" s="258">
        <f>SUM(ED11:ED41)</f>
        <v>1097970.5902777778</v>
      </c>
      <c r="EE42" s="242"/>
      <c r="EG42" s="241"/>
      <c r="EH42" s="258">
        <f>SUM(EH11:EH41)</f>
        <v>0</v>
      </c>
      <c r="EI42" s="242"/>
      <c r="EJ42" s="242"/>
      <c r="EK42" s="241"/>
      <c r="EL42" s="241"/>
      <c r="EM42" s="258">
        <f>SUM(EM11:EM41)</f>
        <v>921664.68750000035</v>
      </c>
      <c r="EN42" s="242"/>
    </row>
    <row r="44" spans="1:146" x14ac:dyDescent="0.25">
      <c r="EM44" s="259"/>
    </row>
    <row r="45" spans="1:146" x14ac:dyDescent="0.25">
      <c r="EM45" s="241"/>
    </row>
    <row r="46" spans="1:146" x14ac:dyDescent="0.25">
      <c r="EM46" s="241"/>
    </row>
    <row r="48" spans="1:146" x14ac:dyDescent="0.25">
      <c r="EM48" s="241"/>
    </row>
  </sheetData>
  <pageMargins left="0.7" right="0.7" top="0.75" bottom="0.75" header="0.3" footer="0.3"/>
  <pageSetup scale="63" orientation="portrait" r:id="rId1"/>
  <headerFooter>
    <oddFooter>&amp;CSchedule RL-1</oddFooter>
  </headerFooter>
  <colBreaks count="6" manualBreakCount="6">
    <brk id="34" max="1048575" man="1"/>
    <brk id="43" max="1048575" man="1"/>
    <brk id="52" max="41" man="1"/>
    <brk id="64" max="1048575" man="1"/>
    <brk id="130" max="1048575" man="1"/>
    <brk id="144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/>
  <dimension ref="A1:EQ48"/>
  <sheetViews>
    <sheetView zoomScaleNormal="100" workbookViewId="0">
      <selection activeCell="EO21" sqref="EO21"/>
    </sheetView>
  </sheetViews>
  <sheetFormatPr defaultRowHeight="15" x14ac:dyDescent="0.25"/>
  <cols>
    <col min="1" max="1" width="14.5703125" style="175" bestFit="1" customWidth="1"/>
    <col min="2" max="2" width="15.5703125" style="241" bestFit="1" customWidth="1"/>
    <col min="3" max="3" width="15.42578125" style="242" bestFit="1" customWidth="1"/>
    <col min="4" max="4" width="15.42578125" style="175" bestFit="1" customWidth="1"/>
    <col min="5" max="5" width="15.5703125" style="241" bestFit="1" customWidth="1"/>
    <col min="6" max="6" width="12.28515625" style="242" bestFit="1" customWidth="1"/>
    <col min="7" max="7" width="18.42578125" style="175" bestFit="1" customWidth="1"/>
    <col min="8" max="8" width="15.42578125" style="241" hidden="1" customWidth="1"/>
    <col min="9" max="9" width="10.28515625" style="242" hidden="1" customWidth="1"/>
    <col min="10" max="10" width="13.42578125" style="175" hidden="1" customWidth="1"/>
    <col min="11" max="11" width="14.42578125" style="241" hidden="1" customWidth="1"/>
    <col min="12" max="12" width="10.28515625" style="242" hidden="1" customWidth="1"/>
    <col min="13" max="13" width="11.7109375" style="175" hidden="1" customWidth="1"/>
    <col min="14" max="14" width="14.42578125" style="241" hidden="1" customWidth="1"/>
    <col min="15" max="15" width="10.28515625" style="242" hidden="1" customWidth="1"/>
    <col min="16" max="16" width="11.7109375" style="175" hidden="1" customWidth="1"/>
    <col min="17" max="17" width="15.42578125" style="241" hidden="1" customWidth="1"/>
    <col min="18" max="18" width="10.28515625" style="242" hidden="1" customWidth="1"/>
    <col min="19" max="19" width="11.7109375" style="175" hidden="1" customWidth="1"/>
    <col min="20" max="20" width="15.42578125" style="241" hidden="1" customWidth="1"/>
    <col min="21" max="21" width="10.28515625" style="242" hidden="1" customWidth="1"/>
    <col min="22" max="22" width="11.7109375" style="175" hidden="1" customWidth="1"/>
    <col min="23" max="23" width="15.42578125" style="241" hidden="1" customWidth="1"/>
    <col min="24" max="24" width="10.28515625" style="242" hidden="1" customWidth="1"/>
    <col min="25" max="25" width="11.7109375" style="175" hidden="1" customWidth="1"/>
    <col min="26" max="26" width="15.42578125" style="241" hidden="1" customWidth="1"/>
    <col min="27" max="27" width="10.28515625" style="242" hidden="1" customWidth="1"/>
    <col min="28" max="28" width="11.7109375" style="175" hidden="1" customWidth="1"/>
    <col min="29" max="29" width="15.42578125" style="241" hidden="1" customWidth="1"/>
    <col min="30" max="30" width="10.28515625" style="242" hidden="1" customWidth="1"/>
    <col min="31" max="31" width="11.7109375" style="175" hidden="1" customWidth="1"/>
    <col min="32" max="32" width="14.42578125" style="241" hidden="1" customWidth="1"/>
    <col min="33" max="33" width="10.28515625" style="242" hidden="1" customWidth="1"/>
    <col min="34" max="34" width="10.7109375" style="175" hidden="1" customWidth="1"/>
    <col min="35" max="35" width="14.42578125" style="241" customWidth="1"/>
    <col min="36" max="36" width="12.42578125" style="242" customWidth="1"/>
    <col min="37" max="37" width="14.140625" style="175" bestFit="1" customWidth="1"/>
    <col min="38" max="38" width="14.42578125" style="241" customWidth="1"/>
    <col min="39" max="39" width="12.140625" style="242" customWidth="1"/>
    <col min="40" max="40" width="13.7109375" style="175" bestFit="1" customWidth="1"/>
    <col min="41" max="41" width="15.42578125" style="241" bestFit="1" customWidth="1"/>
    <col min="42" max="42" width="12.28515625" style="242" bestFit="1" customWidth="1"/>
    <col min="43" max="43" width="12.5703125" style="175" bestFit="1" customWidth="1"/>
    <col min="44" max="44" width="15.42578125" style="241" bestFit="1" customWidth="1"/>
    <col min="45" max="45" width="10.28515625" style="242" bestFit="1" customWidth="1"/>
    <col min="46" max="46" width="11.7109375" style="175" bestFit="1" customWidth="1"/>
    <col min="47" max="47" width="14.42578125" style="241" customWidth="1"/>
    <col min="48" max="48" width="10.28515625" style="242" customWidth="1"/>
    <col min="49" max="49" width="10.7109375" style="175" customWidth="1"/>
    <col min="50" max="50" width="14.42578125" style="241" customWidth="1"/>
    <col min="51" max="51" width="10.28515625" style="242" customWidth="1"/>
    <col min="52" max="52" width="10.7109375" style="175" customWidth="1"/>
    <col min="53" max="53" width="14.42578125" style="241" customWidth="1"/>
    <col min="54" max="54" width="10.28515625" style="242" customWidth="1"/>
    <col min="55" max="55" width="10.7109375" style="175" customWidth="1"/>
    <col min="56" max="56" width="14.42578125" style="241" customWidth="1"/>
    <col min="57" max="57" width="10.28515625" style="242" customWidth="1"/>
    <col min="58" max="58" width="10.7109375" style="175" customWidth="1"/>
    <col min="59" max="59" width="14.42578125" style="241" customWidth="1"/>
    <col min="60" max="60" width="10.28515625" style="242" customWidth="1"/>
    <col min="61" max="61" width="10.7109375" style="175" customWidth="1"/>
    <col min="62" max="62" width="14.42578125" style="241" customWidth="1"/>
    <col min="63" max="63" width="10.28515625" style="242" customWidth="1"/>
    <col min="64" max="64" width="10.7109375" style="175" customWidth="1"/>
    <col min="65" max="65" width="14.42578125" style="241" hidden="1" customWidth="1"/>
    <col min="66" max="66" width="10.28515625" style="242" hidden="1" customWidth="1"/>
    <col min="67" max="67" width="10.7109375" style="175" hidden="1" customWidth="1"/>
    <col min="68" max="68" width="14.42578125" style="241" hidden="1" customWidth="1"/>
    <col min="69" max="69" width="10.28515625" style="242" hidden="1" customWidth="1"/>
    <col min="70" max="70" width="10.7109375" style="175" hidden="1" customWidth="1"/>
    <col min="71" max="71" width="14.42578125" style="241" hidden="1" customWidth="1"/>
    <col min="72" max="72" width="10.28515625" style="242" hidden="1" customWidth="1"/>
    <col min="73" max="73" width="10.7109375" style="175" hidden="1" customWidth="1"/>
    <col min="74" max="74" width="14.42578125" style="241" hidden="1" customWidth="1"/>
    <col min="75" max="75" width="10.28515625" style="242" hidden="1" customWidth="1"/>
    <col min="76" max="76" width="10.7109375" style="175" hidden="1" customWidth="1"/>
    <col min="77" max="77" width="14.42578125" style="241" hidden="1" customWidth="1"/>
    <col min="78" max="78" width="10.28515625" style="242" hidden="1" customWidth="1"/>
    <col min="79" max="79" width="10.7109375" style="175" hidden="1" customWidth="1"/>
    <col min="80" max="80" width="14.42578125" style="241" hidden="1" customWidth="1"/>
    <col min="81" max="81" width="10.28515625" style="242" hidden="1" customWidth="1"/>
    <col min="82" max="82" width="10.7109375" style="175" hidden="1" customWidth="1"/>
    <col min="83" max="83" width="14.42578125" style="241" hidden="1" customWidth="1"/>
    <col min="84" max="84" width="10.28515625" style="242" hidden="1" customWidth="1"/>
    <col min="85" max="85" width="10.7109375" style="175" hidden="1" customWidth="1"/>
    <col min="86" max="86" width="14.42578125" style="241" hidden="1" customWidth="1"/>
    <col min="87" max="87" width="10.28515625" style="242" hidden="1" customWidth="1"/>
    <col min="88" max="88" width="10.7109375" style="175" hidden="1" customWidth="1"/>
    <col min="89" max="89" width="14.42578125" style="241" hidden="1" customWidth="1"/>
    <col min="90" max="90" width="10.28515625" style="242" hidden="1" customWidth="1"/>
    <col min="91" max="91" width="10.7109375" style="175" hidden="1" customWidth="1"/>
    <col min="92" max="92" width="14.42578125" style="241" hidden="1" customWidth="1"/>
    <col min="93" max="93" width="10.28515625" style="242" hidden="1" customWidth="1"/>
    <col min="94" max="94" width="10.7109375" style="175" hidden="1" customWidth="1"/>
    <col min="95" max="95" width="14.42578125" style="241" hidden="1" customWidth="1"/>
    <col min="96" max="96" width="10.28515625" style="242" hidden="1" customWidth="1"/>
    <col min="97" max="97" width="10.7109375" style="175" hidden="1" customWidth="1"/>
    <col min="98" max="98" width="14.42578125" style="241" hidden="1" customWidth="1"/>
    <col min="99" max="99" width="10.28515625" style="242" hidden="1" customWidth="1"/>
    <col min="100" max="100" width="10.7109375" style="175" hidden="1" customWidth="1"/>
    <col min="101" max="101" width="14.42578125" style="241" hidden="1" customWidth="1"/>
    <col min="102" max="102" width="10.28515625" style="242" hidden="1" customWidth="1"/>
    <col min="103" max="103" width="10.7109375" style="175" hidden="1" customWidth="1"/>
    <col min="104" max="104" width="14.42578125" style="241" hidden="1" customWidth="1"/>
    <col min="105" max="105" width="10.28515625" style="242" hidden="1" customWidth="1"/>
    <col min="106" max="106" width="10.7109375" style="175" hidden="1" customWidth="1"/>
    <col min="107" max="107" width="14.42578125" style="241" hidden="1" customWidth="1"/>
    <col min="108" max="108" width="10.28515625" style="242" hidden="1" customWidth="1"/>
    <col min="109" max="109" width="10.7109375" style="175" hidden="1" customWidth="1"/>
    <col min="110" max="110" width="14.42578125" style="241" hidden="1" customWidth="1"/>
    <col min="111" max="111" width="10.28515625" style="242" hidden="1" customWidth="1"/>
    <col min="112" max="112" width="10.7109375" style="175" hidden="1" customWidth="1"/>
    <col min="113" max="113" width="14.42578125" style="241" hidden="1" customWidth="1"/>
    <col min="114" max="114" width="10.28515625" style="242" hidden="1" customWidth="1"/>
    <col min="115" max="115" width="10.7109375" style="175" hidden="1" customWidth="1"/>
    <col min="116" max="116" width="14.42578125" style="241" hidden="1" customWidth="1"/>
    <col min="117" max="117" width="10.28515625" style="242" hidden="1" customWidth="1"/>
    <col min="118" max="118" width="10.7109375" style="175" hidden="1" customWidth="1"/>
    <col min="119" max="119" width="14.42578125" style="241" hidden="1" customWidth="1"/>
    <col min="120" max="120" width="10.28515625" style="242" hidden="1" customWidth="1"/>
    <col min="121" max="121" width="10.7109375" style="175" hidden="1" customWidth="1"/>
    <col min="122" max="122" width="14.42578125" style="241" hidden="1" customWidth="1"/>
    <col min="123" max="123" width="10.28515625" style="242" hidden="1" customWidth="1"/>
    <col min="124" max="124" width="10.7109375" style="175" hidden="1" customWidth="1"/>
    <col min="125" max="125" width="14.42578125" style="241" hidden="1" customWidth="1"/>
    <col min="126" max="126" width="10.28515625" style="242" hidden="1" customWidth="1"/>
    <col min="127" max="127" width="10.7109375" style="175" hidden="1" customWidth="1"/>
    <col min="128" max="128" width="14.42578125" style="241" hidden="1" customWidth="1"/>
    <col min="129" max="129" width="10.28515625" style="242" hidden="1" customWidth="1"/>
    <col min="130" max="130" width="10.7109375" style="175" hidden="1" customWidth="1"/>
    <col min="131" max="131" width="2.7109375" style="175" customWidth="1"/>
    <col min="132" max="132" width="18" style="175" customWidth="1"/>
    <col min="133" max="133" width="15.42578125" style="175" hidden="1" customWidth="1"/>
    <col min="134" max="134" width="14.42578125" style="175" bestFit="1" customWidth="1"/>
    <col min="135" max="135" width="21.85546875" style="175" bestFit="1" customWidth="1"/>
    <col min="136" max="136" width="2.7109375" style="175" customWidth="1"/>
    <col min="137" max="137" width="15.42578125" style="175" hidden="1" customWidth="1"/>
    <col min="138" max="138" width="14.42578125" style="175" hidden="1" customWidth="1"/>
    <col min="139" max="139" width="12.42578125" style="175" hidden="1" customWidth="1"/>
    <col min="140" max="140" width="2.7109375" style="175" hidden="1" customWidth="1"/>
    <col min="141" max="141" width="18.28515625" style="175" customWidth="1"/>
    <col min="142" max="142" width="15.42578125" style="175" hidden="1" customWidth="1"/>
    <col min="143" max="143" width="14.42578125" style="175" bestFit="1" customWidth="1"/>
    <col min="144" max="144" width="18" style="175" bestFit="1" customWidth="1"/>
    <col min="145" max="145" width="42.85546875" style="175" bestFit="1" customWidth="1"/>
    <col min="146" max="146" width="19.42578125" style="175" bestFit="1" customWidth="1"/>
    <col min="147" max="147" width="23.140625" style="175" bestFit="1" customWidth="1"/>
    <col min="148" max="16384" width="9.140625" style="175"/>
  </cols>
  <sheetData>
    <row r="1" spans="1:147" s="202" customFormat="1" x14ac:dyDescent="0.25">
      <c r="A1" s="260" t="s">
        <v>0</v>
      </c>
      <c r="B1" s="261"/>
      <c r="C1" s="262"/>
      <c r="E1" s="261"/>
      <c r="F1" s="262"/>
      <c r="H1" s="261"/>
      <c r="I1" s="262"/>
      <c r="K1" s="261"/>
      <c r="L1" s="262"/>
      <c r="N1" s="261"/>
      <c r="O1" s="262"/>
      <c r="Q1" s="261"/>
      <c r="R1" s="262"/>
      <c r="T1" s="261"/>
      <c r="U1" s="262"/>
      <c r="W1" s="261"/>
      <c r="X1" s="262"/>
      <c r="Z1" s="261"/>
      <c r="AA1" s="262"/>
      <c r="AC1" s="261"/>
      <c r="AD1" s="262"/>
      <c r="AF1" s="261"/>
      <c r="AG1" s="262"/>
      <c r="AI1" s="261"/>
      <c r="AJ1" s="262"/>
      <c r="AL1" s="261"/>
      <c r="AM1" s="262"/>
      <c r="AO1" s="261"/>
      <c r="AP1" s="262"/>
      <c r="AR1" s="261"/>
      <c r="AS1" s="262"/>
      <c r="AU1" s="261"/>
      <c r="AV1" s="262"/>
      <c r="AX1" s="261"/>
      <c r="AY1" s="262"/>
      <c r="BA1" s="261"/>
      <c r="BB1" s="262"/>
      <c r="BD1" s="261"/>
      <c r="BE1" s="262"/>
      <c r="BG1" s="261"/>
      <c r="BH1" s="262"/>
      <c r="BJ1" s="261"/>
      <c r="BK1" s="262"/>
      <c r="BM1" s="261"/>
      <c r="BN1" s="262"/>
      <c r="BP1" s="261"/>
      <c r="BQ1" s="262"/>
      <c r="BS1" s="261"/>
      <c r="BT1" s="262"/>
      <c r="BV1" s="261"/>
      <c r="BW1" s="262"/>
      <c r="BY1" s="261"/>
      <c r="BZ1" s="262"/>
      <c r="CB1" s="261"/>
      <c r="CC1" s="262"/>
      <c r="CE1" s="261"/>
      <c r="CF1" s="262"/>
      <c r="CH1" s="261"/>
      <c r="CI1" s="262"/>
      <c r="CK1" s="261"/>
      <c r="CL1" s="262"/>
      <c r="CN1" s="261"/>
      <c r="CO1" s="262"/>
      <c r="CQ1" s="261"/>
      <c r="CR1" s="262"/>
      <c r="CT1" s="261"/>
      <c r="CU1" s="262"/>
      <c r="CW1" s="261"/>
      <c r="CX1" s="262"/>
      <c r="CZ1" s="261"/>
      <c r="DA1" s="262"/>
      <c r="DC1" s="261"/>
      <c r="DD1" s="262"/>
      <c r="DF1" s="261"/>
      <c r="DG1" s="262"/>
      <c r="DI1" s="261"/>
      <c r="DJ1" s="262"/>
      <c r="DL1" s="261"/>
      <c r="DM1" s="262"/>
      <c r="DO1" s="261"/>
      <c r="DP1" s="262"/>
      <c r="DR1" s="261"/>
      <c r="DS1" s="262"/>
      <c r="DU1" s="261"/>
      <c r="DV1" s="262"/>
      <c r="DX1" s="261"/>
      <c r="DY1" s="262"/>
      <c r="DZ1" s="263"/>
      <c r="ED1" s="191"/>
      <c r="EE1" s="264" t="s">
        <v>37</v>
      </c>
      <c r="EI1" s="191" t="s">
        <v>38</v>
      </c>
      <c r="EM1" s="191"/>
      <c r="EN1" s="191" t="s">
        <v>39</v>
      </c>
      <c r="EO1" s="260" t="s">
        <v>40</v>
      </c>
      <c r="EP1" s="260" t="s">
        <v>41</v>
      </c>
      <c r="EQ1" s="260" t="s">
        <v>42</v>
      </c>
    </row>
    <row r="2" spans="1:147" s="202" customFormat="1" ht="15.75" thickBot="1" x14ac:dyDescent="0.3">
      <c r="A2" s="260" t="s">
        <v>43</v>
      </c>
      <c r="B2" s="261"/>
      <c r="C2" s="262"/>
      <c r="E2" s="263"/>
      <c r="F2" s="262"/>
      <c r="G2" s="191"/>
      <c r="H2" s="261"/>
      <c r="I2" s="262"/>
      <c r="K2" s="261"/>
      <c r="L2" s="262"/>
      <c r="N2" s="261"/>
      <c r="O2" s="262"/>
      <c r="Q2" s="261"/>
      <c r="R2" s="262"/>
      <c r="T2" s="261"/>
      <c r="U2" s="262"/>
      <c r="W2" s="261"/>
      <c r="X2" s="262"/>
      <c r="Z2" s="261"/>
      <c r="AA2" s="262"/>
      <c r="AC2" s="261"/>
      <c r="AD2" s="262"/>
      <c r="AF2" s="261"/>
      <c r="AG2" s="262"/>
      <c r="AI2" s="261"/>
      <c r="AJ2" s="262"/>
      <c r="AL2" s="261"/>
      <c r="AM2" s="262"/>
      <c r="AO2" s="261"/>
      <c r="AP2" s="262"/>
      <c r="AR2" s="261"/>
      <c r="AS2" s="262"/>
      <c r="AU2" s="261"/>
      <c r="AV2" s="262"/>
      <c r="AX2" s="261"/>
      <c r="AY2" s="262"/>
      <c r="BA2" s="261"/>
      <c r="BB2" s="262"/>
      <c r="BD2" s="261"/>
      <c r="BE2" s="262"/>
      <c r="BG2" s="261"/>
      <c r="BH2" s="262"/>
      <c r="BJ2" s="261"/>
      <c r="BK2" s="262"/>
      <c r="BM2" s="261"/>
      <c r="BN2" s="262"/>
      <c r="BP2" s="261"/>
      <c r="BQ2" s="262"/>
      <c r="BS2" s="261"/>
      <c r="BT2" s="262"/>
      <c r="BV2" s="261"/>
      <c r="BW2" s="262"/>
      <c r="BY2" s="261"/>
      <c r="BZ2" s="262"/>
      <c r="CB2" s="261"/>
      <c r="CC2" s="262"/>
      <c r="CE2" s="261"/>
      <c r="CF2" s="262"/>
      <c r="CH2" s="261"/>
      <c r="CI2" s="262"/>
      <c r="CK2" s="261"/>
      <c r="CL2" s="262"/>
      <c r="CN2" s="261"/>
      <c r="CO2" s="262"/>
      <c r="CQ2" s="261"/>
      <c r="CR2" s="262"/>
      <c r="CT2" s="261"/>
      <c r="CU2" s="262"/>
      <c r="CW2" s="261"/>
      <c r="CX2" s="262"/>
      <c r="CZ2" s="261"/>
      <c r="DA2" s="262"/>
      <c r="DC2" s="261"/>
      <c r="DD2" s="262"/>
      <c r="DF2" s="261"/>
      <c r="DG2" s="262"/>
      <c r="DI2" s="261"/>
      <c r="DJ2" s="262"/>
      <c r="DL2" s="261"/>
      <c r="DM2" s="262"/>
      <c r="DO2" s="261"/>
      <c r="DP2" s="262"/>
      <c r="DR2" s="261"/>
      <c r="DS2" s="262"/>
      <c r="DU2" s="261"/>
      <c r="DV2" s="262"/>
      <c r="DX2" s="261"/>
      <c r="DY2" s="262"/>
      <c r="EB2" s="175" t="s">
        <v>44</v>
      </c>
      <c r="EC2" s="175"/>
      <c r="ED2" s="241"/>
      <c r="EE2" s="241">
        <f>EB41</f>
        <v>337800000</v>
      </c>
      <c r="EI2" s="241">
        <f>EG40</f>
        <v>0</v>
      </c>
      <c r="EM2" s="241"/>
      <c r="EN2" s="241">
        <f>EK41</f>
        <v>337100000</v>
      </c>
      <c r="EO2" s="265">
        <v>-554196.78</v>
      </c>
      <c r="EP2" s="261">
        <f>EN2+EO2</f>
        <v>336545803.22000003</v>
      </c>
      <c r="EQ2" s="261">
        <f>EE2+EO2</f>
        <v>337245803.22000003</v>
      </c>
    </row>
    <row r="3" spans="1:147" ht="15.75" thickTop="1" x14ac:dyDescent="0.25">
      <c r="A3" s="266" t="s">
        <v>249</v>
      </c>
      <c r="E3" s="267" t="s">
        <v>45</v>
      </c>
      <c r="F3" s="243"/>
      <c r="G3" s="244"/>
      <c r="EB3" s="175" t="s">
        <v>46</v>
      </c>
      <c r="ED3" s="241"/>
      <c r="EE3" s="241">
        <f>AVERAGE(EB11:EB41)</f>
        <v>136764516.12903225</v>
      </c>
      <c r="EI3" s="241">
        <f>AVERAGE(EG11:EG40)</f>
        <v>0</v>
      </c>
      <c r="EM3" s="241"/>
      <c r="EN3" s="241">
        <f>AVERAGE(EK11:EK41)</f>
        <v>135671774.19354838</v>
      </c>
    </row>
    <row r="4" spans="1:147" x14ac:dyDescent="0.25">
      <c r="E4" s="245" t="s">
        <v>44</v>
      </c>
      <c r="F4" s="241"/>
      <c r="G4" s="246">
        <f>EQ2</f>
        <v>337245803.22000003</v>
      </c>
      <c r="AI4" s="260" t="s">
        <v>47</v>
      </c>
      <c r="EB4" s="175" t="s">
        <v>48</v>
      </c>
      <c r="ED4" s="242"/>
      <c r="EE4" s="242">
        <f>IF(EE3=0,0,360*(AVERAGE(ED11:ED41)/EE3))</f>
        <v>4.5497753732575412E-2</v>
      </c>
      <c r="EI4" s="242">
        <f>IF(EI3=0,0,360*(AVERAGE(EH11:EH40)/EI3))</f>
        <v>0</v>
      </c>
      <c r="EM4" s="242"/>
      <c r="EN4" s="242">
        <f>IF(EN3=0,0,360*(AVERAGE(EM11:EM41)/EN3))</f>
        <v>4.5515682178882862E-2</v>
      </c>
      <c r="EO4" s="202" t="s">
        <v>241</v>
      </c>
      <c r="EQ4" s="191" t="s">
        <v>47</v>
      </c>
    </row>
    <row r="5" spans="1:147" x14ac:dyDescent="0.25">
      <c r="E5" s="245" t="s">
        <v>46</v>
      </c>
      <c r="F5" s="241"/>
      <c r="G5" s="246">
        <f>EE3</f>
        <v>136764516.12903225</v>
      </c>
      <c r="AI5" s="268" t="s">
        <v>39</v>
      </c>
      <c r="EB5" s="175" t="s">
        <v>49</v>
      </c>
      <c r="ED5" s="241"/>
      <c r="EE5" s="241">
        <f>MAX(EB11:EB41)</f>
        <v>337800000</v>
      </c>
      <c r="EI5" s="241">
        <f>MAX(EG11:EG40)</f>
        <v>0</v>
      </c>
      <c r="EM5" s="241"/>
      <c r="EN5" s="241">
        <f>MAX(EK11:EK41)</f>
        <v>337100000</v>
      </c>
      <c r="EO5" s="175" t="s">
        <v>242</v>
      </c>
    </row>
    <row r="6" spans="1:147" x14ac:dyDescent="0.25">
      <c r="E6" s="245" t="s">
        <v>48</v>
      </c>
      <c r="F6" s="241"/>
      <c r="G6" s="247">
        <f>EE4</f>
        <v>4.5497753732575412E-2</v>
      </c>
    </row>
    <row r="7" spans="1:147" ht="15.75" thickBot="1" x14ac:dyDescent="0.3">
      <c r="E7" s="248" t="s">
        <v>49</v>
      </c>
      <c r="F7" s="249"/>
      <c r="G7" s="250">
        <f>EE5</f>
        <v>337800000</v>
      </c>
      <c r="AI7" s="268" t="s">
        <v>39</v>
      </c>
      <c r="EB7" s="269" t="s">
        <v>50</v>
      </c>
      <c r="EC7" s="269"/>
      <c r="ED7" s="251"/>
      <c r="EE7" s="251"/>
      <c r="EG7" s="269" t="s">
        <v>51</v>
      </c>
      <c r="EH7" s="251"/>
      <c r="EI7" s="251"/>
      <c r="EJ7" s="174"/>
      <c r="EK7" s="269" t="s">
        <v>52</v>
      </c>
      <c r="EL7" s="269"/>
      <c r="EM7" s="251"/>
      <c r="EN7" s="251"/>
    </row>
    <row r="8" spans="1:147" ht="15.75" thickTop="1" x14ac:dyDescent="0.25">
      <c r="AI8" s="263" t="s">
        <v>53</v>
      </c>
      <c r="AL8" s="263" t="s">
        <v>53</v>
      </c>
      <c r="AO8" s="263" t="s">
        <v>53</v>
      </c>
      <c r="AR8" s="263" t="s">
        <v>53</v>
      </c>
      <c r="AU8" s="263" t="s">
        <v>53</v>
      </c>
      <c r="AX8" s="263" t="s">
        <v>53</v>
      </c>
      <c r="BA8" s="263" t="s">
        <v>53</v>
      </c>
      <c r="BD8" s="263" t="s">
        <v>53</v>
      </c>
      <c r="BG8" s="263" t="s">
        <v>53</v>
      </c>
      <c r="BJ8" s="263" t="s">
        <v>53</v>
      </c>
      <c r="BM8" s="263" t="s">
        <v>53</v>
      </c>
      <c r="BP8" s="263" t="s">
        <v>53</v>
      </c>
      <c r="BS8" s="263" t="s">
        <v>53</v>
      </c>
      <c r="BV8" s="263" t="s">
        <v>53</v>
      </c>
      <c r="BY8" s="263" t="s">
        <v>53</v>
      </c>
      <c r="CB8" s="263" t="s">
        <v>53</v>
      </c>
      <c r="CE8" s="263" t="s">
        <v>53</v>
      </c>
      <c r="CH8" s="263" t="s">
        <v>53</v>
      </c>
      <c r="CK8" s="263" t="s">
        <v>53</v>
      </c>
      <c r="CN8" s="263" t="s">
        <v>53</v>
      </c>
      <c r="CQ8" s="263" t="s">
        <v>53</v>
      </c>
      <c r="CT8" s="263" t="s">
        <v>53</v>
      </c>
      <c r="CW8" s="263" t="s">
        <v>53</v>
      </c>
      <c r="CZ8" s="263" t="s">
        <v>53</v>
      </c>
      <c r="DC8" s="263" t="s">
        <v>53</v>
      </c>
      <c r="DF8" s="263" t="s">
        <v>53</v>
      </c>
      <c r="DI8" s="263" t="s">
        <v>53</v>
      </c>
      <c r="DL8" s="263" t="s">
        <v>53</v>
      </c>
      <c r="DO8" s="263" t="s">
        <v>53</v>
      </c>
      <c r="DR8" s="263" t="s">
        <v>53</v>
      </c>
      <c r="EB8" s="252"/>
      <c r="EC8" s="252"/>
      <c r="ED8" s="252"/>
      <c r="EE8" s="252" t="s">
        <v>54</v>
      </c>
      <c r="EG8" s="252"/>
      <c r="EH8" s="270" t="s">
        <v>38</v>
      </c>
      <c r="EI8" s="252" t="s">
        <v>54</v>
      </c>
      <c r="EJ8" s="252"/>
      <c r="EK8" s="191" t="s">
        <v>55</v>
      </c>
      <c r="EL8" s="191" t="s">
        <v>56</v>
      </c>
      <c r="EM8" s="270" t="s">
        <v>57</v>
      </c>
      <c r="EN8" s="252" t="s">
        <v>54</v>
      </c>
    </row>
    <row r="9" spans="1:147" x14ac:dyDescent="0.25">
      <c r="B9" s="253" t="s">
        <v>58</v>
      </c>
      <c r="C9" s="254"/>
      <c r="D9" s="251"/>
      <c r="E9" s="253" t="s">
        <v>59</v>
      </c>
      <c r="F9" s="254"/>
      <c r="G9" s="251"/>
      <c r="H9" s="253" t="s">
        <v>60</v>
      </c>
      <c r="I9" s="254"/>
      <c r="J9" s="251"/>
      <c r="K9" s="253" t="s">
        <v>61</v>
      </c>
      <c r="L9" s="254"/>
      <c r="M9" s="251"/>
      <c r="N9" s="253" t="s">
        <v>62</v>
      </c>
      <c r="O9" s="254"/>
      <c r="P9" s="251"/>
      <c r="Q9" s="253" t="s">
        <v>63</v>
      </c>
      <c r="R9" s="254"/>
      <c r="S9" s="251"/>
      <c r="T9" s="253" t="s">
        <v>64</v>
      </c>
      <c r="U9" s="254"/>
      <c r="V9" s="251"/>
      <c r="W9" s="253" t="s">
        <v>65</v>
      </c>
      <c r="X9" s="254"/>
      <c r="Y9" s="251"/>
      <c r="Z9" s="253" t="s">
        <v>66</v>
      </c>
      <c r="AA9" s="254"/>
      <c r="AB9" s="251"/>
      <c r="AC9" s="271" t="s">
        <v>67</v>
      </c>
      <c r="AD9" s="254"/>
      <c r="AE9" s="251"/>
      <c r="AF9" s="271" t="s">
        <v>68</v>
      </c>
      <c r="AG9" s="254"/>
      <c r="AH9" s="251"/>
      <c r="AI9" s="253" t="s">
        <v>69</v>
      </c>
      <c r="AJ9" s="254"/>
      <c r="AK9" s="251"/>
      <c r="AL9" s="253" t="s">
        <v>70</v>
      </c>
      <c r="AM9" s="254"/>
      <c r="AN9" s="251"/>
      <c r="AO9" s="253" t="s">
        <v>71</v>
      </c>
      <c r="AP9" s="254"/>
      <c r="AQ9" s="251"/>
      <c r="AR9" s="253" t="s">
        <v>72</v>
      </c>
      <c r="AS9" s="254"/>
      <c r="AT9" s="251"/>
      <c r="AU9" s="253" t="s">
        <v>73</v>
      </c>
      <c r="AV9" s="254"/>
      <c r="AW9" s="251"/>
      <c r="AX9" s="253" t="s">
        <v>74</v>
      </c>
      <c r="AY9" s="254"/>
      <c r="AZ9" s="251"/>
      <c r="BA9" s="253" t="s">
        <v>75</v>
      </c>
      <c r="BB9" s="254"/>
      <c r="BC9" s="251"/>
      <c r="BD9" s="253" t="s">
        <v>76</v>
      </c>
      <c r="BE9" s="254"/>
      <c r="BF9" s="251"/>
      <c r="BG9" s="253" t="s">
        <v>77</v>
      </c>
      <c r="BH9" s="254"/>
      <c r="BI9" s="251"/>
      <c r="BJ9" s="253" t="s">
        <v>78</v>
      </c>
      <c r="BK9" s="254"/>
      <c r="BL9" s="251"/>
      <c r="BM9" s="253" t="s">
        <v>79</v>
      </c>
      <c r="BN9" s="254"/>
      <c r="BO9" s="251"/>
      <c r="BP9" s="253" t="s">
        <v>80</v>
      </c>
      <c r="BQ9" s="254"/>
      <c r="BR9" s="251"/>
      <c r="BS9" s="253" t="s">
        <v>81</v>
      </c>
      <c r="BT9" s="254"/>
      <c r="BU9" s="251"/>
      <c r="BV9" s="253" t="s">
        <v>82</v>
      </c>
      <c r="BW9" s="254"/>
      <c r="BX9" s="251"/>
      <c r="BY9" s="253" t="s">
        <v>83</v>
      </c>
      <c r="BZ9" s="254"/>
      <c r="CA9" s="251"/>
      <c r="CB9" s="253" t="s">
        <v>84</v>
      </c>
      <c r="CC9" s="254"/>
      <c r="CD9" s="251"/>
      <c r="CE9" s="253" t="s">
        <v>85</v>
      </c>
      <c r="CF9" s="254"/>
      <c r="CG9" s="251"/>
      <c r="CH9" s="253" t="s">
        <v>86</v>
      </c>
      <c r="CI9" s="254"/>
      <c r="CJ9" s="251"/>
      <c r="CK9" s="253" t="s">
        <v>87</v>
      </c>
      <c r="CL9" s="254"/>
      <c r="CM9" s="251"/>
      <c r="CN9" s="253" t="s">
        <v>88</v>
      </c>
      <c r="CO9" s="254"/>
      <c r="CP9" s="251"/>
      <c r="CQ9" s="253" t="s">
        <v>89</v>
      </c>
      <c r="CR9" s="254"/>
      <c r="CS9" s="251"/>
      <c r="CT9" s="253" t="s">
        <v>90</v>
      </c>
      <c r="CU9" s="254"/>
      <c r="CV9" s="251"/>
      <c r="CW9" s="253" t="s">
        <v>91</v>
      </c>
      <c r="CX9" s="254"/>
      <c r="CY9" s="251"/>
      <c r="CZ9" s="253" t="s">
        <v>92</v>
      </c>
      <c r="DA9" s="254"/>
      <c r="DB9" s="251"/>
      <c r="DC9" s="253" t="s">
        <v>93</v>
      </c>
      <c r="DD9" s="254"/>
      <c r="DE9" s="251"/>
      <c r="DF9" s="253" t="s">
        <v>94</v>
      </c>
      <c r="DG9" s="254"/>
      <c r="DH9" s="251"/>
      <c r="DI9" s="253" t="s">
        <v>95</v>
      </c>
      <c r="DJ9" s="254"/>
      <c r="DK9" s="251"/>
      <c r="DL9" s="253" t="s">
        <v>96</v>
      </c>
      <c r="DM9" s="254"/>
      <c r="DN9" s="251"/>
      <c r="DO9" s="253" t="s">
        <v>97</v>
      </c>
      <c r="DP9" s="254"/>
      <c r="DQ9" s="251"/>
      <c r="DR9" s="253" t="s">
        <v>98</v>
      </c>
      <c r="DS9" s="254"/>
      <c r="DT9" s="251"/>
      <c r="DU9" s="253" t="s">
        <v>99</v>
      </c>
      <c r="DV9" s="254"/>
      <c r="DW9" s="251"/>
      <c r="DX9" s="272" t="s">
        <v>100</v>
      </c>
      <c r="DY9" s="254"/>
      <c r="DZ9" s="251"/>
      <c r="EA9" s="174"/>
      <c r="EB9" s="191" t="s">
        <v>101</v>
      </c>
      <c r="EC9" s="191" t="s">
        <v>102</v>
      </c>
      <c r="ED9" s="252" t="s">
        <v>103</v>
      </c>
      <c r="EE9" s="252" t="s">
        <v>104</v>
      </c>
      <c r="EG9" s="270" t="s">
        <v>105</v>
      </c>
      <c r="EH9" s="252" t="s">
        <v>103</v>
      </c>
      <c r="EI9" s="252" t="s">
        <v>104</v>
      </c>
      <c r="EJ9" s="252"/>
      <c r="EK9" s="270" t="s">
        <v>57</v>
      </c>
      <c r="EL9" s="270" t="s">
        <v>57</v>
      </c>
      <c r="EM9" s="252" t="s">
        <v>103</v>
      </c>
      <c r="EN9" s="252" t="s">
        <v>104</v>
      </c>
    </row>
    <row r="10" spans="1:147" x14ac:dyDescent="0.25">
      <c r="A10" s="252" t="s">
        <v>106</v>
      </c>
      <c r="B10" s="273" t="s">
        <v>107</v>
      </c>
      <c r="C10" s="274" t="s">
        <v>108</v>
      </c>
      <c r="D10" s="275" t="s">
        <v>12</v>
      </c>
      <c r="E10" s="273" t="s">
        <v>107</v>
      </c>
      <c r="F10" s="274" t="s">
        <v>108</v>
      </c>
      <c r="G10" s="275" t="s">
        <v>12</v>
      </c>
      <c r="H10" s="273" t="s">
        <v>107</v>
      </c>
      <c r="I10" s="274" t="s">
        <v>108</v>
      </c>
      <c r="J10" s="275" t="s">
        <v>12</v>
      </c>
      <c r="K10" s="273" t="s">
        <v>107</v>
      </c>
      <c r="L10" s="274" t="s">
        <v>108</v>
      </c>
      <c r="M10" s="275" t="s">
        <v>12</v>
      </c>
      <c r="N10" s="273" t="s">
        <v>107</v>
      </c>
      <c r="O10" s="274" t="s">
        <v>108</v>
      </c>
      <c r="P10" s="275" t="s">
        <v>12</v>
      </c>
      <c r="Q10" s="273" t="s">
        <v>107</v>
      </c>
      <c r="R10" s="274" t="s">
        <v>108</v>
      </c>
      <c r="S10" s="275" t="s">
        <v>12</v>
      </c>
      <c r="T10" s="273" t="s">
        <v>107</v>
      </c>
      <c r="U10" s="274" t="s">
        <v>108</v>
      </c>
      <c r="V10" s="275" t="s">
        <v>12</v>
      </c>
      <c r="W10" s="273" t="s">
        <v>107</v>
      </c>
      <c r="X10" s="274" t="s">
        <v>108</v>
      </c>
      <c r="Y10" s="275" t="s">
        <v>12</v>
      </c>
      <c r="Z10" s="273" t="s">
        <v>107</v>
      </c>
      <c r="AA10" s="274" t="s">
        <v>108</v>
      </c>
      <c r="AB10" s="275" t="s">
        <v>12</v>
      </c>
      <c r="AC10" s="273" t="s">
        <v>107</v>
      </c>
      <c r="AD10" s="274" t="s">
        <v>108</v>
      </c>
      <c r="AE10" s="275" t="s">
        <v>12</v>
      </c>
      <c r="AF10" s="273" t="s">
        <v>107</v>
      </c>
      <c r="AG10" s="274" t="s">
        <v>108</v>
      </c>
      <c r="AH10" s="275" t="s">
        <v>12</v>
      </c>
      <c r="AI10" s="273" t="s">
        <v>107</v>
      </c>
      <c r="AJ10" s="274" t="s">
        <v>108</v>
      </c>
      <c r="AK10" s="275" t="s">
        <v>12</v>
      </c>
      <c r="AL10" s="273" t="s">
        <v>107</v>
      </c>
      <c r="AM10" s="274" t="s">
        <v>108</v>
      </c>
      <c r="AN10" s="275" t="s">
        <v>12</v>
      </c>
      <c r="AO10" s="273" t="s">
        <v>107</v>
      </c>
      <c r="AP10" s="274" t="s">
        <v>108</v>
      </c>
      <c r="AQ10" s="275" t="s">
        <v>12</v>
      </c>
      <c r="AR10" s="273" t="s">
        <v>107</v>
      </c>
      <c r="AS10" s="274" t="s">
        <v>108</v>
      </c>
      <c r="AT10" s="275" t="s">
        <v>12</v>
      </c>
      <c r="AU10" s="273" t="s">
        <v>107</v>
      </c>
      <c r="AV10" s="274" t="s">
        <v>108</v>
      </c>
      <c r="AW10" s="275" t="s">
        <v>12</v>
      </c>
      <c r="AX10" s="273" t="s">
        <v>107</v>
      </c>
      <c r="AY10" s="274" t="s">
        <v>108</v>
      </c>
      <c r="AZ10" s="275" t="s">
        <v>12</v>
      </c>
      <c r="BA10" s="273" t="s">
        <v>107</v>
      </c>
      <c r="BB10" s="274" t="s">
        <v>108</v>
      </c>
      <c r="BC10" s="275" t="s">
        <v>12</v>
      </c>
      <c r="BD10" s="273" t="s">
        <v>107</v>
      </c>
      <c r="BE10" s="274" t="s">
        <v>108</v>
      </c>
      <c r="BF10" s="275" t="s">
        <v>12</v>
      </c>
      <c r="BG10" s="273" t="s">
        <v>107</v>
      </c>
      <c r="BH10" s="274" t="s">
        <v>108</v>
      </c>
      <c r="BI10" s="275" t="s">
        <v>12</v>
      </c>
      <c r="BJ10" s="273" t="s">
        <v>107</v>
      </c>
      <c r="BK10" s="274" t="s">
        <v>108</v>
      </c>
      <c r="BL10" s="275" t="s">
        <v>12</v>
      </c>
      <c r="BM10" s="273" t="s">
        <v>107</v>
      </c>
      <c r="BN10" s="274" t="s">
        <v>108</v>
      </c>
      <c r="BO10" s="275" t="s">
        <v>12</v>
      </c>
      <c r="BP10" s="273" t="s">
        <v>107</v>
      </c>
      <c r="BQ10" s="274" t="s">
        <v>108</v>
      </c>
      <c r="BR10" s="275" t="s">
        <v>12</v>
      </c>
      <c r="BS10" s="273" t="s">
        <v>107</v>
      </c>
      <c r="BT10" s="274" t="s">
        <v>108</v>
      </c>
      <c r="BU10" s="275" t="s">
        <v>12</v>
      </c>
      <c r="BV10" s="273" t="s">
        <v>107</v>
      </c>
      <c r="BW10" s="274" t="s">
        <v>108</v>
      </c>
      <c r="BX10" s="275" t="s">
        <v>12</v>
      </c>
      <c r="BY10" s="273" t="s">
        <v>107</v>
      </c>
      <c r="BZ10" s="274" t="s">
        <v>108</v>
      </c>
      <c r="CA10" s="275" t="s">
        <v>12</v>
      </c>
      <c r="CB10" s="273" t="s">
        <v>107</v>
      </c>
      <c r="CC10" s="274" t="s">
        <v>108</v>
      </c>
      <c r="CD10" s="275" t="s">
        <v>12</v>
      </c>
      <c r="CE10" s="273" t="s">
        <v>107</v>
      </c>
      <c r="CF10" s="274" t="s">
        <v>108</v>
      </c>
      <c r="CG10" s="275" t="s">
        <v>12</v>
      </c>
      <c r="CH10" s="273" t="s">
        <v>107</v>
      </c>
      <c r="CI10" s="274" t="s">
        <v>108</v>
      </c>
      <c r="CJ10" s="275" t="s">
        <v>12</v>
      </c>
      <c r="CK10" s="273" t="s">
        <v>107</v>
      </c>
      <c r="CL10" s="274" t="s">
        <v>108</v>
      </c>
      <c r="CM10" s="275" t="s">
        <v>12</v>
      </c>
      <c r="CN10" s="273" t="s">
        <v>107</v>
      </c>
      <c r="CO10" s="274" t="s">
        <v>108</v>
      </c>
      <c r="CP10" s="275" t="s">
        <v>12</v>
      </c>
      <c r="CQ10" s="273" t="s">
        <v>107</v>
      </c>
      <c r="CR10" s="274" t="s">
        <v>108</v>
      </c>
      <c r="CS10" s="275" t="s">
        <v>12</v>
      </c>
      <c r="CT10" s="273" t="s">
        <v>107</v>
      </c>
      <c r="CU10" s="274" t="s">
        <v>108</v>
      </c>
      <c r="CV10" s="275" t="s">
        <v>12</v>
      </c>
      <c r="CW10" s="273" t="s">
        <v>107</v>
      </c>
      <c r="CX10" s="274" t="s">
        <v>108</v>
      </c>
      <c r="CY10" s="275" t="s">
        <v>12</v>
      </c>
      <c r="CZ10" s="273" t="s">
        <v>107</v>
      </c>
      <c r="DA10" s="274" t="s">
        <v>108</v>
      </c>
      <c r="DB10" s="275" t="s">
        <v>12</v>
      </c>
      <c r="DC10" s="273" t="s">
        <v>107</v>
      </c>
      <c r="DD10" s="274" t="s">
        <v>108</v>
      </c>
      <c r="DE10" s="275" t="s">
        <v>12</v>
      </c>
      <c r="DF10" s="273" t="s">
        <v>107</v>
      </c>
      <c r="DG10" s="274" t="s">
        <v>108</v>
      </c>
      <c r="DH10" s="275" t="s">
        <v>12</v>
      </c>
      <c r="DI10" s="273" t="s">
        <v>107</v>
      </c>
      <c r="DJ10" s="274" t="s">
        <v>108</v>
      </c>
      <c r="DK10" s="275" t="s">
        <v>12</v>
      </c>
      <c r="DL10" s="273" t="s">
        <v>107</v>
      </c>
      <c r="DM10" s="274" t="s">
        <v>108</v>
      </c>
      <c r="DN10" s="275" t="s">
        <v>12</v>
      </c>
      <c r="DO10" s="273" t="s">
        <v>107</v>
      </c>
      <c r="DP10" s="274" t="s">
        <v>108</v>
      </c>
      <c r="DQ10" s="275" t="s">
        <v>12</v>
      </c>
      <c r="DR10" s="273" t="s">
        <v>107</v>
      </c>
      <c r="DS10" s="274" t="s">
        <v>108</v>
      </c>
      <c r="DT10" s="275" t="s">
        <v>12</v>
      </c>
      <c r="DU10" s="273" t="s">
        <v>107</v>
      </c>
      <c r="DV10" s="274" t="s">
        <v>108</v>
      </c>
      <c r="DW10" s="275" t="s">
        <v>12</v>
      </c>
      <c r="DX10" s="273" t="s">
        <v>107</v>
      </c>
      <c r="DY10" s="274"/>
      <c r="DZ10" s="275"/>
      <c r="EA10" s="275"/>
      <c r="EB10" s="275" t="s">
        <v>109</v>
      </c>
      <c r="EC10" s="275" t="s">
        <v>109</v>
      </c>
      <c r="ED10" s="275" t="s">
        <v>12</v>
      </c>
      <c r="EE10" s="275" t="s">
        <v>108</v>
      </c>
      <c r="EG10" s="275" t="s">
        <v>109</v>
      </c>
      <c r="EH10" s="275" t="s">
        <v>12</v>
      </c>
      <c r="EI10" s="275" t="s">
        <v>108</v>
      </c>
      <c r="EJ10" s="275"/>
      <c r="EK10" s="275" t="s">
        <v>109</v>
      </c>
      <c r="EL10" s="275" t="s">
        <v>109</v>
      </c>
      <c r="EM10" s="275" t="s">
        <v>12</v>
      </c>
      <c r="EN10" s="275" t="s">
        <v>108</v>
      </c>
    </row>
    <row r="11" spans="1:147" x14ac:dyDescent="0.25">
      <c r="A11" s="255">
        <v>45658</v>
      </c>
      <c r="B11" s="241">
        <v>0</v>
      </c>
      <c r="C11" s="242">
        <v>4.4299999999999999E-2</v>
      </c>
      <c r="D11" s="241">
        <f>(B11*C11)/360</f>
        <v>0</v>
      </c>
      <c r="G11" s="241">
        <f>(E11*F11)/360</f>
        <v>0</v>
      </c>
      <c r="J11" s="241">
        <f>(H11*I11)/360</f>
        <v>0</v>
      </c>
      <c r="M11" s="241">
        <f>(K11*L11)/360</f>
        <v>0</v>
      </c>
      <c r="P11" s="241">
        <f>(N11*O11)/360</f>
        <v>0</v>
      </c>
      <c r="S11" s="241">
        <f>(Q11*R11)/360</f>
        <v>0</v>
      </c>
      <c r="V11" s="241">
        <f>(T11*U11)/360</f>
        <v>0</v>
      </c>
      <c r="Y11" s="241">
        <f>(W11*X11)/360</f>
        <v>0</v>
      </c>
      <c r="AB11" s="241">
        <f>(Z11*AA11)/360</f>
        <v>0</v>
      </c>
      <c r="AE11" s="241">
        <v>0</v>
      </c>
      <c r="AH11" s="241">
        <v>0</v>
      </c>
      <c r="AI11" s="256"/>
      <c r="AJ11" s="257"/>
      <c r="AK11" s="241">
        <f>(AI11*AJ11)/360</f>
        <v>0</v>
      </c>
      <c r="AL11" s="256"/>
      <c r="AM11" s="257"/>
      <c r="AN11" s="241">
        <f>(AL11*AM11)/360</f>
        <v>0</v>
      </c>
      <c r="AO11" s="256"/>
      <c r="AP11" s="257"/>
      <c r="AQ11" s="241">
        <f>(AO11*AP11)/360</f>
        <v>0</v>
      </c>
      <c r="AR11" s="256"/>
      <c r="AS11" s="257"/>
      <c r="AT11" s="241">
        <f>(AR11*AS11)/360</f>
        <v>0</v>
      </c>
      <c r="AW11" s="241">
        <f>(AU11*AV11)/360</f>
        <v>0</v>
      </c>
      <c r="AZ11" s="241">
        <f>(AX11*AY11)/360</f>
        <v>0</v>
      </c>
      <c r="BC11" s="241">
        <f>(BA11*BB11)/360</f>
        <v>0</v>
      </c>
      <c r="BF11" s="241">
        <f>(BD11*BE11)/360</f>
        <v>0</v>
      </c>
      <c r="BI11" s="241">
        <f>(BG11*BH11)/360</f>
        <v>0</v>
      </c>
      <c r="BL11" s="241">
        <f>(BJ11*BK11)/360</f>
        <v>0</v>
      </c>
      <c r="BO11" s="241">
        <f>(BM11*BN11)/360</f>
        <v>0</v>
      </c>
      <c r="BR11" s="241">
        <f>(BP11*BQ11)/360</f>
        <v>0</v>
      </c>
      <c r="BU11" s="241">
        <f>(BS11*BT11)/360</f>
        <v>0</v>
      </c>
      <c r="BX11" s="241">
        <f>(BV11*BW11)/360</f>
        <v>0</v>
      </c>
      <c r="CA11" s="241">
        <f>(BY11*BZ11)/360</f>
        <v>0</v>
      </c>
      <c r="CD11" s="241">
        <f>(CB11*CC11)/360</f>
        <v>0</v>
      </c>
      <c r="CG11" s="241">
        <f>(CE11*CF11)/360</f>
        <v>0</v>
      </c>
      <c r="CJ11" s="241">
        <f>(CH11*CI11)/360</f>
        <v>0</v>
      </c>
      <c r="CM11" s="241">
        <f>(CK11*CL11)/360</f>
        <v>0</v>
      </c>
      <c r="CP11" s="241">
        <f>(CN11*CO11)/360</f>
        <v>0</v>
      </c>
      <c r="CS11" s="241">
        <f>(CQ11*CR11)/360</f>
        <v>0</v>
      </c>
      <c r="CV11" s="241">
        <f>(CT11*CU11)/360</f>
        <v>0</v>
      </c>
      <c r="CY11" s="241">
        <f>(CW11*CX11)/360</f>
        <v>0</v>
      </c>
      <c r="DB11" s="241">
        <f>(CZ11*DA11)/360</f>
        <v>0</v>
      </c>
      <c r="DE11" s="241">
        <f>(DC11*DD11)/360</f>
        <v>0</v>
      </c>
      <c r="DH11" s="241">
        <f>(DF11*DG11)/360</f>
        <v>0</v>
      </c>
      <c r="DK11" s="241">
        <f>(DI11*DJ11)/360</f>
        <v>0</v>
      </c>
      <c r="DN11" s="241">
        <f>(DL11*DM11)/360</f>
        <v>0</v>
      </c>
      <c r="DQ11" s="241">
        <f>(DO11*DP11)/360</f>
        <v>0</v>
      </c>
      <c r="DT11" s="241">
        <f>(DR11*DS11)/360</f>
        <v>0</v>
      </c>
      <c r="DW11" s="241">
        <f>(DU11*DV11)/360</f>
        <v>0</v>
      </c>
      <c r="DZ11" s="241"/>
      <c r="EA11" s="241"/>
      <c r="EB11" s="261">
        <f>B11+E11+H11+K11+N11+Q11+T11+W11+Z11+AC11+AF11+AL11+AO11+AR11+AU11+AX11+BA11+BD11+BG11+DU11+AI11+DR11+DO11+DL11+DI11+DF11+DC11+CZ11+CW11+CT11+CQ11+CN11+CK11+CH11+CE11+CB11+BY11+BV11+BS11+BP11+BM11+BJ11</f>
        <v>0</v>
      </c>
      <c r="EC11" s="261">
        <f>EB11-EK11+EL11</f>
        <v>0</v>
      </c>
      <c r="ED11" s="241">
        <f>D11+G11+J11+M11+P11+S11+V11+Y11+AB11+AE11+AH11+AK11+AN11+AQ11+AT11+AW11+AZ11+BC11+BF11+BI11+DW11+DT11+DQ11+DN11+DK11+DH11+DE11+DB11+CY11+CV11+CS11+CP11+CM11+CJ11+CG11+CD11+CA11+BX11+BU11+BR11+BO11+BL11</f>
        <v>0</v>
      </c>
      <c r="EE11" s="242">
        <f>IF(EB11&lt;&gt;0,((ED11/EB11)*360),0)</f>
        <v>0</v>
      </c>
      <c r="EG11" s="261">
        <f>Q11+T11+W11+Z11+AC11+AF11</f>
        <v>0</v>
      </c>
      <c r="EH11" s="241">
        <f>S11+V11+Y11+AB11+AE11+AH11</f>
        <v>0</v>
      </c>
      <c r="EI11" s="242">
        <f>IF(EG11&lt;&gt;0,((EH11/EG11)*360),0)</f>
        <v>0</v>
      </c>
      <c r="EJ11" s="242"/>
      <c r="EK11" s="261">
        <f>DR11+DL11+DI11+DF11+DC11+CZ11+CW11+CT11+CQ11+CN11+CK11+CH11+CE11+CB11+BY11+BV11+BS11+BP11+BM11+BJ11+BG11+BD11+BA11+AX11+AU11+AR11+AO11+AL11+AI11+DO11</f>
        <v>0</v>
      </c>
      <c r="EL11" s="261">
        <f>DX11</f>
        <v>0</v>
      </c>
      <c r="EM11" s="261">
        <f>DT11+DQ11+DN11+DK11+DH11+DE11+DB11+CY11+CV11+CS11+CP11+CM11+CJ11+CG11+CD11+CA11+BX11+BU11+BR11+BO11+BL11+BI11+BF11+BC11+AZ11+AW11+AT11+AQ11+AN11+AK11</f>
        <v>0</v>
      </c>
      <c r="EN11" s="242">
        <f>IF(EK11&lt;&gt;0,((EM11/EK11)*360),0)</f>
        <v>0</v>
      </c>
      <c r="EP11" s="241"/>
    </row>
    <row r="12" spans="1:147" x14ac:dyDescent="0.25">
      <c r="A12" s="255">
        <f>1+A11</f>
        <v>45659</v>
      </c>
      <c r="B12" s="241">
        <v>0</v>
      </c>
      <c r="C12" s="242">
        <v>4.2999999999999997E-2</v>
      </c>
      <c r="D12" s="241">
        <f t="shared" ref="D12:D41" si="0">(B12*C12)/360</f>
        <v>0</v>
      </c>
      <c r="G12" s="241">
        <f t="shared" ref="G12:G41" si="1">(E12*F12)/360</f>
        <v>0</v>
      </c>
      <c r="J12" s="241">
        <f t="shared" ref="J12:J41" si="2">(H12*I12)/360</f>
        <v>0</v>
      </c>
      <c r="M12" s="241">
        <f t="shared" ref="M12:M41" si="3">(K12*L12)/360</f>
        <v>0</v>
      </c>
      <c r="P12" s="241">
        <f t="shared" ref="P12:P41" si="4">(N12*O12)/360</f>
        <v>0</v>
      </c>
      <c r="S12" s="241">
        <f t="shared" ref="S12:S41" si="5">(Q12*R12)/360</f>
        <v>0</v>
      </c>
      <c r="V12" s="241">
        <f t="shared" ref="V12:V41" si="6">(T12*U12)/360</f>
        <v>0</v>
      </c>
      <c r="Y12" s="241">
        <f t="shared" ref="Y12:Y41" si="7">(W12*X12)/360</f>
        <v>0</v>
      </c>
      <c r="AB12" s="241">
        <f t="shared" ref="AB12:AB41" si="8">(Z12*AA12)/360</f>
        <v>0</v>
      </c>
      <c r="AE12" s="241">
        <v>0</v>
      </c>
      <c r="AH12" s="241">
        <v>0</v>
      </c>
      <c r="AI12" s="256"/>
      <c r="AJ12" s="257"/>
      <c r="AK12" s="241">
        <f t="shared" ref="AK12:AK41" si="9">(AI12*AJ12)/360</f>
        <v>0</v>
      </c>
      <c r="AL12" s="256"/>
      <c r="AM12" s="257"/>
      <c r="AN12" s="241">
        <f t="shared" ref="AN12:AN41" si="10">(AL12*AM12)/360</f>
        <v>0</v>
      </c>
      <c r="AO12" s="256"/>
      <c r="AP12" s="257"/>
      <c r="AQ12" s="241">
        <f t="shared" ref="AQ12:AQ41" si="11">(AO12*AP12)/360</f>
        <v>0</v>
      </c>
      <c r="AR12" s="256"/>
      <c r="AS12" s="257"/>
      <c r="AT12" s="241">
        <f t="shared" ref="AT12:AT41" si="12">(AR12*AS12)/360</f>
        <v>0</v>
      </c>
      <c r="AW12" s="241">
        <f t="shared" ref="AW12:AW41" si="13">(AU12*AV12)/360</f>
        <v>0</v>
      </c>
      <c r="AZ12" s="241">
        <f t="shared" ref="AZ12:AZ41" si="14">(AX12*AY12)/360</f>
        <v>0</v>
      </c>
      <c r="BC12" s="241">
        <f t="shared" ref="BC12:BC41" si="15">(BA12*BB12)/360</f>
        <v>0</v>
      </c>
      <c r="BF12" s="241">
        <f t="shared" ref="BF12:BF41" si="16">(BD12*BE12)/360</f>
        <v>0</v>
      </c>
      <c r="BI12" s="241">
        <f t="shared" ref="BI12:BI41" si="17">(BG12*BH12)/360</f>
        <v>0</v>
      </c>
      <c r="BL12" s="241">
        <f t="shared" ref="BL12:BL41" si="18">(BJ12*BK12)/360</f>
        <v>0</v>
      </c>
      <c r="BO12" s="241">
        <f t="shared" ref="BO12:BO41" si="19">(BM12*BN12)/360</f>
        <v>0</v>
      </c>
      <c r="BR12" s="241">
        <f t="shared" ref="BR12:BR41" si="20">(BP12*BQ12)/360</f>
        <v>0</v>
      </c>
      <c r="BU12" s="241">
        <f t="shared" ref="BU12:BU41" si="21">(BS12*BT12)/360</f>
        <v>0</v>
      </c>
      <c r="BX12" s="241">
        <f t="shared" ref="BX12:BX41" si="22">(BV12*BW12)/360</f>
        <v>0</v>
      </c>
      <c r="CA12" s="241">
        <f t="shared" ref="CA12:CA41" si="23">(BY12*BZ12)/360</f>
        <v>0</v>
      </c>
      <c r="CD12" s="241">
        <f t="shared" ref="CD12:CD41" si="24">(CB12*CC12)/360</f>
        <v>0</v>
      </c>
      <c r="CG12" s="241">
        <f t="shared" ref="CG12:CG41" si="25">(CE12*CF12)/360</f>
        <v>0</v>
      </c>
      <c r="CJ12" s="241">
        <f t="shared" ref="CJ12:CJ41" si="26">(CH12*CI12)/360</f>
        <v>0</v>
      </c>
      <c r="CM12" s="241">
        <f t="shared" ref="CM12:CM41" si="27">(CK12*CL12)/360</f>
        <v>0</v>
      </c>
      <c r="CP12" s="241">
        <f t="shared" ref="CP12:CP41" si="28">(CN12*CO12)/360</f>
        <v>0</v>
      </c>
      <c r="CS12" s="241">
        <f t="shared" ref="CS12:CS41" si="29">(CQ12*CR12)/360</f>
        <v>0</v>
      </c>
      <c r="CV12" s="241">
        <f t="shared" ref="CV12:CV41" si="30">(CT12*CU12)/360</f>
        <v>0</v>
      </c>
      <c r="CY12" s="241">
        <f t="shared" ref="CY12:CY41" si="31">(CW12*CX12)/360</f>
        <v>0</v>
      </c>
      <c r="DB12" s="241">
        <f t="shared" ref="DB12:DB41" si="32">(CZ12*DA12)/360</f>
        <v>0</v>
      </c>
      <c r="DE12" s="241">
        <f t="shared" ref="DE12:DE41" si="33">(DC12*DD12)/360</f>
        <v>0</v>
      </c>
      <c r="DH12" s="241">
        <f t="shared" ref="DH12:DH41" si="34">(DF12*DG12)/360</f>
        <v>0</v>
      </c>
      <c r="DK12" s="241">
        <f t="shared" ref="DK12:DK41" si="35">(DI12*DJ12)/360</f>
        <v>0</v>
      </c>
      <c r="DN12" s="241">
        <f t="shared" ref="DN12:DN41" si="36">(DL12*DM12)/360</f>
        <v>0</v>
      </c>
      <c r="DQ12" s="241">
        <f t="shared" ref="DQ12:DQ41" si="37">(DO12*DP12)/360</f>
        <v>0</v>
      </c>
      <c r="DT12" s="241">
        <f t="shared" ref="DT12:DT41" si="38">(DR12*DS12)/360</f>
        <v>0</v>
      </c>
      <c r="DW12" s="241">
        <f t="shared" ref="DW12:DW41" si="39">(DU12*DV12)/360</f>
        <v>0</v>
      </c>
      <c r="DZ12" s="241"/>
      <c r="EA12" s="241"/>
      <c r="EB12" s="261">
        <f t="shared" ref="EB12:EB41" si="40">B12+E12+H12+K12+N12+Q12+T12+W12+Z12+AC12+AF12+AL12+AO12+AR12+AU12+AX12+BA12+BD12+BG12+DU12+AI12+DR12+DO12+DL12+DI12+DF12+DC12+CZ12+CW12+CT12+CQ12+CN12+CK12+CH12+CE12+CB12+BY12+BV12+BS12+BP12+BM12+BJ12</f>
        <v>0</v>
      </c>
      <c r="EC12" s="261">
        <f t="shared" ref="EC12:EC41" si="41">EB12-EK12+EL12</f>
        <v>0</v>
      </c>
      <c r="ED12" s="241">
        <f t="shared" ref="ED12:ED41" si="42">D12+G12+J12+M12+P12+S12+V12+Y12+AB12+AE12+AH12+AK12+AN12+AQ12+AT12+AW12+AZ12+BC12+BF12+BI12+DW12+DT12+DQ12+DN12+DK12+DH12+DE12+DB12+CY12+CV12+CS12+CP12+CM12+CJ12+CG12+CD12+CA12+BX12+BU12+BR12+BO12+BL12</f>
        <v>0</v>
      </c>
      <c r="EE12" s="242">
        <f t="shared" ref="EE12:EE41" si="43">IF(EB12&lt;&gt;0,((ED12/EB12)*360),0)</f>
        <v>0</v>
      </c>
      <c r="EG12" s="261">
        <f t="shared" ref="EG12:EG41" si="44">Q12+T12+W12+Z12+AC12+AF12</f>
        <v>0</v>
      </c>
      <c r="EH12" s="241">
        <f t="shared" ref="EH12:EH41" si="45">S12+V12+Y12+AB12+AE12+AH12</f>
        <v>0</v>
      </c>
      <c r="EI12" s="242">
        <f t="shared" ref="EI12:EI41" si="46">IF(EG12&lt;&gt;0,((EH12/EG12)*360),0)</f>
        <v>0</v>
      </c>
      <c r="EJ12" s="242"/>
      <c r="EK12" s="261">
        <f t="shared" ref="EK12:EK41" si="47">DR12+DL12+DI12+DF12+DC12+CZ12+CW12+CT12+CQ12+CN12+CK12+CH12+CE12+CB12+BY12+BV12+BS12+BP12+BM12+BJ12+BG12+BD12+BA12+AX12+AU12+AR12+AO12+AL12+AI12+DO12</f>
        <v>0</v>
      </c>
      <c r="EL12" s="261">
        <f t="shared" ref="EL12:EL41" si="48">DX12</f>
        <v>0</v>
      </c>
      <c r="EM12" s="261">
        <f t="shared" ref="EM12:EM41" si="49">DT12+DQ12+DN12+DK12+DH12+DE12+DB12+CY12+CV12+CS12+CP12+CM12+CJ12+CG12+CD12+CA12+BX12+BU12+BR12+BO12+BL12+BI12+BF12+BC12+AZ12+AW12+AT12+AQ12+AN12+AK12</f>
        <v>0</v>
      </c>
      <c r="EN12" s="242">
        <f t="shared" ref="EN12:EN41" si="50">IF(EK12&lt;&gt;0,((EM12/EK12)*360),0)</f>
        <v>0</v>
      </c>
      <c r="EP12" s="241"/>
    </row>
    <row r="13" spans="1:147" x14ac:dyDescent="0.25">
      <c r="A13" s="255">
        <f t="shared" ref="A13:A41" si="51">1+A12</f>
        <v>45660</v>
      </c>
      <c r="B13" s="241">
        <v>0</v>
      </c>
      <c r="C13" s="242">
        <v>4.3400000000000001E-2</v>
      </c>
      <c r="D13" s="241">
        <f t="shared" si="0"/>
        <v>0</v>
      </c>
      <c r="G13" s="241">
        <f t="shared" si="1"/>
        <v>0</v>
      </c>
      <c r="J13" s="241">
        <f t="shared" si="2"/>
        <v>0</v>
      </c>
      <c r="M13" s="241">
        <f t="shared" si="3"/>
        <v>0</v>
      </c>
      <c r="P13" s="241">
        <f t="shared" si="4"/>
        <v>0</v>
      </c>
      <c r="S13" s="241">
        <f t="shared" si="5"/>
        <v>0</v>
      </c>
      <c r="V13" s="241">
        <f t="shared" si="6"/>
        <v>0</v>
      </c>
      <c r="Y13" s="241">
        <f t="shared" si="7"/>
        <v>0</v>
      </c>
      <c r="AB13" s="241">
        <f t="shared" si="8"/>
        <v>0</v>
      </c>
      <c r="AE13" s="241">
        <v>0</v>
      </c>
      <c r="AH13" s="241">
        <v>0</v>
      </c>
      <c r="AI13" s="256"/>
      <c r="AJ13" s="257"/>
      <c r="AK13" s="241">
        <f t="shared" si="9"/>
        <v>0</v>
      </c>
      <c r="AL13" s="256"/>
      <c r="AM13" s="257"/>
      <c r="AN13" s="241">
        <f t="shared" si="10"/>
        <v>0</v>
      </c>
      <c r="AO13" s="256"/>
      <c r="AP13" s="257"/>
      <c r="AQ13" s="241">
        <f t="shared" si="11"/>
        <v>0</v>
      </c>
      <c r="AR13" s="256"/>
      <c r="AS13" s="257"/>
      <c r="AT13" s="241">
        <f t="shared" si="12"/>
        <v>0</v>
      </c>
      <c r="AW13" s="241">
        <f t="shared" si="13"/>
        <v>0</v>
      </c>
      <c r="AZ13" s="241">
        <f t="shared" si="14"/>
        <v>0</v>
      </c>
      <c r="BC13" s="241">
        <f t="shared" si="15"/>
        <v>0</v>
      </c>
      <c r="BF13" s="241">
        <f t="shared" si="16"/>
        <v>0</v>
      </c>
      <c r="BI13" s="241">
        <f t="shared" si="17"/>
        <v>0</v>
      </c>
      <c r="BL13" s="241">
        <f t="shared" si="18"/>
        <v>0</v>
      </c>
      <c r="BO13" s="241">
        <f t="shared" si="19"/>
        <v>0</v>
      </c>
      <c r="BR13" s="241">
        <f t="shared" si="20"/>
        <v>0</v>
      </c>
      <c r="BU13" s="241">
        <f t="shared" si="21"/>
        <v>0</v>
      </c>
      <c r="BX13" s="241">
        <f t="shared" si="22"/>
        <v>0</v>
      </c>
      <c r="CA13" s="241">
        <f t="shared" si="23"/>
        <v>0</v>
      </c>
      <c r="CD13" s="241">
        <f t="shared" si="24"/>
        <v>0</v>
      </c>
      <c r="CG13" s="241">
        <f t="shared" si="25"/>
        <v>0</v>
      </c>
      <c r="CJ13" s="241">
        <f t="shared" si="26"/>
        <v>0</v>
      </c>
      <c r="CM13" s="241">
        <f t="shared" si="27"/>
        <v>0</v>
      </c>
      <c r="CP13" s="241">
        <f t="shared" si="28"/>
        <v>0</v>
      </c>
      <c r="CS13" s="241">
        <f t="shared" si="29"/>
        <v>0</v>
      </c>
      <c r="CV13" s="241">
        <f t="shared" si="30"/>
        <v>0</v>
      </c>
      <c r="CY13" s="241">
        <f t="shared" si="31"/>
        <v>0</v>
      </c>
      <c r="DB13" s="241">
        <f t="shared" si="32"/>
        <v>0</v>
      </c>
      <c r="DE13" s="241">
        <f t="shared" si="33"/>
        <v>0</v>
      </c>
      <c r="DH13" s="241">
        <f t="shared" si="34"/>
        <v>0</v>
      </c>
      <c r="DK13" s="241">
        <f t="shared" si="35"/>
        <v>0</v>
      </c>
      <c r="DN13" s="241">
        <f t="shared" si="36"/>
        <v>0</v>
      </c>
      <c r="DQ13" s="241">
        <f t="shared" si="37"/>
        <v>0</v>
      </c>
      <c r="DT13" s="241">
        <f t="shared" si="38"/>
        <v>0</v>
      </c>
      <c r="DW13" s="241">
        <f t="shared" si="39"/>
        <v>0</v>
      </c>
      <c r="DZ13" s="241"/>
      <c r="EA13" s="241"/>
      <c r="EB13" s="261">
        <f t="shared" si="40"/>
        <v>0</v>
      </c>
      <c r="EC13" s="261">
        <f t="shared" si="41"/>
        <v>0</v>
      </c>
      <c r="ED13" s="241">
        <f t="shared" si="42"/>
        <v>0</v>
      </c>
      <c r="EE13" s="242">
        <f t="shared" si="43"/>
        <v>0</v>
      </c>
      <c r="EG13" s="261">
        <f t="shared" si="44"/>
        <v>0</v>
      </c>
      <c r="EH13" s="241">
        <f t="shared" si="45"/>
        <v>0</v>
      </c>
      <c r="EI13" s="242">
        <f t="shared" si="46"/>
        <v>0</v>
      </c>
      <c r="EJ13" s="242"/>
      <c r="EK13" s="261">
        <f t="shared" si="47"/>
        <v>0</v>
      </c>
      <c r="EL13" s="261">
        <f t="shared" si="48"/>
        <v>0</v>
      </c>
      <c r="EM13" s="261">
        <f t="shared" si="49"/>
        <v>0</v>
      </c>
      <c r="EN13" s="242">
        <f t="shared" si="50"/>
        <v>0</v>
      </c>
      <c r="EP13" s="241"/>
    </row>
    <row r="14" spans="1:147" x14ac:dyDescent="0.25">
      <c r="A14" s="255">
        <f t="shared" si="51"/>
        <v>45661</v>
      </c>
      <c r="B14" s="241">
        <v>0</v>
      </c>
      <c r="C14" s="242">
        <v>4.3400000000000001E-2</v>
      </c>
      <c r="D14" s="241">
        <f t="shared" si="0"/>
        <v>0</v>
      </c>
      <c r="G14" s="241">
        <f t="shared" si="1"/>
        <v>0</v>
      </c>
      <c r="J14" s="241">
        <f t="shared" si="2"/>
        <v>0</v>
      </c>
      <c r="M14" s="241">
        <f t="shared" si="3"/>
        <v>0</v>
      </c>
      <c r="P14" s="241">
        <f t="shared" si="4"/>
        <v>0</v>
      </c>
      <c r="S14" s="241">
        <f t="shared" si="5"/>
        <v>0</v>
      </c>
      <c r="V14" s="241">
        <f t="shared" si="6"/>
        <v>0</v>
      </c>
      <c r="Y14" s="241">
        <f t="shared" si="7"/>
        <v>0</v>
      </c>
      <c r="AB14" s="241">
        <f t="shared" si="8"/>
        <v>0</v>
      </c>
      <c r="AE14" s="241">
        <v>0</v>
      </c>
      <c r="AH14" s="241">
        <v>0</v>
      </c>
      <c r="AI14" s="256"/>
      <c r="AJ14" s="257"/>
      <c r="AK14" s="241">
        <f t="shared" si="9"/>
        <v>0</v>
      </c>
      <c r="AL14" s="256"/>
      <c r="AM14" s="257"/>
      <c r="AN14" s="241">
        <f t="shared" si="10"/>
        <v>0</v>
      </c>
      <c r="AO14" s="256"/>
      <c r="AP14" s="257"/>
      <c r="AQ14" s="241">
        <f t="shared" si="11"/>
        <v>0</v>
      </c>
      <c r="AR14" s="256"/>
      <c r="AS14" s="257"/>
      <c r="AT14" s="241">
        <f t="shared" si="12"/>
        <v>0</v>
      </c>
      <c r="AW14" s="241">
        <f t="shared" si="13"/>
        <v>0</v>
      </c>
      <c r="AZ14" s="241">
        <f t="shared" si="14"/>
        <v>0</v>
      </c>
      <c r="BC14" s="241">
        <f t="shared" si="15"/>
        <v>0</v>
      </c>
      <c r="BF14" s="241">
        <f t="shared" si="16"/>
        <v>0</v>
      </c>
      <c r="BI14" s="241">
        <f t="shared" si="17"/>
        <v>0</v>
      </c>
      <c r="BL14" s="241">
        <f t="shared" si="18"/>
        <v>0</v>
      </c>
      <c r="BO14" s="241">
        <f t="shared" si="19"/>
        <v>0</v>
      </c>
      <c r="BR14" s="241">
        <f t="shared" si="20"/>
        <v>0</v>
      </c>
      <c r="BU14" s="241">
        <f t="shared" si="21"/>
        <v>0</v>
      </c>
      <c r="BX14" s="241">
        <f t="shared" si="22"/>
        <v>0</v>
      </c>
      <c r="CA14" s="241">
        <f t="shared" si="23"/>
        <v>0</v>
      </c>
      <c r="CD14" s="241">
        <f t="shared" si="24"/>
        <v>0</v>
      </c>
      <c r="CG14" s="241">
        <f t="shared" si="25"/>
        <v>0</v>
      </c>
      <c r="CJ14" s="241">
        <f t="shared" si="26"/>
        <v>0</v>
      </c>
      <c r="CM14" s="241">
        <f t="shared" si="27"/>
        <v>0</v>
      </c>
      <c r="CP14" s="241">
        <f t="shared" si="28"/>
        <v>0</v>
      </c>
      <c r="CS14" s="241">
        <f t="shared" si="29"/>
        <v>0</v>
      </c>
      <c r="CV14" s="241">
        <f t="shared" si="30"/>
        <v>0</v>
      </c>
      <c r="CY14" s="241">
        <f t="shared" si="31"/>
        <v>0</v>
      </c>
      <c r="DB14" s="241">
        <f t="shared" si="32"/>
        <v>0</v>
      </c>
      <c r="DE14" s="241">
        <f t="shared" si="33"/>
        <v>0</v>
      </c>
      <c r="DH14" s="241">
        <f t="shared" si="34"/>
        <v>0</v>
      </c>
      <c r="DK14" s="241">
        <f t="shared" si="35"/>
        <v>0</v>
      </c>
      <c r="DN14" s="241">
        <f t="shared" si="36"/>
        <v>0</v>
      </c>
      <c r="DQ14" s="241">
        <f t="shared" si="37"/>
        <v>0</v>
      </c>
      <c r="DT14" s="241">
        <f t="shared" si="38"/>
        <v>0</v>
      </c>
      <c r="DW14" s="241">
        <f t="shared" si="39"/>
        <v>0</v>
      </c>
      <c r="DZ14" s="241"/>
      <c r="EA14" s="241"/>
      <c r="EB14" s="261">
        <f t="shared" si="40"/>
        <v>0</v>
      </c>
      <c r="EC14" s="261">
        <f t="shared" si="41"/>
        <v>0</v>
      </c>
      <c r="ED14" s="241">
        <f t="shared" si="42"/>
        <v>0</v>
      </c>
      <c r="EE14" s="242">
        <f t="shared" si="43"/>
        <v>0</v>
      </c>
      <c r="EG14" s="261">
        <f t="shared" si="44"/>
        <v>0</v>
      </c>
      <c r="EH14" s="241">
        <f t="shared" si="45"/>
        <v>0</v>
      </c>
      <c r="EI14" s="242">
        <f t="shared" si="46"/>
        <v>0</v>
      </c>
      <c r="EJ14" s="242"/>
      <c r="EK14" s="261">
        <f t="shared" si="47"/>
        <v>0</v>
      </c>
      <c r="EL14" s="261">
        <f t="shared" si="48"/>
        <v>0</v>
      </c>
      <c r="EM14" s="261">
        <f t="shared" si="49"/>
        <v>0</v>
      </c>
      <c r="EN14" s="242">
        <f t="shared" si="50"/>
        <v>0</v>
      </c>
      <c r="EP14" s="241"/>
    </row>
    <row r="15" spans="1:147" x14ac:dyDescent="0.25">
      <c r="A15" s="255">
        <f t="shared" si="51"/>
        <v>45662</v>
      </c>
      <c r="B15" s="241">
        <v>0</v>
      </c>
      <c r="C15" s="242">
        <v>4.3400000000000001E-2</v>
      </c>
      <c r="D15" s="241">
        <f t="shared" si="0"/>
        <v>0</v>
      </c>
      <c r="G15" s="241">
        <f t="shared" si="1"/>
        <v>0</v>
      </c>
      <c r="J15" s="241">
        <f t="shared" si="2"/>
        <v>0</v>
      </c>
      <c r="M15" s="241">
        <f t="shared" si="3"/>
        <v>0</v>
      </c>
      <c r="P15" s="241">
        <f t="shared" si="4"/>
        <v>0</v>
      </c>
      <c r="S15" s="241">
        <f t="shared" si="5"/>
        <v>0</v>
      </c>
      <c r="V15" s="241">
        <f t="shared" si="6"/>
        <v>0</v>
      </c>
      <c r="Y15" s="241">
        <f t="shared" si="7"/>
        <v>0</v>
      </c>
      <c r="AB15" s="241">
        <f t="shared" si="8"/>
        <v>0</v>
      </c>
      <c r="AE15" s="241">
        <v>0</v>
      </c>
      <c r="AH15" s="241">
        <v>0</v>
      </c>
      <c r="AI15" s="256"/>
      <c r="AJ15" s="257"/>
      <c r="AK15" s="241">
        <f t="shared" si="9"/>
        <v>0</v>
      </c>
      <c r="AL15" s="256"/>
      <c r="AM15" s="257"/>
      <c r="AN15" s="241">
        <f t="shared" si="10"/>
        <v>0</v>
      </c>
      <c r="AO15" s="256"/>
      <c r="AP15" s="257"/>
      <c r="AQ15" s="241">
        <f t="shared" si="11"/>
        <v>0</v>
      </c>
      <c r="AR15" s="256"/>
      <c r="AS15" s="257"/>
      <c r="AT15" s="241">
        <f t="shared" si="12"/>
        <v>0</v>
      </c>
      <c r="AW15" s="241">
        <f t="shared" si="13"/>
        <v>0</v>
      </c>
      <c r="AZ15" s="241">
        <f t="shared" si="14"/>
        <v>0</v>
      </c>
      <c r="BC15" s="241">
        <f t="shared" si="15"/>
        <v>0</v>
      </c>
      <c r="BF15" s="241">
        <f t="shared" si="16"/>
        <v>0</v>
      </c>
      <c r="BI15" s="241">
        <f t="shared" si="17"/>
        <v>0</v>
      </c>
      <c r="BL15" s="241">
        <f t="shared" si="18"/>
        <v>0</v>
      </c>
      <c r="BO15" s="241">
        <f t="shared" si="19"/>
        <v>0</v>
      </c>
      <c r="BR15" s="241">
        <f t="shared" si="20"/>
        <v>0</v>
      </c>
      <c r="BU15" s="241">
        <f t="shared" si="21"/>
        <v>0</v>
      </c>
      <c r="BX15" s="241">
        <f t="shared" si="22"/>
        <v>0</v>
      </c>
      <c r="CA15" s="241">
        <f t="shared" si="23"/>
        <v>0</v>
      </c>
      <c r="CD15" s="241">
        <f t="shared" si="24"/>
        <v>0</v>
      </c>
      <c r="CG15" s="241">
        <f t="shared" si="25"/>
        <v>0</v>
      </c>
      <c r="CJ15" s="241">
        <f t="shared" si="26"/>
        <v>0</v>
      </c>
      <c r="CM15" s="241">
        <f t="shared" si="27"/>
        <v>0</v>
      </c>
      <c r="CP15" s="241">
        <f t="shared" si="28"/>
        <v>0</v>
      </c>
      <c r="CS15" s="241">
        <f t="shared" si="29"/>
        <v>0</v>
      </c>
      <c r="CV15" s="241">
        <f t="shared" si="30"/>
        <v>0</v>
      </c>
      <c r="CY15" s="241">
        <f t="shared" si="31"/>
        <v>0</v>
      </c>
      <c r="DB15" s="241">
        <f t="shared" si="32"/>
        <v>0</v>
      </c>
      <c r="DE15" s="241">
        <f t="shared" si="33"/>
        <v>0</v>
      </c>
      <c r="DH15" s="241">
        <f t="shared" si="34"/>
        <v>0</v>
      </c>
      <c r="DK15" s="241">
        <f t="shared" si="35"/>
        <v>0</v>
      </c>
      <c r="DN15" s="241">
        <f t="shared" si="36"/>
        <v>0</v>
      </c>
      <c r="DQ15" s="241">
        <f t="shared" si="37"/>
        <v>0</v>
      </c>
      <c r="DT15" s="241">
        <f t="shared" si="38"/>
        <v>0</v>
      </c>
      <c r="DW15" s="241">
        <f t="shared" si="39"/>
        <v>0</v>
      </c>
      <c r="DZ15" s="241"/>
      <c r="EA15" s="241"/>
      <c r="EB15" s="261">
        <f t="shared" si="40"/>
        <v>0</v>
      </c>
      <c r="EC15" s="261">
        <f t="shared" si="41"/>
        <v>0</v>
      </c>
      <c r="ED15" s="241">
        <f t="shared" si="42"/>
        <v>0</v>
      </c>
      <c r="EE15" s="242">
        <f t="shared" si="43"/>
        <v>0</v>
      </c>
      <c r="EG15" s="261">
        <f t="shared" si="44"/>
        <v>0</v>
      </c>
      <c r="EH15" s="241">
        <f t="shared" si="45"/>
        <v>0</v>
      </c>
      <c r="EI15" s="242">
        <f t="shared" si="46"/>
        <v>0</v>
      </c>
      <c r="EJ15" s="242"/>
      <c r="EK15" s="261">
        <f t="shared" si="47"/>
        <v>0</v>
      </c>
      <c r="EL15" s="261">
        <f t="shared" si="48"/>
        <v>0</v>
      </c>
      <c r="EM15" s="261">
        <f t="shared" si="49"/>
        <v>0</v>
      </c>
      <c r="EN15" s="242">
        <f t="shared" si="50"/>
        <v>0</v>
      </c>
      <c r="EP15" s="241"/>
    </row>
    <row r="16" spans="1:147" x14ac:dyDescent="0.25">
      <c r="A16" s="255">
        <f t="shared" si="51"/>
        <v>45663</v>
      </c>
      <c r="B16" s="241">
        <v>0</v>
      </c>
      <c r="C16" s="242">
        <v>4.559937E-2</v>
      </c>
      <c r="D16" s="241">
        <f t="shared" si="0"/>
        <v>0</v>
      </c>
      <c r="G16" s="241">
        <f t="shared" si="1"/>
        <v>0</v>
      </c>
      <c r="J16" s="241">
        <f t="shared" si="2"/>
        <v>0</v>
      </c>
      <c r="M16" s="241">
        <f t="shared" si="3"/>
        <v>0</v>
      </c>
      <c r="P16" s="241">
        <f t="shared" si="4"/>
        <v>0</v>
      </c>
      <c r="S16" s="241">
        <f t="shared" si="5"/>
        <v>0</v>
      </c>
      <c r="V16" s="241">
        <f t="shared" si="6"/>
        <v>0</v>
      </c>
      <c r="Y16" s="241">
        <f t="shared" si="7"/>
        <v>0</v>
      </c>
      <c r="AB16" s="241">
        <f t="shared" si="8"/>
        <v>0</v>
      </c>
      <c r="AE16" s="241">
        <v>0</v>
      </c>
      <c r="AH16" s="241">
        <v>0</v>
      </c>
      <c r="AI16" s="256">
        <f>35425000</f>
        <v>35425000</v>
      </c>
      <c r="AJ16" s="257">
        <v>4.5499999999999999E-2</v>
      </c>
      <c r="AK16" s="241">
        <f t="shared" si="9"/>
        <v>4477.3263888888887</v>
      </c>
      <c r="AL16" s="256"/>
      <c r="AM16" s="257"/>
      <c r="AN16" s="241">
        <f t="shared" si="10"/>
        <v>0</v>
      </c>
      <c r="AO16" s="256"/>
      <c r="AP16" s="257"/>
      <c r="AQ16" s="241">
        <f t="shared" si="11"/>
        <v>0</v>
      </c>
      <c r="AR16" s="256"/>
      <c r="AS16" s="257"/>
      <c r="AT16" s="241">
        <f t="shared" si="12"/>
        <v>0</v>
      </c>
      <c r="AW16" s="241">
        <f t="shared" si="13"/>
        <v>0</v>
      </c>
      <c r="AZ16" s="241">
        <f t="shared" si="14"/>
        <v>0</v>
      </c>
      <c r="BC16" s="241">
        <f t="shared" si="15"/>
        <v>0</v>
      </c>
      <c r="BF16" s="241">
        <f t="shared" si="16"/>
        <v>0</v>
      </c>
      <c r="BI16" s="241">
        <f t="shared" si="17"/>
        <v>0</v>
      </c>
      <c r="BL16" s="241">
        <f t="shared" si="18"/>
        <v>0</v>
      </c>
      <c r="BO16" s="241">
        <f t="shared" si="19"/>
        <v>0</v>
      </c>
      <c r="BR16" s="241">
        <f t="shared" si="20"/>
        <v>0</v>
      </c>
      <c r="BU16" s="241">
        <f t="shared" si="21"/>
        <v>0</v>
      </c>
      <c r="BX16" s="241">
        <f t="shared" si="22"/>
        <v>0</v>
      </c>
      <c r="CA16" s="241">
        <f t="shared" si="23"/>
        <v>0</v>
      </c>
      <c r="CD16" s="241">
        <f t="shared" si="24"/>
        <v>0</v>
      </c>
      <c r="CG16" s="241">
        <f t="shared" si="25"/>
        <v>0</v>
      </c>
      <c r="CJ16" s="241">
        <f t="shared" si="26"/>
        <v>0</v>
      </c>
      <c r="CM16" s="241">
        <f t="shared" si="27"/>
        <v>0</v>
      </c>
      <c r="CP16" s="241">
        <f t="shared" si="28"/>
        <v>0</v>
      </c>
      <c r="CS16" s="241">
        <f t="shared" si="29"/>
        <v>0</v>
      </c>
      <c r="CV16" s="241">
        <f t="shared" si="30"/>
        <v>0</v>
      </c>
      <c r="CY16" s="241">
        <f t="shared" si="31"/>
        <v>0</v>
      </c>
      <c r="DB16" s="241">
        <f t="shared" si="32"/>
        <v>0</v>
      </c>
      <c r="DE16" s="241">
        <f t="shared" si="33"/>
        <v>0</v>
      </c>
      <c r="DH16" s="241">
        <f t="shared" si="34"/>
        <v>0</v>
      </c>
      <c r="DK16" s="241">
        <f t="shared" si="35"/>
        <v>0</v>
      </c>
      <c r="DN16" s="241">
        <f t="shared" si="36"/>
        <v>0</v>
      </c>
      <c r="DQ16" s="241">
        <f t="shared" si="37"/>
        <v>0</v>
      </c>
      <c r="DT16" s="241">
        <f t="shared" si="38"/>
        <v>0</v>
      </c>
      <c r="DW16" s="241">
        <f t="shared" si="39"/>
        <v>0</v>
      </c>
      <c r="DZ16" s="241"/>
      <c r="EA16" s="241"/>
      <c r="EB16" s="261">
        <f t="shared" si="40"/>
        <v>35425000</v>
      </c>
      <c r="EC16" s="261">
        <f t="shared" si="41"/>
        <v>0</v>
      </c>
      <c r="ED16" s="241">
        <f t="shared" si="42"/>
        <v>4477.3263888888887</v>
      </c>
      <c r="EE16" s="242">
        <f t="shared" si="43"/>
        <v>4.5499999999999999E-2</v>
      </c>
      <c r="EG16" s="261">
        <f t="shared" si="44"/>
        <v>0</v>
      </c>
      <c r="EH16" s="241">
        <f t="shared" si="45"/>
        <v>0</v>
      </c>
      <c r="EI16" s="242">
        <f t="shared" si="46"/>
        <v>0</v>
      </c>
      <c r="EJ16" s="242"/>
      <c r="EK16" s="261">
        <f t="shared" si="47"/>
        <v>35425000</v>
      </c>
      <c r="EL16" s="261">
        <f t="shared" si="48"/>
        <v>0</v>
      </c>
      <c r="EM16" s="261">
        <f t="shared" si="49"/>
        <v>4477.3263888888887</v>
      </c>
      <c r="EN16" s="242">
        <f t="shared" si="50"/>
        <v>4.5499999999999999E-2</v>
      </c>
      <c r="EP16" s="241"/>
    </row>
    <row r="17" spans="1:146" x14ac:dyDescent="0.25">
      <c r="A17" s="255">
        <f t="shared" si="51"/>
        <v>45664</v>
      </c>
      <c r="B17" s="241">
        <v>0</v>
      </c>
      <c r="C17" s="242">
        <v>4.6731420000000003E-2</v>
      </c>
      <c r="D17" s="241">
        <f t="shared" si="0"/>
        <v>0</v>
      </c>
      <c r="G17" s="241">
        <f t="shared" si="1"/>
        <v>0</v>
      </c>
      <c r="J17" s="241">
        <f t="shared" si="2"/>
        <v>0</v>
      </c>
      <c r="M17" s="241">
        <f t="shared" si="3"/>
        <v>0</v>
      </c>
      <c r="P17" s="241">
        <f t="shared" si="4"/>
        <v>0</v>
      </c>
      <c r="S17" s="241">
        <f t="shared" si="5"/>
        <v>0</v>
      </c>
      <c r="V17" s="241">
        <f t="shared" si="6"/>
        <v>0</v>
      </c>
      <c r="Y17" s="241">
        <f t="shared" si="7"/>
        <v>0</v>
      </c>
      <c r="AB17" s="241">
        <f t="shared" si="8"/>
        <v>0</v>
      </c>
      <c r="AE17" s="241">
        <v>0</v>
      </c>
      <c r="AH17" s="241">
        <v>0</v>
      </c>
      <c r="AI17" s="256">
        <f>17725000</f>
        <v>17725000</v>
      </c>
      <c r="AJ17" s="257">
        <v>4.53E-2</v>
      </c>
      <c r="AK17" s="241">
        <f t="shared" si="9"/>
        <v>2230.3958333333335</v>
      </c>
      <c r="AL17" s="256"/>
      <c r="AM17" s="257"/>
      <c r="AN17" s="241">
        <f t="shared" si="10"/>
        <v>0</v>
      </c>
      <c r="AO17" s="256"/>
      <c r="AP17" s="257"/>
      <c r="AQ17" s="241">
        <f t="shared" si="11"/>
        <v>0</v>
      </c>
      <c r="AR17" s="256"/>
      <c r="AS17" s="257"/>
      <c r="AT17" s="241">
        <f t="shared" si="12"/>
        <v>0</v>
      </c>
      <c r="AW17" s="241">
        <f t="shared" si="13"/>
        <v>0</v>
      </c>
      <c r="AZ17" s="241">
        <f t="shared" si="14"/>
        <v>0</v>
      </c>
      <c r="BC17" s="241">
        <f t="shared" si="15"/>
        <v>0</v>
      </c>
      <c r="BF17" s="241">
        <f t="shared" si="16"/>
        <v>0</v>
      </c>
      <c r="BI17" s="241">
        <f t="shared" si="17"/>
        <v>0</v>
      </c>
      <c r="BL17" s="241">
        <f t="shared" si="18"/>
        <v>0</v>
      </c>
      <c r="BO17" s="241">
        <f t="shared" si="19"/>
        <v>0</v>
      </c>
      <c r="BR17" s="241">
        <f t="shared" si="20"/>
        <v>0</v>
      </c>
      <c r="BU17" s="241">
        <f t="shared" si="21"/>
        <v>0</v>
      </c>
      <c r="BX17" s="241">
        <f t="shared" si="22"/>
        <v>0</v>
      </c>
      <c r="CA17" s="241">
        <f t="shared" si="23"/>
        <v>0</v>
      </c>
      <c r="CD17" s="241">
        <f t="shared" si="24"/>
        <v>0</v>
      </c>
      <c r="CG17" s="241">
        <f t="shared" si="25"/>
        <v>0</v>
      </c>
      <c r="CJ17" s="241">
        <f t="shared" si="26"/>
        <v>0</v>
      </c>
      <c r="CM17" s="241">
        <f t="shared" si="27"/>
        <v>0</v>
      </c>
      <c r="CP17" s="241">
        <f t="shared" si="28"/>
        <v>0</v>
      </c>
      <c r="CS17" s="241">
        <f t="shared" si="29"/>
        <v>0</v>
      </c>
      <c r="CV17" s="241">
        <f t="shared" si="30"/>
        <v>0</v>
      </c>
      <c r="CY17" s="241">
        <f t="shared" si="31"/>
        <v>0</v>
      </c>
      <c r="DB17" s="241">
        <f t="shared" si="32"/>
        <v>0</v>
      </c>
      <c r="DE17" s="241">
        <f t="shared" si="33"/>
        <v>0</v>
      </c>
      <c r="DH17" s="241">
        <f t="shared" si="34"/>
        <v>0</v>
      </c>
      <c r="DK17" s="241">
        <f t="shared" si="35"/>
        <v>0</v>
      </c>
      <c r="DN17" s="241">
        <f t="shared" si="36"/>
        <v>0</v>
      </c>
      <c r="DQ17" s="241">
        <f t="shared" si="37"/>
        <v>0</v>
      </c>
      <c r="DT17" s="241">
        <f t="shared" si="38"/>
        <v>0</v>
      </c>
      <c r="DW17" s="241">
        <f t="shared" si="39"/>
        <v>0</v>
      </c>
      <c r="DZ17" s="241"/>
      <c r="EA17" s="241"/>
      <c r="EB17" s="261">
        <f t="shared" si="40"/>
        <v>17725000</v>
      </c>
      <c r="EC17" s="261">
        <f t="shared" si="41"/>
        <v>0</v>
      </c>
      <c r="ED17" s="241">
        <f t="shared" si="42"/>
        <v>2230.3958333333335</v>
      </c>
      <c r="EE17" s="242">
        <f t="shared" si="43"/>
        <v>4.5300000000000007E-2</v>
      </c>
      <c r="EG17" s="261">
        <f t="shared" si="44"/>
        <v>0</v>
      </c>
      <c r="EH17" s="241">
        <f t="shared" si="45"/>
        <v>0</v>
      </c>
      <c r="EI17" s="242">
        <f t="shared" si="46"/>
        <v>0</v>
      </c>
      <c r="EJ17" s="242"/>
      <c r="EK17" s="261">
        <f t="shared" si="47"/>
        <v>17725000</v>
      </c>
      <c r="EL17" s="261">
        <f t="shared" si="48"/>
        <v>0</v>
      </c>
      <c r="EM17" s="261">
        <f t="shared" si="49"/>
        <v>2230.3958333333335</v>
      </c>
      <c r="EN17" s="242">
        <f t="shared" si="50"/>
        <v>4.5300000000000007E-2</v>
      </c>
      <c r="EP17" s="241"/>
    </row>
    <row r="18" spans="1:146" x14ac:dyDescent="0.25">
      <c r="A18" s="255">
        <f t="shared" si="51"/>
        <v>45665</v>
      </c>
      <c r="B18" s="241">
        <v>0</v>
      </c>
      <c r="C18" s="242">
        <v>4.6566710000000004E-2</v>
      </c>
      <c r="D18" s="241">
        <f t="shared" si="0"/>
        <v>0</v>
      </c>
      <c r="G18" s="241">
        <f t="shared" si="1"/>
        <v>0</v>
      </c>
      <c r="J18" s="241">
        <f t="shared" si="2"/>
        <v>0</v>
      </c>
      <c r="M18" s="241">
        <f t="shared" si="3"/>
        <v>0</v>
      </c>
      <c r="P18" s="241">
        <f t="shared" si="4"/>
        <v>0</v>
      </c>
      <c r="S18" s="241">
        <f t="shared" si="5"/>
        <v>0</v>
      </c>
      <c r="V18" s="241">
        <f t="shared" si="6"/>
        <v>0</v>
      </c>
      <c r="Y18" s="241">
        <f t="shared" si="7"/>
        <v>0</v>
      </c>
      <c r="AB18" s="241">
        <f t="shared" si="8"/>
        <v>0</v>
      </c>
      <c r="AE18" s="241">
        <v>0</v>
      </c>
      <c r="AH18" s="241">
        <v>0</v>
      </c>
      <c r="AI18" s="256">
        <v>8400000</v>
      </c>
      <c r="AJ18" s="257">
        <v>4.53E-2</v>
      </c>
      <c r="AK18" s="241">
        <f t="shared" si="9"/>
        <v>1057</v>
      </c>
      <c r="AL18" s="256"/>
      <c r="AM18" s="257"/>
      <c r="AN18" s="241">
        <f t="shared" si="10"/>
        <v>0</v>
      </c>
      <c r="AO18" s="256"/>
      <c r="AP18" s="257"/>
      <c r="AQ18" s="241">
        <f t="shared" si="11"/>
        <v>0</v>
      </c>
      <c r="AR18" s="256"/>
      <c r="AS18" s="257"/>
      <c r="AT18" s="241">
        <f t="shared" si="12"/>
        <v>0</v>
      </c>
      <c r="AW18" s="241">
        <f t="shared" si="13"/>
        <v>0</v>
      </c>
      <c r="AZ18" s="241">
        <f t="shared" si="14"/>
        <v>0</v>
      </c>
      <c r="BC18" s="241">
        <f t="shared" si="15"/>
        <v>0</v>
      </c>
      <c r="BF18" s="241">
        <f t="shared" si="16"/>
        <v>0</v>
      </c>
      <c r="BI18" s="241">
        <f t="shared" si="17"/>
        <v>0</v>
      </c>
      <c r="BL18" s="241">
        <f t="shared" si="18"/>
        <v>0</v>
      </c>
      <c r="BO18" s="241">
        <f t="shared" si="19"/>
        <v>0</v>
      </c>
      <c r="BR18" s="241">
        <f t="shared" si="20"/>
        <v>0</v>
      </c>
      <c r="BU18" s="241">
        <f t="shared" si="21"/>
        <v>0</v>
      </c>
      <c r="BX18" s="241">
        <f t="shared" si="22"/>
        <v>0</v>
      </c>
      <c r="CA18" s="241">
        <f t="shared" si="23"/>
        <v>0</v>
      </c>
      <c r="CD18" s="241">
        <f t="shared" si="24"/>
        <v>0</v>
      </c>
      <c r="CG18" s="241">
        <f t="shared" si="25"/>
        <v>0</v>
      </c>
      <c r="CJ18" s="241">
        <f t="shared" si="26"/>
        <v>0</v>
      </c>
      <c r="CM18" s="241">
        <f t="shared" si="27"/>
        <v>0</v>
      </c>
      <c r="CP18" s="241">
        <f t="shared" si="28"/>
        <v>0</v>
      </c>
      <c r="CS18" s="241">
        <f t="shared" si="29"/>
        <v>0</v>
      </c>
      <c r="CV18" s="241">
        <f t="shared" si="30"/>
        <v>0</v>
      </c>
      <c r="CY18" s="241">
        <f t="shared" si="31"/>
        <v>0</v>
      </c>
      <c r="DB18" s="241">
        <f t="shared" si="32"/>
        <v>0</v>
      </c>
      <c r="DE18" s="241">
        <f t="shared" si="33"/>
        <v>0</v>
      </c>
      <c r="DH18" s="241">
        <f t="shared" si="34"/>
        <v>0</v>
      </c>
      <c r="DK18" s="241">
        <f t="shared" si="35"/>
        <v>0</v>
      </c>
      <c r="DN18" s="241">
        <f t="shared" si="36"/>
        <v>0</v>
      </c>
      <c r="DQ18" s="241">
        <f t="shared" si="37"/>
        <v>0</v>
      </c>
      <c r="DT18" s="241">
        <f t="shared" si="38"/>
        <v>0</v>
      </c>
      <c r="DW18" s="241">
        <f t="shared" si="39"/>
        <v>0</v>
      </c>
      <c r="DZ18" s="241"/>
      <c r="EA18" s="241"/>
      <c r="EB18" s="261">
        <f t="shared" si="40"/>
        <v>8400000</v>
      </c>
      <c r="EC18" s="261">
        <f t="shared" si="41"/>
        <v>0</v>
      </c>
      <c r="ED18" s="241">
        <f t="shared" si="42"/>
        <v>1057</v>
      </c>
      <c r="EE18" s="242">
        <f t="shared" si="43"/>
        <v>4.5299999999999993E-2</v>
      </c>
      <c r="EG18" s="261">
        <f t="shared" si="44"/>
        <v>0</v>
      </c>
      <c r="EH18" s="241">
        <f t="shared" si="45"/>
        <v>0</v>
      </c>
      <c r="EI18" s="242">
        <f t="shared" si="46"/>
        <v>0</v>
      </c>
      <c r="EJ18" s="242"/>
      <c r="EK18" s="261">
        <f t="shared" si="47"/>
        <v>8400000</v>
      </c>
      <c r="EL18" s="261">
        <f t="shared" si="48"/>
        <v>0</v>
      </c>
      <c r="EM18" s="261">
        <f t="shared" si="49"/>
        <v>1057</v>
      </c>
      <c r="EN18" s="242">
        <f t="shared" si="50"/>
        <v>4.5299999999999993E-2</v>
      </c>
      <c r="EP18" s="241"/>
    </row>
    <row r="19" spans="1:146" x14ac:dyDescent="0.25">
      <c r="A19" s="255">
        <f t="shared" si="51"/>
        <v>45666</v>
      </c>
      <c r="B19" s="241">
        <v>0</v>
      </c>
      <c r="C19" s="242">
        <v>4.6449230000000001E-2</v>
      </c>
      <c r="D19" s="241">
        <f t="shared" si="0"/>
        <v>0</v>
      </c>
      <c r="G19" s="241">
        <f t="shared" si="1"/>
        <v>0</v>
      </c>
      <c r="J19" s="241">
        <f t="shared" si="2"/>
        <v>0</v>
      </c>
      <c r="M19" s="241">
        <f t="shared" si="3"/>
        <v>0</v>
      </c>
      <c r="P19" s="241">
        <f t="shared" si="4"/>
        <v>0</v>
      </c>
      <c r="S19" s="241">
        <f t="shared" si="5"/>
        <v>0</v>
      </c>
      <c r="V19" s="241">
        <f t="shared" si="6"/>
        <v>0</v>
      </c>
      <c r="Y19" s="241">
        <f t="shared" si="7"/>
        <v>0</v>
      </c>
      <c r="AB19" s="241">
        <f t="shared" si="8"/>
        <v>0</v>
      </c>
      <c r="AE19" s="241">
        <v>0</v>
      </c>
      <c r="AH19" s="241">
        <v>0</v>
      </c>
      <c r="AI19" s="256">
        <v>16775000</v>
      </c>
      <c r="AJ19" s="257">
        <v>4.53E-2</v>
      </c>
      <c r="AK19" s="241">
        <f t="shared" si="9"/>
        <v>2110.8541666666665</v>
      </c>
      <c r="AL19" s="256"/>
      <c r="AM19" s="257"/>
      <c r="AN19" s="241">
        <f t="shared" si="10"/>
        <v>0</v>
      </c>
      <c r="AO19" s="256"/>
      <c r="AP19" s="257"/>
      <c r="AQ19" s="241">
        <f t="shared" si="11"/>
        <v>0</v>
      </c>
      <c r="AR19" s="256"/>
      <c r="AS19" s="257"/>
      <c r="AT19" s="241">
        <f t="shared" si="12"/>
        <v>0</v>
      </c>
      <c r="AW19" s="241">
        <f t="shared" si="13"/>
        <v>0</v>
      </c>
      <c r="AZ19" s="241">
        <f t="shared" si="14"/>
        <v>0</v>
      </c>
      <c r="BC19" s="241">
        <f t="shared" si="15"/>
        <v>0</v>
      </c>
      <c r="BF19" s="241">
        <f t="shared" si="16"/>
        <v>0</v>
      </c>
      <c r="BI19" s="241">
        <f t="shared" si="17"/>
        <v>0</v>
      </c>
      <c r="BL19" s="241">
        <f t="shared" si="18"/>
        <v>0</v>
      </c>
      <c r="BO19" s="241">
        <f t="shared" si="19"/>
        <v>0</v>
      </c>
      <c r="BR19" s="241">
        <f t="shared" si="20"/>
        <v>0</v>
      </c>
      <c r="BU19" s="241">
        <f t="shared" si="21"/>
        <v>0</v>
      </c>
      <c r="BX19" s="241">
        <f t="shared" si="22"/>
        <v>0</v>
      </c>
      <c r="CA19" s="241">
        <f t="shared" si="23"/>
        <v>0</v>
      </c>
      <c r="CD19" s="241">
        <f t="shared" si="24"/>
        <v>0</v>
      </c>
      <c r="CG19" s="241">
        <f t="shared" si="25"/>
        <v>0</v>
      </c>
      <c r="CJ19" s="241">
        <f t="shared" si="26"/>
        <v>0</v>
      </c>
      <c r="CM19" s="241">
        <f t="shared" si="27"/>
        <v>0</v>
      </c>
      <c r="CP19" s="241">
        <f t="shared" si="28"/>
        <v>0</v>
      </c>
      <c r="CS19" s="241">
        <f t="shared" si="29"/>
        <v>0</v>
      </c>
      <c r="CV19" s="241">
        <f t="shared" si="30"/>
        <v>0</v>
      </c>
      <c r="CY19" s="241">
        <f t="shared" si="31"/>
        <v>0</v>
      </c>
      <c r="DB19" s="241">
        <f t="shared" si="32"/>
        <v>0</v>
      </c>
      <c r="DE19" s="241">
        <f t="shared" si="33"/>
        <v>0</v>
      </c>
      <c r="DH19" s="241">
        <f t="shared" si="34"/>
        <v>0</v>
      </c>
      <c r="DK19" s="241">
        <f t="shared" si="35"/>
        <v>0</v>
      </c>
      <c r="DN19" s="241">
        <f t="shared" si="36"/>
        <v>0</v>
      </c>
      <c r="DQ19" s="241">
        <f t="shared" si="37"/>
        <v>0</v>
      </c>
      <c r="DT19" s="241">
        <f t="shared" si="38"/>
        <v>0</v>
      </c>
      <c r="DW19" s="241">
        <f t="shared" si="39"/>
        <v>0</v>
      </c>
      <c r="DZ19" s="241"/>
      <c r="EA19" s="241"/>
      <c r="EB19" s="261">
        <f t="shared" si="40"/>
        <v>16775000</v>
      </c>
      <c r="EC19" s="261">
        <f t="shared" si="41"/>
        <v>0</v>
      </c>
      <c r="ED19" s="241">
        <f t="shared" si="42"/>
        <v>2110.8541666666665</v>
      </c>
      <c r="EE19" s="242">
        <f t="shared" si="43"/>
        <v>4.5299999999999993E-2</v>
      </c>
      <c r="EG19" s="261">
        <f t="shared" si="44"/>
        <v>0</v>
      </c>
      <c r="EH19" s="241">
        <f t="shared" si="45"/>
        <v>0</v>
      </c>
      <c r="EI19" s="242">
        <f t="shared" si="46"/>
        <v>0</v>
      </c>
      <c r="EJ19" s="242"/>
      <c r="EK19" s="261">
        <f t="shared" si="47"/>
        <v>16775000</v>
      </c>
      <c r="EL19" s="261">
        <f t="shared" si="48"/>
        <v>0</v>
      </c>
      <c r="EM19" s="261">
        <f t="shared" si="49"/>
        <v>2110.8541666666665</v>
      </c>
      <c r="EN19" s="242">
        <f t="shared" si="50"/>
        <v>4.5299999999999993E-2</v>
      </c>
      <c r="EP19" s="241"/>
    </row>
    <row r="20" spans="1:146" x14ac:dyDescent="0.25">
      <c r="A20" s="255">
        <f t="shared" si="51"/>
        <v>45667</v>
      </c>
      <c r="B20" s="241">
        <v>0</v>
      </c>
      <c r="C20" s="242">
        <v>4.6337950000000003E-2</v>
      </c>
      <c r="D20" s="241">
        <f t="shared" si="0"/>
        <v>0</v>
      </c>
      <c r="G20" s="241">
        <f t="shared" si="1"/>
        <v>0</v>
      </c>
      <c r="J20" s="241">
        <f t="shared" si="2"/>
        <v>0</v>
      </c>
      <c r="M20" s="241">
        <f t="shared" si="3"/>
        <v>0</v>
      </c>
      <c r="P20" s="241">
        <f t="shared" si="4"/>
        <v>0</v>
      </c>
      <c r="S20" s="241">
        <f t="shared" si="5"/>
        <v>0</v>
      </c>
      <c r="V20" s="241">
        <f t="shared" si="6"/>
        <v>0</v>
      </c>
      <c r="Y20" s="241">
        <f t="shared" si="7"/>
        <v>0</v>
      </c>
      <c r="AB20" s="241">
        <f t="shared" si="8"/>
        <v>0</v>
      </c>
      <c r="AE20" s="241">
        <v>0</v>
      </c>
      <c r="AH20" s="241">
        <v>0</v>
      </c>
      <c r="AI20" s="256">
        <f>34075000</f>
        <v>34075000</v>
      </c>
      <c r="AJ20" s="257">
        <v>4.53E-2</v>
      </c>
      <c r="AK20" s="241">
        <f t="shared" si="9"/>
        <v>4287.770833333333</v>
      </c>
      <c r="AL20" s="256"/>
      <c r="AM20" s="257"/>
      <c r="AN20" s="241">
        <f t="shared" si="10"/>
        <v>0</v>
      </c>
      <c r="AO20" s="256"/>
      <c r="AP20" s="257"/>
      <c r="AQ20" s="241">
        <f t="shared" si="11"/>
        <v>0</v>
      </c>
      <c r="AR20" s="256"/>
      <c r="AS20" s="257"/>
      <c r="AT20" s="241">
        <f t="shared" si="12"/>
        <v>0</v>
      </c>
      <c r="AW20" s="241">
        <f t="shared" si="13"/>
        <v>0</v>
      </c>
      <c r="AZ20" s="241">
        <f t="shared" si="14"/>
        <v>0</v>
      </c>
      <c r="BC20" s="241">
        <f t="shared" si="15"/>
        <v>0</v>
      </c>
      <c r="BF20" s="241">
        <f t="shared" si="16"/>
        <v>0</v>
      </c>
      <c r="BI20" s="241">
        <f t="shared" si="17"/>
        <v>0</v>
      </c>
      <c r="BL20" s="241">
        <f t="shared" si="18"/>
        <v>0</v>
      </c>
      <c r="BO20" s="241">
        <f t="shared" si="19"/>
        <v>0</v>
      </c>
      <c r="BR20" s="241">
        <f t="shared" si="20"/>
        <v>0</v>
      </c>
      <c r="BU20" s="241">
        <f t="shared" si="21"/>
        <v>0</v>
      </c>
      <c r="BX20" s="241">
        <f t="shared" si="22"/>
        <v>0</v>
      </c>
      <c r="CA20" s="241">
        <f t="shared" si="23"/>
        <v>0</v>
      </c>
      <c r="CD20" s="241">
        <f t="shared" si="24"/>
        <v>0</v>
      </c>
      <c r="CG20" s="241">
        <f t="shared" si="25"/>
        <v>0</v>
      </c>
      <c r="CJ20" s="241">
        <f t="shared" si="26"/>
        <v>0</v>
      </c>
      <c r="CM20" s="241">
        <f t="shared" si="27"/>
        <v>0</v>
      </c>
      <c r="CP20" s="241">
        <f t="shared" si="28"/>
        <v>0</v>
      </c>
      <c r="CS20" s="241">
        <f t="shared" si="29"/>
        <v>0</v>
      </c>
      <c r="CV20" s="241">
        <f t="shared" si="30"/>
        <v>0</v>
      </c>
      <c r="CY20" s="241">
        <f t="shared" si="31"/>
        <v>0</v>
      </c>
      <c r="DB20" s="241">
        <f t="shared" si="32"/>
        <v>0</v>
      </c>
      <c r="DE20" s="241">
        <f t="shared" si="33"/>
        <v>0</v>
      </c>
      <c r="DH20" s="241">
        <f t="shared" si="34"/>
        <v>0</v>
      </c>
      <c r="DK20" s="241">
        <f t="shared" si="35"/>
        <v>0</v>
      </c>
      <c r="DN20" s="241">
        <f t="shared" si="36"/>
        <v>0</v>
      </c>
      <c r="DQ20" s="241">
        <f t="shared" si="37"/>
        <v>0</v>
      </c>
      <c r="DT20" s="241">
        <f t="shared" si="38"/>
        <v>0</v>
      </c>
      <c r="DW20" s="241">
        <f t="shared" si="39"/>
        <v>0</v>
      </c>
      <c r="DZ20" s="241"/>
      <c r="EA20" s="241"/>
      <c r="EB20" s="261">
        <f t="shared" si="40"/>
        <v>34075000</v>
      </c>
      <c r="EC20" s="261">
        <f t="shared" si="41"/>
        <v>0</v>
      </c>
      <c r="ED20" s="241">
        <f t="shared" si="42"/>
        <v>4287.770833333333</v>
      </c>
      <c r="EE20" s="242">
        <f t="shared" si="43"/>
        <v>4.5299999999999993E-2</v>
      </c>
      <c r="EG20" s="261">
        <f t="shared" si="44"/>
        <v>0</v>
      </c>
      <c r="EH20" s="241">
        <f t="shared" si="45"/>
        <v>0</v>
      </c>
      <c r="EI20" s="242">
        <f t="shared" si="46"/>
        <v>0</v>
      </c>
      <c r="EJ20" s="242"/>
      <c r="EK20" s="261">
        <f t="shared" si="47"/>
        <v>34075000</v>
      </c>
      <c r="EL20" s="261">
        <f t="shared" si="48"/>
        <v>0</v>
      </c>
      <c r="EM20" s="261">
        <f t="shared" si="49"/>
        <v>4287.770833333333</v>
      </c>
      <c r="EN20" s="242">
        <f t="shared" si="50"/>
        <v>4.5299999999999993E-2</v>
      </c>
      <c r="EP20" s="241"/>
    </row>
    <row r="21" spans="1:146" x14ac:dyDescent="0.25">
      <c r="A21" s="255">
        <f t="shared" si="51"/>
        <v>45668</v>
      </c>
      <c r="B21" s="241">
        <v>0</v>
      </c>
      <c r="C21" s="242">
        <v>4.6337950000000003E-2</v>
      </c>
      <c r="D21" s="241">
        <f t="shared" si="0"/>
        <v>0</v>
      </c>
      <c r="G21" s="241">
        <f t="shared" si="1"/>
        <v>0</v>
      </c>
      <c r="J21" s="241">
        <f t="shared" si="2"/>
        <v>0</v>
      </c>
      <c r="M21" s="241">
        <f t="shared" si="3"/>
        <v>0</v>
      </c>
      <c r="P21" s="241">
        <f t="shared" si="4"/>
        <v>0</v>
      </c>
      <c r="S21" s="241">
        <f t="shared" si="5"/>
        <v>0</v>
      </c>
      <c r="V21" s="241">
        <f t="shared" si="6"/>
        <v>0</v>
      </c>
      <c r="Y21" s="241">
        <f t="shared" si="7"/>
        <v>0</v>
      </c>
      <c r="AB21" s="241">
        <f t="shared" si="8"/>
        <v>0</v>
      </c>
      <c r="AE21" s="241">
        <v>0</v>
      </c>
      <c r="AH21" s="241">
        <v>0</v>
      </c>
      <c r="AI21" s="256">
        <f>34075000</f>
        <v>34075000</v>
      </c>
      <c r="AJ21" s="257">
        <v>4.53E-2</v>
      </c>
      <c r="AK21" s="241">
        <f t="shared" si="9"/>
        <v>4287.770833333333</v>
      </c>
      <c r="AL21" s="256"/>
      <c r="AM21" s="257"/>
      <c r="AN21" s="241">
        <f t="shared" si="10"/>
        <v>0</v>
      </c>
      <c r="AO21" s="256"/>
      <c r="AP21" s="257"/>
      <c r="AQ21" s="241">
        <f t="shared" si="11"/>
        <v>0</v>
      </c>
      <c r="AR21" s="256"/>
      <c r="AS21" s="257"/>
      <c r="AT21" s="241">
        <f t="shared" si="12"/>
        <v>0</v>
      </c>
      <c r="AW21" s="241">
        <f t="shared" si="13"/>
        <v>0</v>
      </c>
      <c r="AZ21" s="241">
        <f t="shared" si="14"/>
        <v>0</v>
      </c>
      <c r="BC21" s="241">
        <f t="shared" si="15"/>
        <v>0</v>
      </c>
      <c r="BF21" s="241">
        <f t="shared" si="16"/>
        <v>0</v>
      </c>
      <c r="BI21" s="241">
        <f t="shared" si="17"/>
        <v>0</v>
      </c>
      <c r="BL21" s="241">
        <f t="shared" si="18"/>
        <v>0</v>
      </c>
      <c r="BO21" s="241">
        <f t="shared" si="19"/>
        <v>0</v>
      </c>
      <c r="BR21" s="241">
        <f t="shared" si="20"/>
        <v>0</v>
      </c>
      <c r="BU21" s="241">
        <f t="shared" si="21"/>
        <v>0</v>
      </c>
      <c r="BX21" s="241">
        <f t="shared" si="22"/>
        <v>0</v>
      </c>
      <c r="CA21" s="241">
        <f t="shared" si="23"/>
        <v>0</v>
      </c>
      <c r="CD21" s="241">
        <f t="shared" si="24"/>
        <v>0</v>
      </c>
      <c r="CG21" s="241">
        <f t="shared" si="25"/>
        <v>0</v>
      </c>
      <c r="CJ21" s="241">
        <f t="shared" si="26"/>
        <v>0</v>
      </c>
      <c r="CM21" s="241">
        <f t="shared" si="27"/>
        <v>0</v>
      </c>
      <c r="CP21" s="241">
        <f t="shared" si="28"/>
        <v>0</v>
      </c>
      <c r="CS21" s="241">
        <f t="shared" si="29"/>
        <v>0</v>
      </c>
      <c r="CV21" s="241">
        <f t="shared" si="30"/>
        <v>0</v>
      </c>
      <c r="CY21" s="241">
        <f t="shared" si="31"/>
        <v>0</v>
      </c>
      <c r="DB21" s="241">
        <f t="shared" si="32"/>
        <v>0</v>
      </c>
      <c r="DE21" s="241">
        <f t="shared" si="33"/>
        <v>0</v>
      </c>
      <c r="DH21" s="241">
        <f t="shared" si="34"/>
        <v>0</v>
      </c>
      <c r="DK21" s="241">
        <f t="shared" si="35"/>
        <v>0</v>
      </c>
      <c r="DN21" s="241">
        <f t="shared" si="36"/>
        <v>0</v>
      </c>
      <c r="DQ21" s="241">
        <f t="shared" si="37"/>
        <v>0</v>
      </c>
      <c r="DT21" s="241">
        <f t="shared" si="38"/>
        <v>0</v>
      </c>
      <c r="DW21" s="241">
        <f t="shared" si="39"/>
        <v>0</v>
      </c>
      <c r="DZ21" s="241"/>
      <c r="EA21" s="241"/>
      <c r="EB21" s="261">
        <f t="shared" si="40"/>
        <v>34075000</v>
      </c>
      <c r="EC21" s="261">
        <f t="shared" si="41"/>
        <v>0</v>
      </c>
      <c r="ED21" s="241">
        <f t="shared" si="42"/>
        <v>4287.770833333333</v>
      </c>
      <c r="EE21" s="242">
        <f t="shared" si="43"/>
        <v>4.5299999999999993E-2</v>
      </c>
      <c r="EG21" s="261">
        <f t="shared" si="44"/>
        <v>0</v>
      </c>
      <c r="EH21" s="241">
        <f t="shared" si="45"/>
        <v>0</v>
      </c>
      <c r="EI21" s="242">
        <f t="shared" si="46"/>
        <v>0</v>
      </c>
      <c r="EJ21" s="242"/>
      <c r="EK21" s="261">
        <f t="shared" si="47"/>
        <v>34075000</v>
      </c>
      <c r="EL21" s="261">
        <f t="shared" si="48"/>
        <v>0</v>
      </c>
      <c r="EM21" s="261">
        <f t="shared" si="49"/>
        <v>4287.770833333333</v>
      </c>
      <c r="EN21" s="242">
        <f t="shared" si="50"/>
        <v>4.5299999999999993E-2</v>
      </c>
      <c r="EP21" s="241"/>
    </row>
    <row r="22" spans="1:146" x14ac:dyDescent="0.25">
      <c r="A22" s="255">
        <f t="shared" si="51"/>
        <v>45669</v>
      </c>
      <c r="B22" s="241">
        <v>0</v>
      </c>
      <c r="C22" s="242">
        <v>4.6337950000000003E-2</v>
      </c>
      <c r="D22" s="241">
        <f t="shared" si="0"/>
        <v>0</v>
      </c>
      <c r="G22" s="241">
        <f t="shared" si="1"/>
        <v>0</v>
      </c>
      <c r="J22" s="241">
        <f t="shared" si="2"/>
        <v>0</v>
      </c>
      <c r="M22" s="241">
        <f t="shared" si="3"/>
        <v>0</v>
      </c>
      <c r="P22" s="241">
        <f t="shared" si="4"/>
        <v>0</v>
      </c>
      <c r="S22" s="241">
        <f t="shared" si="5"/>
        <v>0</v>
      </c>
      <c r="V22" s="241">
        <f t="shared" si="6"/>
        <v>0</v>
      </c>
      <c r="Y22" s="241">
        <f t="shared" si="7"/>
        <v>0</v>
      </c>
      <c r="AB22" s="241">
        <f t="shared" si="8"/>
        <v>0</v>
      </c>
      <c r="AE22" s="241">
        <v>0</v>
      </c>
      <c r="AH22" s="241">
        <v>0</v>
      </c>
      <c r="AI22" s="256">
        <f>34075000</f>
        <v>34075000</v>
      </c>
      <c r="AJ22" s="257">
        <v>4.53E-2</v>
      </c>
      <c r="AK22" s="241">
        <f t="shared" si="9"/>
        <v>4287.770833333333</v>
      </c>
      <c r="AL22" s="256"/>
      <c r="AM22" s="257"/>
      <c r="AN22" s="241">
        <f t="shared" si="10"/>
        <v>0</v>
      </c>
      <c r="AO22" s="256"/>
      <c r="AP22" s="257"/>
      <c r="AQ22" s="241">
        <f t="shared" si="11"/>
        <v>0</v>
      </c>
      <c r="AR22" s="256"/>
      <c r="AS22" s="257"/>
      <c r="AT22" s="241">
        <f t="shared" si="12"/>
        <v>0</v>
      </c>
      <c r="AW22" s="241">
        <f t="shared" si="13"/>
        <v>0</v>
      </c>
      <c r="AZ22" s="241">
        <f t="shared" si="14"/>
        <v>0</v>
      </c>
      <c r="BC22" s="241">
        <f t="shared" si="15"/>
        <v>0</v>
      </c>
      <c r="BF22" s="241">
        <f t="shared" si="16"/>
        <v>0</v>
      </c>
      <c r="BI22" s="241">
        <f t="shared" si="17"/>
        <v>0</v>
      </c>
      <c r="BL22" s="241">
        <f t="shared" si="18"/>
        <v>0</v>
      </c>
      <c r="BO22" s="241">
        <f t="shared" si="19"/>
        <v>0</v>
      </c>
      <c r="BR22" s="241">
        <f t="shared" si="20"/>
        <v>0</v>
      </c>
      <c r="BU22" s="241">
        <f t="shared" si="21"/>
        <v>0</v>
      </c>
      <c r="BX22" s="241">
        <f t="shared" si="22"/>
        <v>0</v>
      </c>
      <c r="CA22" s="241">
        <f t="shared" si="23"/>
        <v>0</v>
      </c>
      <c r="CD22" s="241">
        <f t="shared" si="24"/>
        <v>0</v>
      </c>
      <c r="CG22" s="241">
        <f t="shared" si="25"/>
        <v>0</v>
      </c>
      <c r="CJ22" s="241">
        <f t="shared" si="26"/>
        <v>0</v>
      </c>
      <c r="CM22" s="241">
        <f t="shared" si="27"/>
        <v>0</v>
      </c>
      <c r="CP22" s="241">
        <f t="shared" si="28"/>
        <v>0</v>
      </c>
      <c r="CS22" s="241">
        <f t="shared" si="29"/>
        <v>0</v>
      </c>
      <c r="CV22" s="241">
        <f t="shared" si="30"/>
        <v>0</v>
      </c>
      <c r="CY22" s="241">
        <f t="shared" si="31"/>
        <v>0</v>
      </c>
      <c r="DB22" s="241">
        <f t="shared" si="32"/>
        <v>0</v>
      </c>
      <c r="DE22" s="241">
        <f t="shared" si="33"/>
        <v>0</v>
      </c>
      <c r="DH22" s="241">
        <f t="shared" si="34"/>
        <v>0</v>
      </c>
      <c r="DK22" s="241">
        <f t="shared" si="35"/>
        <v>0</v>
      </c>
      <c r="DN22" s="241">
        <f t="shared" si="36"/>
        <v>0</v>
      </c>
      <c r="DQ22" s="241">
        <f t="shared" si="37"/>
        <v>0</v>
      </c>
      <c r="DT22" s="241">
        <f t="shared" si="38"/>
        <v>0</v>
      </c>
      <c r="DW22" s="241">
        <f t="shared" si="39"/>
        <v>0</v>
      </c>
      <c r="DZ22" s="241"/>
      <c r="EA22" s="241"/>
      <c r="EB22" s="261">
        <f t="shared" si="40"/>
        <v>34075000</v>
      </c>
      <c r="EC22" s="261">
        <f t="shared" si="41"/>
        <v>0</v>
      </c>
      <c r="ED22" s="241">
        <f t="shared" si="42"/>
        <v>4287.770833333333</v>
      </c>
      <c r="EE22" s="242">
        <f t="shared" si="43"/>
        <v>4.5299999999999993E-2</v>
      </c>
      <c r="EG22" s="261">
        <f t="shared" si="44"/>
        <v>0</v>
      </c>
      <c r="EH22" s="241">
        <f t="shared" si="45"/>
        <v>0</v>
      </c>
      <c r="EI22" s="242">
        <f t="shared" si="46"/>
        <v>0</v>
      </c>
      <c r="EJ22" s="242"/>
      <c r="EK22" s="261">
        <f t="shared" si="47"/>
        <v>34075000</v>
      </c>
      <c r="EL22" s="261">
        <f t="shared" si="48"/>
        <v>0</v>
      </c>
      <c r="EM22" s="261">
        <f t="shared" si="49"/>
        <v>4287.770833333333</v>
      </c>
      <c r="EN22" s="242">
        <f t="shared" si="50"/>
        <v>4.5299999999999993E-2</v>
      </c>
      <c r="EP22" s="241"/>
    </row>
    <row r="23" spans="1:146" x14ac:dyDescent="0.25">
      <c r="A23" s="255">
        <f t="shared" si="51"/>
        <v>45670</v>
      </c>
      <c r="B23" s="241">
        <v>0</v>
      </c>
      <c r="C23" s="242">
        <v>4.6330460000000004E-2</v>
      </c>
      <c r="D23" s="241">
        <f t="shared" si="0"/>
        <v>0</v>
      </c>
      <c r="G23" s="241">
        <f t="shared" si="1"/>
        <v>0</v>
      </c>
      <c r="J23" s="241">
        <f t="shared" si="2"/>
        <v>0</v>
      </c>
      <c r="M23" s="241">
        <f t="shared" si="3"/>
        <v>0</v>
      </c>
      <c r="P23" s="241">
        <f t="shared" si="4"/>
        <v>0</v>
      </c>
      <c r="S23" s="241">
        <f t="shared" si="5"/>
        <v>0</v>
      </c>
      <c r="V23" s="241">
        <f t="shared" si="6"/>
        <v>0</v>
      </c>
      <c r="Y23" s="241">
        <f t="shared" si="7"/>
        <v>0</v>
      </c>
      <c r="AB23" s="241">
        <f t="shared" si="8"/>
        <v>0</v>
      </c>
      <c r="AE23" s="241">
        <v>0</v>
      </c>
      <c r="AH23" s="241">
        <v>0</v>
      </c>
      <c r="AI23" s="256">
        <f>64100000</f>
        <v>64100000</v>
      </c>
      <c r="AJ23" s="257">
        <v>4.5199999999999997E-2</v>
      </c>
      <c r="AK23" s="241">
        <f t="shared" si="9"/>
        <v>8048.1111111111113</v>
      </c>
      <c r="AL23" s="256"/>
      <c r="AM23" s="257"/>
      <c r="AN23" s="241">
        <f t="shared" si="10"/>
        <v>0</v>
      </c>
      <c r="AO23" s="256"/>
      <c r="AP23" s="257"/>
      <c r="AQ23" s="241">
        <f t="shared" si="11"/>
        <v>0</v>
      </c>
      <c r="AR23" s="256"/>
      <c r="AS23" s="257"/>
      <c r="AT23" s="241">
        <f t="shared" si="12"/>
        <v>0</v>
      </c>
      <c r="AW23" s="241">
        <f t="shared" si="13"/>
        <v>0</v>
      </c>
      <c r="AZ23" s="241">
        <f t="shared" si="14"/>
        <v>0</v>
      </c>
      <c r="BC23" s="241">
        <f t="shared" si="15"/>
        <v>0</v>
      </c>
      <c r="BF23" s="241">
        <f t="shared" si="16"/>
        <v>0</v>
      </c>
      <c r="BI23" s="241">
        <f t="shared" si="17"/>
        <v>0</v>
      </c>
      <c r="BL23" s="241">
        <f t="shared" si="18"/>
        <v>0</v>
      </c>
      <c r="BO23" s="241">
        <f t="shared" si="19"/>
        <v>0</v>
      </c>
      <c r="BR23" s="241">
        <f t="shared" si="20"/>
        <v>0</v>
      </c>
      <c r="BU23" s="241">
        <f t="shared" si="21"/>
        <v>0</v>
      </c>
      <c r="BX23" s="241">
        <f t="shared" si="22"/>
        <v>0</v>
      </c>
      <c r="CA23" s="241">
        <f t="shared" si="23"/>
        <v>0</v>
      </c>
      <c r="CD23" s="241">
        <f t="shared" si="24"/>
        <v>0</v>
      </c>
      <c r="CG23" s="241">
        <f t="shared" si="25"/>
        <v>0</v>
      </c>
      <c r="CJ23" s="241">
        <f t="shared" si="26"/>
        <v>0</v>
      </c>
      <c r="CM23" s="241">
        <f t="shared" si="27"/>
        <v>0</v>
      </c>
      <c r="CP23" s="241">
        <f t="shared" si="28"/>
        <v>0</v>
      </c>
      <c r="CS23" s="241">
        <f t="shared" si="29"/>
        <v>0</v>
      </c>
      <c r="CV23" s="241">
        <f t="shared" si="30"/>
        <v>0</v>
      </c>
      <c r="CY23" s="241">
        <f t="shared" si="31"/>
        <v>0</v>
      </c>
      <c r="DB23" s="241">
        <f t="shared" si="32"/>
        <v>0</v>
      </c>
      <c r="DE23" s="241">
        <f t="shared" si="33"/>
        <v>0</v>
      </c>
      <c r="DH23" s="241">
        <f t="shared" si="34"/>
        <v>0</v>
      </c>
      <c r="DK23" s="241">
        <f t="shared" si="35"/>
        <v>0</v>
      </c>
      <c r="DN23" s="241">
        <f t="shared" si="36"/>
        <v>0</v>
      </c>
      <c r="DQ23" s="241">
        <f t="shared" si="37"/>
        <v>0</v>
      </c>
      <c r="DT23" s="241">
        <f t="shared" si="38"/>
        <v>0</v>
      </c>
      <c r="DW23" s="241">
        <f t="shared" si="39"/>
        <v>0</v>
      </c>
      <c r="DZ23" s="241"/>
      <c r="EA23" s="241"/>
      <c r="EB23" s="261">
        <f t="shared" si="40"/>
        <v>64100000</v>
      </c>
      <c r="EC23" s="261">
        <f t="shared" si="41"/>
        <v>0</v>
      </c>
      <c r="ED23" s="241">
        <f t="shared" si="42"/>
        <v>8048.1111111111113</v>
      </c>
      <c r="EE23" s="242">
        <f t="shared" si="43"/>
        <v>4.5200000000000004E-2</v>
      </c>
      <c r="EG23" s="261">
        <f t="shared" si="44"/>
        <v>0</v>
      </c>
      <c r="EH23" s="241">
        <f t="shared" si="45"/>
        <v>0</v>
      </c>
      <c r="EI23" s="242">
        <f t="shared" si="46"/>
        <v>0</v>
      </c>
      <c r="EJ23" s="242"/>
      <c r="EK23" s="261">
        <f t="shared" si="47"/>
        <v>64100000</v>
      </c>
      <c r="EL23" s="261">
        <f t="shared" si="48"/>
        <v>0</v>
      </c>
      <c r="EM23" s="261">
        <f t="shared" si="49"/>
        <v>8048.1111111111113</v>
      </c>
      <c r="EN23" s="242">
        <f t="shared" si="50"/>
        <v>4.5200000000000004E-2</v>
      </c>
      <c r="EP23" s="241"/>
    </row>
    <row r="24" spans="1:146" x14ac:dyDescent="0.25">
      <c r="A24" s="255">
        <f t="shared" si="51"/>
        <v>45671</v>
      </c>
      <c r="B24" s="241">
        <v>0</v>
      </c>
      <c r="C24" s="242">
        <v>4.6327769999999997E-2</v>
      </c>
      <c r="D24" s="241">
        <f t="shared" si="0"/>
        <v>0</v>
      </c>
      <c r="G24" s="241">
        <f t="shared" si="1"/>
        <v>0</v>
      </c>
      <c r="J24" s="241">
        <f t="shared" si="2"/>
        <v>0</v>
      </c>
      <c r="M24" s="241">
        <f t="shared" si="3"/>
        <v>0</v>
      </c>
      <c r="P24" s="241">
        <f t="shared" si="4"/>
        <v>0</v>
      </c>
      <c r="S24" s="241">
        <f t="shared" si="5"/>
        <v>0</v>
      </c>
      <c r="V24" s="241">
        <f t="shared" si="6"/>
        <v>0</v>
      </c>
      <c r="Y24" s="241">
        <f t="shared" si="7"/>
        <v>0</v>
      </c>
      <c r="AB24" s="241">
        <f t="shared" si="8"/>
        <v>0</v>
      </c>
      <c r="AE24" s="241">
        <v>0</v>
      </c>
      <c r="AH24" s="241">
        <v>0</v>
      </c>
      <c r="AI24" s="256">
        <f>55000000+33150000</f>
        <v>88150000</v>
      </c>
      <c r="AJ24" s="257">
        <v>4.5199999999999997E-2</v>
      </c>
      <c r="AK24" s="241">
        <f t="shared" si="9"/>
        <v>11067.722222222221</v>
      </c>
      <c r="AL24" s="256"/>
      <c r="AM24" s="257"/>
      <c r="AN24" s="241">
        <f t="shared" si="10"/>
        <v>0</v>
      </c>
      <c r="AO24" s="256"/>
      <c r="AP24" s="257"/>
      <c r="AQ24" s="241">
        <f t="shared" si="11"/>
        <v>0</v>
      </c>
      <c r="AR24" s="256"/>
      <c r="AS24" s="257"/>
      <c r="AT24" s="241">
        <f t="shared" si="12"/>
        <v>0</v>
      </c>
      <c r="AW24" s="241">
        <f t="shared" si="13"/>
        <v>0</v>
      </c>
      <c r="AZ24" s="241">
        <f t="shared" si="14"/>
        <v>0</v>
      </c>
      <c r="BC24" s="241">
        <f t="shared" si="15"/>
        <v>0</v>
      </c>
      <c r="BF24" s="241">
        <f t="shared" si="16"/>
        <v>0</v>
      </c>
      <c r="BI24" s="241">
        <f t="shared" si="17"/>
        <v>0</v>
      </c>
      <c r="BL24" s="241">
        <f t="shared" si="18"/>
        <v>0</v>
      </c>
      <c r="BO24" s="241">
        <f t="shared" si="19"/>
        <v>0</v>
      </c>
      <c r="BR24" s="241">
        <f t="shared" si="20"/>
        <v>0</v>
      </c>
      <c r="BU24" s="241">
        <f t="shared" si="21"/>
        <v>0</v>
      </c>
      <c r="BX24" s="241">
        <f t="shared" si="22"/>
        <v>0</v>
      </c>
      <c r="CA24" s="241">
        <f t="shared" si="23"/>
        <v>0</v>
      </c>
      <c r="CD24" s="241">
        <f t="shared" si="24"/>
        <v>0</v>
      </c>
      <c r="CG24" s="241">
        <f t="shared" si="25"/>
        <v>0</v>
      </c>
      <c r="CJ24" s="241">
        <f t="shared" si="26"/>
        <v>0</v>
      </c>
      <c r="CM24" s="241">
        <f t="shared" si="27"/>
        <v>0</v>
      </c>
      <c r="CP24" s="241">
        <f t="shared" si="28"/>
        <v>0</v>
      </c>
      <c r="CS24" s="241">
        <f t="shared" si="29"/>
        <v>0</v>
      </c>
      <c r="CV24" s="241">
        <f t="shared" si="30"/>
        <v>0</v>
      </c>
      <c r="CY24" s="241">
        <f t="shared" si="31"/>
        <v>0</v>
      </c>
      <c r="DB24" s="241">
        <f t="shared" si="32"/>
        <v>0</v>
      </c>
      <c r="DE24" s="241">
        <f t="shared" si="33"/>
        <v>0</v>
      </c>
      <c r="DH24" s="241">
        <f t="shared" si="34"/>
        <v>0</v>
      </c>
      <c r="DK24" s="241">
        <f t="shared" si="35"/>
        <v>0</v>
      </c>
      <c r="DN24" s="241">
        <f t="shared" si="36"/>
        <v>0</v>
      </c>
      <c r="DQ24" s="241">
        <f t="shared" si="37"/>
        <v>0</v>
      </c>
      <c r="DT24" s="241">
        <f t="shared" si="38"/>
        <v>0</v>
      </c>
      <c r="DW24" s="241">
        <f t="shared" si="39"/>
        <v>0</v>
      </c>
      <c r="DZ24" s="241"/>
      <c r="EA24" s="241"/>
      <c r="EB24" s="261">
        <f t="shared" si="40"/>
        <v>88150000</v>
      </c>
      <c r="EC24" s="261">
        <f t="shared" si="41"/>
        <v>0</v>
      </c>
      <c r="ED24" s="241">
        <f t="shared" si="42"/>
        <v>11067.722222222221</v>
      </c>
      <c r="EE24" s="242">
        <f t="shared" si="43"/>
        <v>4.5199999999999997E-2</v>
      </c>
      <c r="EG24" s="261">
        <f t="shared" si="44"/>
        <v>0</v>
      </c>
      <c r="EH24" s="241">
        <f t="shared" si="45"/>
        <v>0</v>
      </c>
      <c r="EI24" s="242">
        <f t="shared" si="46"/>
        <v>0</v>
      </c>
      <c r="EJ24" s="242"/>
      <c r="EK24" s="261">
        <f t="shared" si="47"/>
        <v>88150000</v>
      </c>
      <c r="EL24" s="261">
        <f t="shared" si="48"/>
        <v>0</v>
      </c>
      <c r="EM24" s="261">
        <f t="shared" si="49"/>
        <v>11067.722222222221</v>
      </c>
      <c r="EN24" s="242">
        <f t="shared" si="50"/>
        <v>4.5199999999999997E-2</v>
      </c>
      <c r="EP24" s="241"/>
    </row>
    <row r="25" spans="1:146" x14ac:dyDescent="0.25">
      <c r="A25" s="255">
        <f t="shared" si="51"/>
        <v>45672</v>
      </c>
      <c r="B25" s="241">
        <v>0</v>
      </c>
      <c r="C25" s="242">
        <v>4.628616E-2</v>
      </c>
      <c r="D25" s="241">
        <f t="shared" si="0"/>
        <v>0</v>
      </c>
      <c r="G25" s="241">
        <f t="shared" si="1"/>
        <v>0</v>
      </c>
      <c r="J25" s="241">
        <f t="shared" si="2"/>
        <v>0</v>
      </c>
      <c r="M25" s="241">
        <f t="shared" si="3"/>
        <v>0</v>
      </c>
      <c r="P25" s="241">
        <f t="shared" si="4"/>
        <v>0</v>
      </c>
      <c r="S25" s="241">
        <f t="shared" si="5"/>
        <v>0</v>
      </c>
      <c r="V25" s="241">
        <f t="shared" si="6"/>
        <v>0</v>
      </c>
      <c r="Y25" s="241">
        <f t="shared" si="7"/>
        <v>0</v>
      </c>
      <c r="AB25" s="241">
        <f t="shared" si="8"/>
        <v>0</v>
      </c>
      <c r="AE25" s="241">
        <v>0</v>
      </c>
      <c r="AH25" s="241">
        <v>0</v>
      </c>
      <c r="AI25" s="256">
        <f>50000000+53350000</f>
        <v>103350000</v>
      </c>
      <c r="AJ25" s="257">
        <v>4.5199999999999997E-2</v>
      </c>
      <c r="AK25" s="241">
        <f t="shared" si="9"/>
        <v>12976.166666666666</v>
      </c>
      <c r="AL25" s="256"/>
      <c r="AM25" s="257"/>
      <c r="AN25" s="241">
        <f t="shared" si="10"/>
        <v>0</v>
      </c>
      <c r="AO25" s="256"/>
      <c r="AP25" s="257"/>
      <c r="AQ25" s="241">
        <f t="shared" si="11"/>
        <v>0</v>
      </c>
      <c r="AR25" s="256"/>
      <c r="AS25" s="257"/>
      <c r="AT25" s="241">
        <f t="shared" si="12"/>
        <v>0</v>
      </c>
      <c r="AW25" s="241">
        <f t="shared" si="13"/>
        <v>0</v>
      </c>
      <c r="AZ25" s="241">
        <f t="shared" si="14"/>
        <v>0</v>
      </c>
      <c r="BC25" s="241">
        <f t="shared" si="15"/>
        <v>0</v>
      </c>
      <c r="BF25" s="241">
        <f t="shared" si="16"/>
        <v>0</v>
      </c>
      <c r="BI25" s="241">
        <f t="shared" si="17"/>
        <v>0</v>
      </c>
      <c r="BL25" s="241">
        <f t="shared" si="18"/>
        <v>0</v>
      </c>
      <c r="BO25" s="241">
        <f t="shared" si="19"/>
        <v>0</v>
      </c>
      <c r="BR25" s="241">
        <f t="shared" si="20"/>
        <v>0</v>
      </c>
      <c r="BU25" s="241">
        <f t="shared" si="21"/>
        <v>0</v>
      </c>
      <c r="BX25" s="241">
        <f t="shared" si="22"/>
        <v>0</v>
      </c>
      <c r="CA25" s="241">
        <f t="shared" si="23"/>
        <v>0</v>
      </c>
      <c r="CD25" s="241">
        <f t="shared" si="24"/>
        <v>0</v>
      </c>
      <c r="CG25" s="241">
        <f t="shared" si="25"/>
        <v>0</v>
      </c>
      <c r="CJ25" s="241">
        <f t="shared" si="26"/>
        <v>0</v>
      </c>
      <c r="CM25" s="241">
        <f t="shared" si="27"/>
        <v>0</v>
      </c>
      <c r="CP25" s="241">
        <f t="shared" si="28"/>
        <v>0</v>
      </c>
      <c r="CS25" s="241">
        <f t="shared" si="29"/>
        <v>0</v>
      </c>
      <c r="CV25" s="241">
        <f t="shared" si="30"/>
        <v>0</v>
      </c>
      <c r="CY25" s="241">
        <f t="shared" si="31"/>
        <v>0</v>
      </c>
      <c r="DB25" s="241">
        <f t="shared" si="32"/>
        <v>0</v>
      </c>
      <c r="DE25" s="241">
        <f t="shared" si="33"/>
        <v>0</v>
      </c>
      <c r="DH25" s="241">
        <f t="shared" si="34"/>
        <v>0</v>
      </c>
      <c r="DK25" s="241">
        <f t="shared" si="35"/>
        <v>0</v>
      </c>
      <c r="DN25" s="241">
        <f t="shared" si="36"/>
        <v>0</v>
      </c>
      <c r="DQ25" s="241">
        <f t="shared" si="37"/>
        <v>0</v>
      </c>
      <c r="DT25" s="241">
        <f t="shared" si="38"/>
        <v>0</v>
      </c>
      <c r="DW25" s="241">
        <f t="shared" si="39"/>
        <v>0</v>
      </c>
      <c r="DZ25" s="241"/>
      <c r="EA25" s="241"/>
      <c r="EB25" s="261">
        <f t="shared" si="40"/>
        <v>103350000</v>
      </c>
      <c r="EC25" s="261">
        <f t="shared" si="41"/>
        <v>0</v>
      </c>
      <c r="ED25" s="241">
        <f t="shared" si="42"/>
        <v>12976.166666666666</v>
      </c>
      <c r="EE25" s="242">
        <f t="shared" si="43"/>
        <v>4.5199999999999997E-2</v>
      </c>
      <c r="EG25" s="261">
        <f t="shared" si="44"/>
        <v>0</v>
      </c>
      <c r="EH25" s="241">
        <f t="shared" si="45"/>
        <v>0</v>
      </c>
      <c r="EI25" s="242">
        <f t="shared" si="46"/>
        <v>0</v>
      </c>
      <c r="EJ25" s="242"/>
      <c r="EK25" s="261">
        <f t="shared" si="47"/>
        <v>103350000</v>
      </c>
      <c r="EL25" s="261">
        <f t="shared" si="48"/>
        <v>0</v>
      </c>
      <c r="EM25" s="261">
        <f t="shared" si="49"/>
        <v>12976.166666666666</v>
      </c>
      <c r="EN25" s="242">
        <f t="shared" si="50"/>
        <v>4.5199999999999997E-2</v>
      </c>
      <c r="EP25" s="241"/>
    </row>
    <row r="26" spans="1:146" x14ac:dyDescent="0.25">
      <c r="A26" s="255">
        <f t="shared" si="51"/>
        <v>45673</v>
      </c>
      <c r="B26" s="241">
        <v>0</v>
      </c>
      <c r="C26" s="242">
        <v>4.630008E-2</v>
      </c>
      <c r="D26" s="241">
        <f t="shared" si="0"/>
        <v>0</v>
      </c>
      <c r="G26" s="241">
        <f t="shared" si="1"/>
        <v>0</v>
      </c>
      <c r="J26" s="241">
        <f t="shared" si="2"/>
        <v>0</v>
      </c>
      <c r="M26" s="241">
        <f t="shared" si="3"/>
        <v>0</v>
      </c>
      <c r="P26" s="241">
        <f t="shared" si="4"/>
        <v>0</v>
      </c>
      <c r="S26" s="241">
        <f t="shared" si="5"/>
        <v>0</v>
      </c>
      <c r="V26" s="241">
        <f t="shared" si="6"/>
        <v>0</v>
      </c>
      <c r="Y26" s="241">
        <f t="shared" si="7"/>
        <v>0</v>
      </c>
      <c r="AB26" s="241">
        <f t="shared" si="8"/>
        <v>0</v>
      </c>
      <c r="AE26" s="241">
        <v>0</v>
      </c>
      <c r="AH26" s="241">
        <v>0</v>
      </c>
      <c r="AI26" s="256">
        <f>55000000+36600000</f>
        <v>91600000</v>
      </c>
      <c r="AJ26" s="257">
        <v>4.5199999999999997E-2</v>
      </c>
      <c r="AK26" s="241">
        <f t="shared" si="9"/>
        <v>11500.888888888887</v>
      </c>
      <c r="AL26" s="256">
        <f>45000000</f>
        <v>45000000</v>
      </c>
      <c r="AM26" s="257">
        <v>4.58E-2</v>
      </c>
      <c r="AN26" s="241">
        <f t="shared" si="10"/>
        <v>5725</v>
      </c>
      <c r="AO26" s="256"/>
      <c r="AP26" s="257"/>
      <c r="AQ26" s="241">
        <f t="shared" si="11"/>
        <v>0</v>
      </c>
      <c r="AR26" s="256"/>
      <c r="AS26" s="257"/>
      <c r="AT26" s="241">
        <f t="shared" si="12"/>
        <v>0</v>
      </c>
      <c r="AW26" s="241">
        <f t="shared" si="13"/>
        <v>0</v>
      </c>
      <c r="AZ26" s="241">
        <f t="shared" si="14"/>
        <v>0</v>
      </c>
      <c r="BC26" s="241">
        <f t="shared" si="15"/>
        <v>0</v>
      </c>
      <c r="BF26" s="241">
        <f t="shared" si="16"/>
        <v>0</v>
      </c>
      <c r="BI26" s="241">
        <f t="shared" si="17"/>
        <v>0</v>
      </c>
      <c r="BL26" s="241">
        <f t="shared" si="18"/>
        <v>0</v>
      </c>
      <c r="BO26" s="241">
        <f t="shared" si="19"/>
        <v>0</v>
      </c>
      <c r="BR26" s="241">
        <f t="shared" si="20"/>
        <v>0</v>
      </c>
      <c r="BU26" s="241">
        <f t="shared" si="21"/>
        <v>0</v>
      </c>
      <c r="BX26" s="241">
        <f t="shared" si="22"/>
        <v>0</v>
      </c>
      <c r="CA26" s="241">
        <f t="shared" si="23"/>
        <v>0</v>
      </c>
      <c r="CD26" s="241">
        <f t="shared" si="24"/>
        <v>0</v>
      </c>
      <c r="CG26" s="241">
        <f t="shared" si="25"/>
        <v>0</v>
      </c>
      <c r="CJ26" s="241">
        <f t="shared" si="26"/>
        <v>0</v>
      </c>
      <c r="CM26" s="241">
        <f t="shared" si="27"/>
        <v>0</v>
      </c>
      <c r="CP26" s="241">
        <f t="shared" si="28"/>
        <v>0</v>
      </c>
      <c r="CS26" s="241">
        <f t="shared" si="29"/>
        <v>0</v>
      </c>
      <c r="CV26" s="241">
        <f t="shared" si="30"/>
        <v>0</v>
      </c>
      <c r="CY26" s="241">
        <f t="shared" si="31"/>
        <v>0</v>
      </c>
      <c r="DB26" s="241">
        <f t="shared" si="32"/>
        <v>0</v>
      </c>
      <c r="DE26" s="241">
        <f t="shared" si="33"/>
        <v>0</v>
      </c>
      <c r="DH26" s="241">
        <f t="shared" si="34"/>
        <v>0</v>
      </c>
      <c r="DK26" s="241">
        <f t="shared" si="35"/>
        <v>0</v>
      </c>
      <c r="DN26" s="241">
        <f t="shared" si="36"/>
        <v>0</v>
      </c>
      <c r="DQ26" s="241">
        <f t="shared" si="37"/>
        <v>0</v>
      </c>
      <c r="DT26" s="241">
        <f t="shared" si="38"/>
        <v>0</v>
      </c>
      <c r="DW26" s="241">
        <f t="shared" si="39"/>
        <v>0</v>
      </c>
      <c r="DZ26" s="241"/>
      <c r="EA26" s="241"/>
      <c r="EB26" s="261">
        <f t="shared" si="40"/>
        <v>136600000</v>
      </c>
      <c r="EC26" s="261">
        <f t="shared" si="41"/>
        <v>0</v>
      </c>
      <c r="ED26" s="241">
        <f t="shared" si="42"/>
        <v>17225.888888888887</v>
      </c>
      <c r="EE26" s="242">
        <f t="shared" si="43"/>
        <v>4.5397657393850648E-2</v>
      </c>
      <c r="EG26" s="261">
        <f t="shared" si="44"/>
        <v>0</v>
      </c>
      <c r="EH26" s="241">
        <f t="shared" si="45"/>
        <v>0</v>
      </c>
      <c r="EI26" s="242">
        <f t="shared" si="46"/>
        <v>0</v>
      </c>
      <c r="EJ26" s="242"/>
      <c r="EK26" s="261">
        <f t="shared" si="47"/>
        <v>136600000</v>
      </c>
      <c r="EL26" s="261">
        <f t="shared" si="48"/>
        <v>0</v>
      </c>
      <c r="EM26" s="261">
        <f t="shared" si="49"/>
        <v>17225.888888888887</v>
      </c>
      <c r="EN26" s="242">
        <f t="shared" si="50"/>
        <v>4.5397657393850648E-2</v>
      </c>
      <c r="EP26" s="241"/>
    </row>
    <row r="27" spans="1:146" x14ac:dyDescent="0.25">
      <c r="A27" s="255">
        <f t="shared" si="51"/>
        <v>45674</v>
      </c>
      <c r="B27" s="241">
        <v>4650000</v>
      </c>
      <c r="C27" s="242">
        <v>4.3299999999999998E-2</v>
      </c>
      <c r="D27" s="241">
        <f t="shared" si="0"/>
        <v>559.29166666666663</v>
      </c>
      <c r="G27" s="241">
        <f t="shared" si="1"/>
        <v>0</v>
      </c>
      <c r="J27" s="241">
        <f t="shared" si="2"/>
        <v>0</v>
      </c>
      <c r="M27" s="241">
        <f t="shared" si="3"/>
        <v>0</v>
      </c>
      <c r="P27" s="241">
        <f t="shared" si="4"/>
        <v>0</v>
      </c>
      <c r="S27" s="241">
        <f t="shared" si="5"/>
        <v>0</v>
      </c>
      <c r="V27" s="241">
        <f t="shared" si="6"/>
        <v>0</v>
      </c>
      <c r="Y27" s="241">
        <f t="shared" si="7"/>
        <v>0</v>
      </c>
      <c r="AB27" s="241">
        <f t="shared" si="8"/>
        <v>0</v>
      </c>
      <c r="AE27" s="241">
        <v>0</v>
      </c>
      <c r="AH27" s="241">
        <v>0</v>
      </c>
      <c r="AI27" s="256">
        <f>55000000+2140000</f>
        <v>57140000</v>
      </c>
      <c r="AJ27" s="257">
        <v>4.5199999999999997E-2</v>
      </c>
      <c r="AK27" s="241">
        <f t="shared" si="9"/>
        <v>7174.2444444444445</v>
      </c>
      <c r="AL27" s="256">
        <f>45000000</f>
        <v>45000000</v>
      </c>
      <c r="AM27" s="257">
        <v>4.58E-2</v>
      </c>
      <c r="AN27" s="241">
        <f t="shared" si="10"/>
        <v>5725</v>
      </c>
      <c r="AO27" s="256">
        <f>53910000</f>
        <v>53910000</v>
      </c>
      <c r="AP27" s="257">
        <v>4.53E-2</v>
      </c>
      <c r="AQ27" s="241">
        <f t="shared" si="11"/>
        <v>6783.6750000000002</v>
      </c>
      <c r="AR27" s="256"/>
      <c r="AS27" s="257"/>
      <c r="AT27" s="241">
        <f t="shared" si="12"/>
        <v>0</v>
      </c>
      <c r="AW27" s="241">
        <f t="shared" si="13"/>
        <v>0</v>
      </c>
      <c r="AZ27" s="241">
        <f t="shared" si="14"/>
        <v>0</v>
      </c>
      <c r="BC27" s="241">
        <f t="shared" si="15"/>
        <v>0</v>
      </c>
      <c r="BF27" s="241">
        <f t="shared" si="16"/>
        <v>0</v>
      </c>
      <c r="BI27" s="241">
        <f t="shared" si="17"/>
        <v>0</v>
      </c>
      <c r="BL27" s="241">
        <f t="shared" si="18"/>
        <v>0</v>
      </c>
      <c r="BO27" s="241">
        <f t="shared" si="19"/>
        <v>0</v>
      </c>
      <c r="BR27" s="241">
        <f t="shared" si="20"/>
        <v>0</v>
      </c>
      <c r="BU27" s="241">
        <f t="shared" si="21"/>
        <v>0</v>
      </c>
      <c r="BX27" s="241">
        <f t="shared" si="22"/>
        <v>0</v>
      </c>
      <c r="CA27" s="241">
        <f t="shared" si="23"/>
        <v>0</v>
      </c>
      <c r="CD27" s="241">
        <f t="shared" si="24"/>
        <v>0</v>
      </c>
      <c r="CG27" s="241">
        <f t="shared" si="25"/>
        <v>0</v>
      </c>
      <c r="CJ27" s="241">
        <f t="shared" si="26"/>
        <v>0</v>
      </c>
      <c r="CM27" s="241">
        <f t="shared" si="27"/>
        <v>0</v>
      </c>
      <c r="CP27" s="241">
        <f t="shared" si="28"/>
        <v>0</v>
      </c>
      <c r="CS27" s="241">
        <f t="shared" si="29"/>
        <v>0</v>
      </c>
      <c r="CV27" s="241">
        <f t="shared" si="30"/>
        <v>0</v>
      </c>
      <c r="CY27" s="241">
        <f t="shared" si="31"/>
        <v>0</v>
      </c>
      <c r="DB27" s="241">
        <f t="shared" si="32"/>
        <v>0</v>
      </c>
      <c r="DE27" s="241">
        <f t="shared" si="33"/>
        <v>0</v>
      </c>
      <c r="DH27" s="241">
        <f t="shared" si="34"/>
        <v>0</v>
      </c>
      <c r="DK27" s="241">
        <f t="shared" si="35"/>
        <v>0</v>
      </c>
      <c r="DN27" s="241">
        <f t="shared" si="36"/>
        <v>0</v>
      </c>
      <c r="DQ27" s="241">
        <f t="shared" si="37"/>
        <v>0</v>
      </c>
      <c r="DT27" s="241">
        <f t="shared" si="38"/>
        <v>0</v>
      </c>
      <c r="DW27" s="241">
        <f t="shared" si="39"/>
        <v>0</v>
      </c>
      <c r="DZ27" s="241"/>
      <c r="EA27" s="241"/>
      <c r="EB27" s="261">
        <f t="shared" si="40"/>
        <v>160700000</v>
      </c>
      <c r="EC27" s="261">
        <f t="shared" si="41"/>
        <v>4650000</v>
      </c>
      <c r="ED27" s="241">
        <f t="shared" si="42"/>
        <v>20242.211111111112</v>
      </c>
      <c r="EE27" s="242">
        <f t="shared" si="43"/>
        <v>4.534658369632856E-2</v>
      </c>
      <c r="EG27" s="261">
        <f t="shared" si="44"/>
        <v>0</v>
      </c>
      <c r="EH27" s="241">
        <f t="shared" si="45"/>
        <v>0</v>
      </c>
      <c r="EI27" s="242">
        <f t="shared" si="46"/>
        <v>0</v>
      </c>
      <c r="EJ27" s="242"/>
      <c r="EK27" s="261">
        <f t="shared" si="47"/>
        <v>156050000</v>
      </c>
      <c r="EL27" s="261">
        <f t="shared" si="48"/>
        <v>0</v>
      </c>
      <c r="EM27" s="261">
        <f t="shared" si="49"/>
        <v>19682.919444444444</v>
      </c>
      <c r="EN27" s="242">
        <f t="shared" si="50"/>
        <v>4.5407568087151552E-2</v>
      </c>
      <c r="EP27" s="241"/>
    </row>
    <row r="28" spans="1:146" x14ac:dyDescent="0.25">
      <c r="A28" s="255">
        <f t="shared" si="51"/>
        <v>45675</v>
      </c>
      <c r="B28" s="241">
        <v>4650000</v>
      </c>
      <c r="C28" s="242">
        <v>4.3299999999999998E-2</v>
      </c>
      <c r="D28" s="241">
        <f t="shared" si="0"/>
        <v>559.29166666666663</v>
      </c>
      <c r="G28" s="241">
        <f t="shared" si="1"/>
        <v>0</v>
      </c>
      <c r="J28" s="241">
        <f t="shared" si="2"/>
        <v>0</v>
      </c>
      <c r="M28" s="241">
        <f t="shared" si="3"/>
        <v>0</v>
      </c>
      <c r="P28" s="241">
        <f t="shared" si="4"/>
        <v>0</v>
      </c>
      <c r="S28" s="241">
        <f t="shared" si="5"/>
        <v>0</v>
      </c>
      <c r="V28" s="241">
        <f t="shared" si="6"/>
        <v>0</v>
      </c>
      <c r="Y28" s="241">
        <f t="shared" si="7"/>
        <v>0</v>
      </c>
      <c r="AB28" s="241">
        <f t="shared" si="8"/>
        <v>0</v>
      </c>
      <c r="AE28" s="241">
        <v>0</v>
      </c>
      <c r="AH28" s="241">
        <v>0</v>
      </c>
      <c r="AI28" s="256">
        <f>55000000+2140000</f>
        <v>57140000</v>
      </c>
      <c r="AJ28" s="257">
        <v>4.5199999999999997E-2</v>
      </c>
      <c r="AK28" s="241">
        <f t="shared" si="9"/>
        <v>7174.2444444444445</v>
      </c>
      <c r="AL28" s="256">
        <f>45000000</f>
        <v>45000000</v>
      </c>
      <c r="AM28" s="257">
        <v>4.58E-2</v>
      </c>
      <c r="AN28" s="241">
        <f t="shared" si="10"/>
        <v>5725</v>
      </c>
      <c r="AO28" s="256">
        <f>53910000</f>
        <v>53910000</v>
      </c>
      <c r="AP28" s="257">
        <v>4.53E-2</v>
      </c>
      <c r="AQ28" s="241">
        <f t="shared" si="11"/>
        <v>6783.6750000000002</v>
      </c>
      <c r="AR28" s="256"/>
      <c r="AS28" s="257"/>
      <c r="AT28" s="241">
        <f t="shared" si="12"/>
        <v>0</v>
      </c>
      <c r="AW28" s="241">
        <f t="shared" si="13"/>
        <v>0</v>
      </c>
      <c r="AZ28" s="241">
        <f t="shared" si="14"/>
        <v>0</v>
      </c>
      <c r="BC28" s="241">
        <f t="shared" si="15"/>
        <v>0</v>
      </c>
      <c r="BF28" s="241">
        <f t="shared" si="16"/>
        <v>0</v>
      </c>
      <c r="BI28" s="241">
        <f t="shared" si="17"/>
        <v>0</v>
      </c>
      <c r="BL28" s="241">
        <f t="shared" si="18"/>
        <v>0</v>
      </c>
      <c r="BO28" s="241">
        <f t="shared" si="19"/>
        <v>0</v>
      </c>
      <c r="BR28" s="241">
        <f t="shared" si="20"/>
        <v>0</v>
      </c>
      <c r="BU28" s="241">
        <f t="shared" si="21"/>
        <v>0</v>
      </c>
      <c r="BX28" s="241">
        <f t="shared" si="22"/>
        <v>0</v>
      </c>
      <c r="CA28" s="241">
        <f t="shared" si="23"/>
        <v>0</v>
      </c>
      <c r="CD28" s="241">
        <f t="shared" si="24"/>
        <v>0</v>
      </c>
      <c r="CG28" s="241">
        <f t="shared" si="25"/>
        <v>0</v>
      </c>
      <c r="CJ28" s="241">
        <f t="shared" si="26"/>
        <v>0</v>
      </c>
      <c r="CM28" s="241">
        <f t="shared" si="27"/>
        <v>0</v>
      </c>
      <c r="CP28" s="241">
        <f t="shared" si="28"/>
        <v>0</v>
      </c>
      <c r="CS28" s="241">
        <f t="shared" si="29"/>
        <v>0</v>
      </c>
      <c r="CV28" s="241">
        <f t="shared" si="30"/>
        <v>0</v>
      </c>
      <c r="CY28" s="241">
        <f t="shared" si="31"/>
        <v>0</v>
      </c>
      <c r="DB28" s="241">
        <f t="shared" si="32"/>
        <v>0</v>
      </c>
      <c r="DE28" s="241">
        <f t="shared" si="33"/>
        <v>0</v>
      </c>
      <c r="DH28" s="241">
        <f t="shared" si="34"/>
        <v>0</v>
      </c>
      <c r="DK28" s="241">
        <f t="shared" si="35"/>
        <v>0</v>
      </c>
      <c r="DN28" s="241">
        <f t="shared" si="36"/>
        <v>0</v>
      </c>
      <c r="DQ28" s="241">
        <f t="shared" si="37"/>
        <v>0</v>
      </c>
      <c r="DT28" s="241">
        <f t="shared" si="38"/>
        <v>0</v>
      </c>
      <c r="DW28" s="241">
        <f t="shared" si="39"/>
        <v>0</v>
      </c>
      <c r="DZ28" s="241"/>
      <c r="EA28" s="241"/>
      <c r="EB28" s="261">
        <f t="shared" si="40"/>
        <v>160700000</v>
      </c>
      <c r="EC28" s="261">
        <f t="shared" si="41"/>
        <v>4650000</v>
      </c>
      <c r="ED28" s="241">
        <f t="shared" si="42"/>
        <v>20242.211111111112</v>
      </c>
      <c r="EE28" s="242">
        <f t="shared" si="43"/>
        <v>4.534658369632856E-2</v>
      </c>
      <c r="EG28" s="261">
        <f t="shared" si="44"/>
        <v>0</v>
      </c>
      <c r="EH28" s="241">
        <f t="shared" si="45"/>
        <v>0</v>
      </c>
      <c r="EI28" s="242">
        <f t="shared" si="46"/>
        <v>0</v>
      </c>
      <c r="EJ28" s="242"/>
      <c r="EK28" s="261">
        <f t="shared" si="47"/>
        <v>156050000</v>
      </c>
      <c r="EL28" s="261">
        <f t="shared" si="48"/>
        <v>0</v>
      </c>
      <c r="EM28" s="261">
        <f t="shared" si="49"/>
        <v>19682.919444444444</v>
      </c>
      <c r="EN28" s="242">
        <f t="shared" si="50"/>
        <v>4.5407568087151552E-2</v>
      </c>
      <c r="EP28" s="241"/>
    </row>
    <row r="29" spans="1:146" x14ac:dyDescent="0.25">
      <c r="A29" s="255">
        <f t="shared" si="51"/>
        <v>45676</v>
      </c>
      <c r="B29" s="241">
        <v>4650000</v>
      </c>
      <c r="C29" s="242">
        <v>4.3299999999999998E-2</v>
      </c>
      <c r="D29" s="241">
        <f t="shared" si="0"/>
        <v>559.29166666666663</v>
      </c>
      <c r="G29" s="241">
        <f t="shared" si="1"/>
        <v>0</v>
      </c>
      <c r="J29" s="241">
        <f t="shared" si="2"/>
        <v>0</v>
      </c>
      <c r="M29" s="241">
        <f t="shared" si="3"/>
        <v>0</v>
      </c>
      <c r="P29" s="241">
        <f t="shared" si="4"/>
        <v>0</v>
      </c>
      <c r="S29" s="241">
        <f t="shared" si="5"/>
        <v>0</v>
      </c>
      <c r="V29" s="241">
        <f t="shared" si="6"/>
        <v>0</v>
      </c>
      <c r="Y29" s="241">
        <f t="shared" si="7"/>
        <v>0</v>
      </c>
      <c r="AB29" s="241">
        <f t="shared" si="8"/>
        <v>0</v>
      </c>
      <c r="AE29" s="241">
        <v>0</v>
      </c>
      <c r="AH29" s="241">
        <v>0</v>
      </c>
      <c r="AI29" s="256">
        <f>55000000+2140000</f>
        <v>57140000</v>
      </c>
      <c r="AJ29" s="257">
        <v>4.5199999999999997E-2</v>
      </c>
      <c r="AK29" s="241">
        <f t="shared" si="9"/>
        <v>7174.2444444444445</v>
      </c>
      <c r="AL29" s="256">
        <f>45000000</f>
        <v>45000000</v>
      </c>
      <c r="AM29" s="257">
        <v>4.58E-2</v>
      </c>
      <c r="AN29" s="241">
        <f t="shared" si="10"/>
        <v>5725</v>
      </c>
      <c r="AO29" s="256">
        <f>53910000</f>
        <v>53910000</v>
      </c>
      <c r="AP29" s="257">
        <v>4.53E-2</v>
      </c>
      <c r="AQ29" s="241">
        <f t="shared" si="11"/>
        <v>6783.6750000000002</v>
      </c>
      <c r="AR29" s="256"/>
      <c r="AS29" s="257"/>
      <c r="AT29" s="241">
        <f t="shared" si="12"/>
        <v>0</v>
      </c>
      <c r="AW29" s="241">
        <f t="shared" si="13"/>
        <v>0</v>
      </c>
      <c r="AZ29" s="241">
        <f t="shared" si="14"/>
        <v>0</v>
      </c>
      <c r="BC29" s="241">
        <f t="shared" si="15"/>
        <v>0</v>
      </c>
      <c r="BF29" s="241">
        <f t="shared" si="16"/>
        <v>0</v>
      </c>
      <c r="BI29" s="241">
        <f t="shared" si="17"/>
        <v>0</v>
      </c>
      <c r="BL29" s="241">
        <f t="shared" si="18"/>
        <v>0</v>
      </c>
      <c r="BO29" s="241">
        <f t="shared" si="19"/>
        <v>0</v>
      </c>
      <c r="BR29" s="241">
        <f t="shared" si="20"/>
        <v>0</v>
      </c>
      <c r="BU29" s="241">
        <f t="shared" si="21"/>
        <v>0</v>
      </c>
      <c r="BX29" s="241">
        <f t="shared" si="22"/>
        <v>0</v>
      </c>
      <c r="CA29" s="241">
        <f t="shared" si="23"/>
        <v>0</v>
      </c>
      <c r="CD29" s="241">
        <f t="shared" si="24"/>
        <v>0</v>
      </c>
      <c r="CG29" s="241">
        <f t="shared" si="25"/>
        <v>0</v>
      </c>
      <c r="CJ29" s="241">
        <f t="shared" si="26"/>
        <v>0</v>
      </c>
      <c r="CM29" s="241">
        <f t="shared" si="27"/>
        <v>0</v>
      </c>
      <c r="CP29" s="241">
        <f t="shared" si="28"/>
        <v>0</v>
      </c>
      <c r="CS29" s="241">
        <f t="shared" si="29"/>
        <v>0</v>
      </c>
      <c r="CV29" s="241">
        <f t="shared" si="30"/>
        <v>0</v>
      </c>
      <c r="CY29" s="241">
        <f t="shared" si="31"/>
        <v>0</v>
      </c>
      <c r="DB29" s="241">
        <f t="shared" si="32"/>
        <v>0</v>
      </c>
      <c r="DE29" s="241">
        <f t="shared" si="33"/>
        <v>0</v>
      </c>
      <c r="DH29" s="241">
        <f t="shared" si="34"/>
        <v>0</v>
      </c>
      <c r="DK29" s="241">
        <f t="shared" si="35"/>
        <v>0</v>
      </c>
      <c r="DN29" s="241">
        <f t="shared" si="36"/>
        <v>0</v>
      </c>
      <c r="DQ29" s="241">
        <f t="shared" si="37"/>
        <v>0</v>
      </c>
      <c r="DT29" s="241">
        <f t="shared" si="38"/>
        <v>0</v>
      </c>
      <c r="DW29" s="241">
        <f t="shared" si="39"/>
        <v>0</v>
      </c>
      <c r="DZ29" s="241"/>
      <c r="EA29" s="241"/>
      <c r="EB29" s="261">
        <f t="shared" si="40"/>
        <v>160700000</v>
      </c>
      <c r="EC29" s="261">
        <f t="shared" si="41"/>
        <v>4650000</v>
      </c>
      <c r="ED29" s="241">
        <f t="shared" si="42"/>
        <v>20242.211111111112</v>
      </c>
      <c r="EE29" s="242">
        <f t="shared" si="43"/>
        <v>4.534658369632856E-2</v>
      </c>
      <c r="EG29" s="261">
        <f t="shared" si="44"/>
        <v>0</v>
      </c>
      <c r="EH29" s="241">
        <f t="shared" si="45"/>
        <v>0</v>
      </c>
      <c r="EI29" s="242">
        <f t="shared" si="46"/>
        <v>0</v>
      </c>
      <c r="EJ29" s="242"/>
      <c r="EK29" s="261">
        <f t="shared" si="47"/>
        <v>156050000</v>
      </c>
      <c r="EL29" s="261">
        <f t="shared" si="48"/>
        <v>0</v>
      </c>
      <c r="EM29" s="261">
        <f t="shared" si="49"/>
        <v>19682.919444444444</v>
      </c>
      <c r="EN29" s="242">
        <f t="shared" si="50"/>
        <v>4.5407568087151552E-2</v>
      </c>
      <c r="EP29" s="241"/>
    </row>
    <row r="30" spans="1:146" x14ac:dyDescent="0.25">
      <c r="A30" s="255">
        <f t="shared" si="51"/>
        <v>45677</v>
      </c>
      <c r="B30" s="241">
        <v>4650000</v>
      </c>
      <c r="C30" s="242">
        <v>4.3299999999999998E-2</v>
      </c>
      <c r="D30" s="241">
        <f t="shared" si="0"/>
        <v>559.29166666666663</v>
      </c>
      <c r="G30" s="241">
        <f t="shared" si="1"/>
        <v>0</v>
      </c>
      <c r="J30" s="241">
        <f t="shared" si="2"/>
        <v>0</v>
      </c>
      <c r="M30" s="241">
        <f t="shared" si="3"/>
        <v>0</v>
      </c>
      <c r="P30" s="241">
        <f t="shared" si="4"/>
        <v>0</v>
      </c>
      <c r="S30" s="241">
        <f t="shared" si="5"/>
        <v>0</v>
      </c>
      <c r="V30" s="241">
        <f t="shared" si="6"/>
        <v>0</v>
      </c>
      <c r="Y30" s="241">
        <f t="shared" si="7"/>
        <v>0</v>
      </c>
      <c r="AB30" s="241">
        <f t="shared" si="8"/>
        <v>0</v>
      </c>
      <c r="AE30" s="241">
        <v>0</v>
      </c>
      <c r="AH30" s="241">
        <v>0</v>
      </c>
      <c r="AI30" s="256">
        <f>55000000+2140000</f>
        <v>57140000</v>
      </c>
      <c r="AJ30" s="257">
        <v>4.5199999999999997E-2</v>
      </c>
      <c r="AK30" s="241">
        <f t="shared" si="9"/>
        <v>7174.2444444444445</v>
      </c>
      <c r="AL30" s="256">
        <f>45000000</f>
        <v>45000000</v>
      </c>
      <c r="AM30" s="257">
        <v>4.58E-2</v>
      </c>
      <c r="AN30" s="241">
        <f t="shared" si="10"/>
        <v>5725</v>
      </c>
      <c r="AO30" s="256">
        <f>53910000</f>
        <v>53910000</v>
      </c>
      <c r="AP30" s="257">
        <v>4.53E-2</v>
      </c>
      <c r="AQ30" s="241">
        <f t="shared" si="11"/>
        <v>6783.6750000000002</v>
      </c>
      <c r="AR30" s="256"/>
      <c r="AS30" s="257"/>
      <c r="AT30" s="241">
        <f t="shared" si="12"/>
        <v>0</v>
      </c>
      <c r="AW30" s="241">
        <f t="shared" si="13"/>
        <v>0</v>
      </c>
      <c r="AZ30" s="241">
        <f t="shared" si="14"/>
        <v>0</v>
      </c>
      <c r="BC30" s="241">
        <f t="shared" si="15"/>
        <v>0</v>
      </c>
      <c r="BF30" s="241">
        <f t="shared" si="16"/>
        <v>0</v>
      </c>
      <c r="BI30" s="241">
        <f t="shared" si="17"/>
        <v>0</v>
      </c>
      <c r="BL30" s="241">
        <f t="shared" si="18"/>
        <v>0</v>
      </c>
      <c r="BO30" s="241">
        <f t="shared" si="19"/>
        <v>0</v>
      </c>
      <c r="BR30" s="241">
        <f t="shared" si="20"/>
        <v>0</v>
      </c>
      <c r="BU30" s="241">
        <f t="shared" si="21"/>
        <v>0</v>
      </c>
      <c r="BX30" s="241">
        <f t="shared" si="22"/>
        <v>0</v>
      </c>
      <c r="CA30" s="241">
        <f t="shared" si="23"/>
        <v>0</v>
      </c>
      <c r="CD30" s="241">
        <f t="shared" si="24"/>
        <v>0</v>
      </c>
      <c r="CG30" s="241">
        <f t="shared" si="25"/>
        <v>0</v>
      </c>
      <c r="CJ30" s="241">
        <f t="shared" si="26"/>
        <v>0</v>
      </c>
      <c r="CM30" s="241">
        <f t="shared" si="27"/>
        <v>0</v>
      </c>
      <c r="CP30" s="241">
        <f t="shared" si="28"/>
        <v>0</v>
      </c>
      <c r="CS30" s="241">
        <f t="shared" si="29"/>
        <v>0</v>
      </c>
      <c r="CV30" s="241">
        <f t="shared" si="30"/>
        <v>0</v>
      </c>
      <c r="CY30" s="241">
        <f t="shared" si="31"/>
        <v>0</v>
      </c>
      <c r="DB30" s="241">
        <f t="shared" si="32"/>
        <v>0</v>
      </c>
      <c r="DE30" s="241">
        <f t="shared" si="33"/>
        <v>0</v>
      </c>
      <c r="DH30" s="241">
        <f t="shared" si="34"/>
        <v>0</v>
      </c>
      <c r="DK30" s="241">
        <f t="shared" si="35"/>
        <v>0</v>
      </c>
      <c r="DN30" s="241">
        <f t="shared" si="36"/>
        <v>0</v>
      </c>
      <c r="DQ30" s="241">
        <f t="shared" si="37"/>
        <v>0</v>
      </c>
      <c r="DT30" s="241">
        <f t="shared" si="38"/>
        <v>0</v>
      </c>
      <c r="DW30" s="241">
        <f t="shared" si="39"/>
        <v>0</v>
      </c>
      <c r="DZ30" s="241"/>
      <c r="EA30" s="241"/>
      <c r="EB30" s="261">
        <f t="shared" si="40"/>
        <v>160700000</v>
      </c>
      <c r="EC30" s="261">
        <f t="shared" si="41"/>
        <v>4650000</v>
      </c>
      <c r="ED30" s="241">
        <f t="shared" si="42"/>
        <v>20242.211111111112</v>
      </c>
      <c r="EE30" s="242">
        <f t="shared" si="43"/>
        <v>4.534658369632856E-2</v>
      </c>
      <c r="EG30" s="261">
        <f t="shared" si="44"/>
        <v>0</v>
      </c>
      <c r="EH30" s="241">
        <f t="shared" si="45"/>
        <v>0</v>
      </c>
      <c r="EI30" s="242">
        <f t="shared" si="46"/>
        <v>0</v>
      </c>
      <c r="EJ30" s="242"/>
      <c r="EK30" s="261">
        <f t="shared" si="47"/>
        <v>156050000</v>
      </c>
      <c r="EL30" s="261">
        <f t="shared" si="48"/>
        <v>0</v>
      </c>
      <c r="EM30" s="261">
        <f t="shared" si="49"/>
        <v>19682.919444444444</v>
      </c>
      <c r="EN30" s="242">
        <f t="shared" si="50"/>
        <v>4.5407568087151552E-2</v>
      </c>
      <c r="EP30" s="241"/>
    </row>
    <row r="31" spans="1:146" x14ac:dyDescent="0.25">
      <c r="A31" s="255">
        <f t="shared" si="51"/>
        <v>45678</v>
      </c>
      <c r="B31" s="241">
        <v>2525000</v>
      </c>
      <c r="C31" s="242">
        <v>4.3299999999999998E-2</v>
      </c>
      <c r="D31" s="241">
        <f t="shared" si="0"/>
        <v>303.70138888888891</v>
      </c>
      <c r="G31" s="241">
        <f t="shared" si="1"/>
        <v>0</v>
      </c>
      <c r="J31" s="241">
        <f t="shared" si="2"/>
        <v>0</v>
      </c>
      <c r="M31" s="241">
        <f t="shared" si="3"/>
        <v>0</v>
      </c>
      <c r="P31" s="241">
        <f t="shared" si="4"/>
        <v>0</v>
      </c>
      <c r="S31" s="241">
        <f t="shared" si="5"/>
        <v>0</v>
      </c>
      <c r="V31" s="241">
        <f t="shared" si="6"/>
        <v>0</v>
      </c>
      <c r="Y31" s="241">
        <f t="shared" si="7"/>
        <v>0</v>
      </c>
      <c r="AB31" s="241">
        <f t="shared" si="8"/>
        <v>0</v>
      </c>
      <c r="AE31" s="241">
        <v>0</v>
      </c>
      <c r="AH31" s="241">
        <v>0</v>
      </c>
      <c r="AI31" s="256">
        <f>34625000+60000000</f>
        <v>94625000</v>
      </c>
      <c r="AJ31" s="257">
        <v>4.5199999999999997E-2</v>
      </c>
      <c r="AK31" s="241">
        <f t="shared" si="9"/>
        <v>11880.694444444445</v>
      </c>
      <c r="AL31" s="256">
        <f>45000000+55000000</f>
        <v>100000000</v>
      </c>
      <c r="AM31" s="257">
        <v>4.58E-2</v>
      </c>
      <c r="AN31" s="241">
        <f t="shared" si="10"/>
        <v>12722.222222222223</v>
      </c>
      <c r="AO31" s="256"/>
      <c r="AP31" s="257"/>
      <c r="AQ31" s="241">
        <f t="shared" si="11"/>
        <v>0</v>
      </c>
      <c r="AR31" s="256"/>
      <c r="AS31" s="257"/>
      <c r="AT31" s="241">
        <f t="shared" si="12"/>
        <v>0</v>
      </c>
      <c r="AW31" s="241">
        <f t="shared" si="13"/>
        <v>0</v>
      </c>
      <c r="AZ31" s="241">
        <f t="shared" si="14"/>
        <v>0</v>
      </c>
      <c r="BC31" s="241">
        <f t="shared" si="15"/>
        <v>0</v>
      </c>
      <c r="BF31" s="241">
        <f t="shared" si="16"/>
        <v>0</v>
      </c>
      <c r="BI31" s="241">
        <f t="shared" si="17"/>
        <v>0</v>
      </c>
      <c r="BL31" s="241">
        <f t="shared" si="18"/>
        <v>0</v>
      </c>
      <c r="BO31" s="241">
        <f t="shared" si="19"/>
        <v>0</v>
      </c>
      <c r="BR31" s="241">
        <f t="shared" si="20"/>
        <v>0</v>
      </c>
      <c r="BU31" s="241">
        <f t="shared" si="21"/>
        <v>0</v>
      </c>
      <c r="BX31" s="241">
        <f t="shared" si="22"/>
        <v>0</v>
      </c>
      <c r="CA31" s="241">
        <f t="shared" si="23"/>
        <v>0</v>
      </c>
      <c r="CD31" s="241">
        <f t="shared" si="24"/>
        <v>0</v>
      </c>
      <c r="CG31" s="241">
        <f t="shared" si="25"/>
        <v>0</v>
      </c>
      <c r="CJ31" s="241">
        <f t="shared" si="26"/>
        <v>0</v>
      </c>
      <c r="CM31" s="241">
        <f t="shared" si="27"/>
        <v>0</v>
      </c>
      <c r="CP31" s="241">
        <f t="shared" si="28"/>
        <v>0</v>
      </c>
      <c r="CS31" s="241">
        <f t="shared" si="29"/>
        <v>0</v>
      </c>
      <c r="CV31" s="241">
        <f t="shared" si="30"/>
        <v>0</v>
      </c>
      <c r="CY31" s="241">
        <f t="shared" si="31"/>
        <v>0</v>
      </c>
      <c r="DB31" s="241">
        <f t="shared" si="32"/>
        <v>0</v>
      </c>
      <c r="DE31" s="241">
        <f t="shared" si="33"/>
        <v>0</v>
      </c>
      <c r="DH31" s="241">
        <f t="shared" si="34"/>
        <v>0</v>
      </c>
      <c r="DK31" s="241">
        <f t="shared" si="35"/>
        <v>0</v>
      </c>
      <c r="DN31" s="241">
        <f t="shared" si="36"/>
        <v>0</v>
      </c>
      <c r="DQ31" s="241">
        <f t="shared" si="37"/>
        <v>0</v>
      </c>
      <c r="DT31" s="241">
        <f t="shared" si="38"/>
        <v>0</v>
      </c>
      <c r="DW31" s="241">
        <f t="shared" si="39"/>
        <v>0</v>
      </c>
      <c r="DZ31" s="241"/>
      <c r="EA31" s="241"/>
      <c r="EB31" s="261">
        <f t="shared" si="40"/>
        <v>197150000</v>
      </c>
      <c r="EC31" s="261">
        <f t="shared" si="41"/>
        <v>2525000</v>
      </c>
      <c r="ED31" s="241">
        <f t="shared" si="42"/>
        <v>24906.618055555555</v>
      </c>
      <c r="EE31" s="242">
        <f t="shared" si="43"/>
        <v>4.5480002536139992E-2</v>
      </c>
      <c r="EG31" s="261">
        <f t="shared" si="44"/>
        <v>0</v>
      </c>
      <c r="EH31" s="241">
        <f t="shared" si="45"/>
        <v>0</v>
      </c>
      <c r="EI31" s="242">
        <f t="shared" si="46"/>
        <v>0</v>
      </c>
      <c r="EJ31" s="242"/>
      <c r="EK31" s="261">
        <f t="shared" si="47"/>
        <v>194625000</v>
      </c>
      <c r="EL31" s="261">
        <f t="shared" si="48"/>
        <v>0</v>
      </c>
      <c r="EM31" s="261">
        <f t="shared" si="49"/>
        <v>24602.916666666668</v>
      </c>
      <c r="EN31" s="242">
        <f t="shared" si="50"/>
        <v>4.5508285163776495E-2</v>
      </c>
      <c r="EP31" s="241"/>
    </row>
    <row r="32" spans="1:146" x14ac:dyDescent="0.25">
      <c r="A32" s="255">
        <f t="shared" si="51"/>
        <v>45679</v>
      </c>
      <c r="B32" s="241">
        <v>1300000</v>
      </c>
      <c r="C32" s="242">
        <v>4.3299999999999998E-2</v>
      </c>
      <c r="D32" s="241">
        <f t="shared" si="0"/>
        <v>156.36111111111111</v>
      </c>
      <c r="G32" s="241">
        <f t="shared" si="1"/>
        <v>0</v>
      </c>
      <c r="J32" s="241">
        <f t="shared" si="2"/>
        <v>0</v>
      </c>
      <c r="M32" s="241">
        <f t="shared" si="3"/>
        <v>0</v>
      </c>
      <c r="P32" s="241">
        <f t="shared" si="4"/>
        <v>0</v>
      </c>
      <c r="S32" s="241">
        <f t="shared" si="5"/>
        <v>0</v>
      </c>
      <c r="V32" s="241">
        <f t="shared" si="6"/>
        <v>0</v>
      </c>
      <c r="Y32" s="241">
        <f t="shared" si="7"/>
        <v>0</v>
      </c>
      <c r="AB32" s="241">
        <f t="shared" si="8"/>
        <v>0</v>
      </c>
      <c r="AE32" s="241">
        <v>0</v>
      </c>
      <c r="AH32" s="241">
        <v>0</v>
      </c>
      <c r="AI32" s="256">
        <f>81075000+50000000</f>
        <v>131075000</v>
      </c>
      <c r="AJ32" s="257">
        <v>4.5199999999999997E-2</v>
      </c>
      <c r="AK32" s="241">
        <f t="shared" si="9"/>
        <v>16457.194444444445</v>
      </c>
      <c r="AL32" s="256">
        <f>45000000+55000000</f>
        <v>100000000</v>
      </c>
      <c r="AM32" s="257">
        <v>4.58E-2</v>
      </c>
      <c r="AN32" s="241">
        <f t="shared" si="10"/>
        <v>12722.222222222223</v>
      </c>
      <c r="AO32" s="256"/>
      <c r="AP32" s="257"/>
      <c r="AQ32" s="241">
        <f t="shared" si="11"/>
        <v>0</v>
      </c>
      <c r="AR32" s="256"/>
      <c r="AS32" s="257"/>
      <c r="AT32" s="241">
        <f t="shared" si="12"/>
        <v>0</v>
      </c>
      <c r="AW32" s="241">
        <f t="shared" si="13"/>
        <v>0</v>
      </c>
      <c r="AZ32" s="241">
        <f t="shared" si="14"/>
        <v>0</v>
      </c>
      <c r="BC32" s="241">
        <f t="shared" si="15"/>
        <v>0</v>
      </c>
      <c r="BF32" s="241">
        <f t="shared" si="16"/>
        <v>0</v>
      </c>
      <c r="BI32" s="241">
        <f t="shared" si="17"/>
        <v>0</v>
      </c>
      <c r="BL32" s="241">
        <f t="shared" si="18"/>
        <v>0</v>
      </c>
      <c r="BO32" s="241">
        <f t="shared" si="19"/>
        <v>0</v>
      </c>
      <c r="BR32" s="241">
        <f t="shared" si="20"/>
        <v>0</v>
      </c>
      <c r="BU32" s="241">
        <f t="shared" si="21"/>
        <v>0</v>
      </c>
      <c r="BX32" s="241">
        <f t="shared" si="22"/>
        <v>0</v>
      </c>
      <c r="CA32" s="241">
        <f t="shared" si="23"/>
        <v>0</v>
      </c>
      <c r="CD32" s="241">
        <f t="shared" si="24"/>
        <v>0</v>
      </c>
      <c r="CG32" s="241">
        <f t="shared" si="25"/>
        <v>0</v>
      </c>
      <c r="CJ32" s="241">
        <f t="shared" si="26"/>
        <v>0</v>
      </c>
      <c r="CM32" s="241">
        <f t="shared" si="27"/>
        <v>0</v>
      </c>
      <c r="CP32" s="241">
        <f t="shared" si="28"/>
        <v>0</v>
      </c>
      <c r="CS32" s="241">
        <f t="shared" si="29"/>
        <v>0</v>
      </c>
      <c r="CV32" s="241">
        <f t="shared" si="30"/>
        <v>0</v>
      </c>
      <c r="CY32" s="241">
        <f t="shared" si="31"/>
        <v>0</v>
      </c>
      <c r="DB32" s="241">
        <f t="shared" si="32"/>
        <v>0</v>
      </c>
      <c r="DE32" s="241">
        <f t="shared" si="33"/>
        <v>0</v>
      </c>
      <c r="DH32" s="241">
        <f t="shared" si="34"/>
        <v>0</v>
      </c>
      <c r="DK32" s="241">
        <f t="shared" si="35"/>
        <v>0</v>
      </c>
      <c r="DN32" s="241">
        <f t="shared" si="36"/>
        <v>0</v>
      </c>
      <c r="DQ32" s="241">
        <f t="shared" si="37"/>
        <v>0</v>
      </c>
      <c r="DT32" s="241">
        <f t="shared" si="38"/>
        <v>0</v>
      </c>
      <c r="DW32" s="241">
        <f t="shared" si="39"/>
        <v>0</v>
      </c>
      <c r="DZ32" s="241"/>
      <c r="EA32" s="241"/>
      <c r="EB32" s="261">
        <f t="shared" si="40"/>
        <v>232375000</v>
      </c>
      <c r="EC32" s="261">
        <f t="shared" si="41"/>
        <v>1300000</v>
      </c>
      <c r="ED32" s="241">
        <f t="shared" si="42"/>
        <v>29335.777777777777</v>
      </c>
      <c r="EE32" s="242">
        <f t="shared" si="43"/>
        <v>4.5447573964497043E-2</v>
      </c>
      <c r="EG32" s="261">
        <f t="shared" si="44"/>
        <v>0</v>
      </c>
      <c r="EH32" s="241">
        <f t="shared" si="45"/>
        <v>0</v>
      </c>
      <c r="EI32" s="242">
        <f t="shared" si="46"/>
        <v>0</v>
      </c>
      <c r="EJ32" s="242"/>
      <c r="EK32" s="261">
        <f t="shared" si="47"/>
        <v>231075000</v>
      </c>
      <c r="EL32" s="261">
        <f t="shared" si="48"/>
        <v>0</v>
      </c>
      <c r="EM32" s="261">
        <f t="shared" si="49"/>
        <v>29179.416666666668</v>
      </c>
      <c r="EN32" s="242">
        <f t="shared" si="50"/>
        <v>4.5459655955858484E-2</v>
      </c>
      <c r="EP32" s="241"/>
    </row>
    <row r="33" spans="1:146" x14ac:dyDescent="0.25">
      <c r="A33" s="255">
        <f t="shared" si="51"/>
        <v>45680</v>
      </c>
      <c r="B33" s="241">
        <v>1125000</v>
      </c>
      <c r="C33" s="242">
        <v>4.3299999999999998E-2</v>
      </c>
      <c r="D33" s="241">
        <f t="shared" si="0"/>
        <v>135.3125</v>
      </c>
      <c r="G33" s="241">
        <f t="shared" si="1"/>
        <v>0</v>
      </c>
      <c r="J33" s="241">
        <f t="shared" si="2"/>
        <v>0</v>
      </c>
      <c r="M33" s="241">
        <f t="shared" si="3"/>
        <v>0</v>
      </c>
      <c r="P33" s="241">
        <f t="shared" si="4"/>
        <v>0</v>
      </c>
      <c r="S33" s="241">
        <f t="shared" si="5"/>
        <v>0</v>
      </c>
      <c r="V33" s="241">
        <f t="shared" si="6"/>
        <v>0</v>
      </c>
      <c r="Y33" s="241">
        <f t="shared" si="7"/>
        <v>0</v>
      </c>
      <c r="AB33" s="241">
        <f t="shared" si="8"/>
        <v>0</v>
      </c>
      <c r="AE33" s="241">
        <v>0</v>
      </c>
      <c r="AH33" s="241">
        <v>0</v>
      </c>
      <c r="AI33" s="256">
        <f>25150000+45000000</f>
        <v>70150000</v>
      </c>
      <c r="AJ33" s="257">
        <v>4.5199999999999997E-2</v>
      </c>
      <c r="AK33" s="241">
        <f t="shared" si="9"/>
        <v>8807.7222222222226</v>
      </c>
      <c r="AL33" s="256">
        <f>45000000+55000000+50000000</f>
        <v>150000000</v>
      </c>
      <c r="AM33" s="257">
        <v>4.58E-2</v>
      </c>
      <c r="AN33" s="241">
        <f t="shared" si="10"/>
        <v>19083.333333333332</v>
      </c>
      <c r="AO33" s="256"/>
      <c r="AP33" s="257"/>
      <c r="AQ33" s="241">
        <f t="shared" si="11"/>
        <v>0</v>
      </c>
      <c r="AR33" s="256"/>
      <c r="AS33" s="257"/>
      <c r="AT33" s="241">
        <f t="shared" si="12"/>
        <v>0</v>
      </c>
      <c r="AW33" s="241">
        <f t="shared" si="13"/>
        <v>0</v>
      </c>
      <c r="AZ33" s="241">
        <f t="shared" si="14"/>
        <v>0</v>
      </c>
      <c r="BC33" s="241">
        <f t="shared" si="15"/>
        <v>0</v>
      </c>
      <c r="BF33" s="241">
        <f t="shared" si="16"/>
        <v>0</v>
      </c>
      <c r="BI33" s="241">
        <f t="shared" si="17"/>
        <v>0</v>
      </c>
      <c r="BL33" s="241">
        <f t="shared" si="18"/>
        <v>0</v>
      </c>
      <c r="BO33" s="241">
        <f t="shared" si="19"/>
        <v>0</v>
      </c>
      <c r="BR33" s="241">
        <f t="shared" si="20"/>
        <v>0</v>
      </c>
      <c r="BU33" s="241">
        <f t="shared" si="21"/>
        <v>0</v>
      </c>
      <c r="BX33" s="241">
        <f t="shared" si="22"/>
        <v>0</v>
      </c>
      <c r="CA33" s="241">
        <f t="shared" si="23"/>
        <v>0</v>
      </c>
      <c r="CD33" s="241">
        <f t="shared" si="24"/>
        <v>0</v>
      </c>
      <c r="CG33" s="241">
        <f t="shared" si="25"/>
        <v>0</v>
      </c>
      <c r="CJ33" s="241">
        <f t="shared" si="26"/>
        <v>0</v>
      </c>
      <c r="CM33" s="241">
        <f t="shared" si="27"/>
        <v>0</v>
      </c>
      <c r="CP33" s="241">
        <f t="shared" si="28"/>
        <v>0</v>
      </c>
      <c r="CS33" s="241">
        <f t="shared" si="29"/>
        <v>0</v>
      </c>
      <c r="CV33" s="241">
        <f t="shared" si="30"/>
        <v>0</v>
      </c>
      <c r="CY33" s="241">
        <f t="shared" si="31"/>
        <v>0</v>
      </c>
      <c r="DB33" s="241">
        <f t="shared" si="32"/>
        <v>0</v>
      </c>
      <c r="DE33" s="241">
        <f t="shared" si="33"/>
        <v>0</v>
      </c>
      <c r="DH33" s="241">
        <f t="shared" si="34"/>
        <v>0</v>
      </c>
      <c r="DK33" s="241">
        <f t="shared" si="35"/>
        <v>0</v>
      </c>
      <c r="DN33" s="241">
        <f t="shared" si="36"/>
        <v>0</v>
      </c>
      <c r="DQ33" s="241">
        <f t="shared" si="37"/>
        <v>0</v>
      </c>
      <c r="DT33" s="241">
        <f t="shared" si="38"/>
        <v>0</v>
      </c>
      <c r="DW33" s="241">
        <f t="shared" si="39"/>
        <v>0</v>
      </c>
      <c r="DZ33" s="241"/>
      <c r="EA33" s="241"/>
      <c r="EB33" s="261">
        <f t="shared" si="40"/>
        <v>221275000</v>
      </c>
      <c r="EC33" s="261">
        <f t="shared" si="41"/>
        <v>1125000</v>
      </c>
      <c r="ED33" s="241">
        <f t="shared" si="42"/>
        <v>28026.368055555555</v>
      </c>
      <c r="EE33" s="242">
        <f t="shared" si="43"/>
        <v>4.5597073776974355E-2</v>
      </c>
      <c r="EG33" s="261">
        <f t="shared" si="44"/>
        <v>0</v>
      </c>
      <c r="EH33" s="241">
        <f t="shared" si="45"/>
        <v>0</v>
      </c>
      <c r="EI33" s="242">
        <f t="shared" si="46"/>
        <v>0</v>
      </c>
      <c r="EJ33" s="242"/>
      <c r="EK33" s="261">
        <f t="shared" si="47"/>
        <v>220150000</v>
      </c>
      <c r="EL33" s="261">
        <f t="shared" si="48"/>
        <v>0</v>
      </c>
      <c r="EM33" s="261">
        <f t="shared" si="49"/>
        <v>27891.055555555555</v>
      </c>
      <c r="EN33" s="242">
        <f t="shared" si="50"/>
        <v>4.560881217351806E-2</v>
      </c>
      <c r="EP33" s="241"/>
    </row>
    <row r="34" spans="1:146" x14ac:dyDescent="0.25">
      <c r="A34" s="255">
        <f t="shared" si="51"/>
        <v>45681</v>
      </c>
      <c r="B34" s="241">
        <v>1775000</v>
      </c>
      <c r="C34" s="242">
        <v>4.3299999999999998E-2</v>
      </c>
      <c r="D34" s="241">
        <f t="shared" si="0"/>
        <v>213.49305555555554</v>
      </c>
      <c r="G34" s="241">
        <f t="shared" si="1"/>
        <v>0</v>
      </c>
      <c r="J34" s="241">
        <f t="shared" si="2"/>
        <v>0</v>
      </c>
      <c r="M34" s="241">
        <f t="shared" si="3"/>
        <v>0</v>
      </c>
      <c r="P34" s="241">
        <f t="shared" si="4"/>
        <v>0</v>
      </c>
      <c r="S34" s="241">
        <f t="shared" si="5"/>
        <v>0</v>
      </c>
      <c r="V34" s="241">
        <f t="shared" si="6"/>
        <v>0</v>
      </c>
      <c r="Y34" s="241">
        <f t="shared" si="7"/>
        <v>0</v>
      </c>
      <c r="AB34" s="241">
        <f t="shared" si="8"/>
        <v>0</v>
      </c>
      <c r="AE34" s="241">
        <v>0</v>
      </c>
      <c r="AH34" s="241">
        <v>0</v>
      </c>
      <c r="AI34" s="256">
        <f>50000000+46000000</f>
        <v>96000000</v>
      </c>
      <c r="AJ34" s="257">
        <v>4.5199999999999997E-2</v>
      </c>
      <c r="AK34" s="241">
        <f t="shared" si="9"/>
        <v>12053.333333333334</v>
      </c>
      <c r="AL34" s="256">
        <f t="shared" ref="AL34:AL39" si="52">45000000+55000000+50000000+20000000</f>
        <v>170000000</v>
      </c>
      <c r="AM34" s="257">
        <v>4.58E-2</v>
      </c>
      <c r="AN34" s="241">
        <f t="shared" si="10"/>
        <v>21627.777777777777</v>
      </c>
      <c r="AO34" s="256"/>
      <c r="AP34" s="257"/>
      <c r="AQ34" s="241">
        <f t="shared" si="11"/>
        <v>0</v>
      </c>
      <c r="AR34" s="256"/>
      <c r="AS34" s="257"/>
      <c r="AT34" s="241">
        <f t="shared" si="12"/>
        <v>0</v>
      </c>
      <c r="AW34" s="241">
        <f t="shared" si="13"/>
        <v>0</v>
      </c>
      <c r="AZ34" s="241">
        <f t="shared" si="14"/>
        <v>0</v>
      </c>
      <c r="BC34" s="241">
        <f t="shared" si="15"/>
        <v>0</v>
      </c>
      <c r="BF34" s="241">
        <f t="shared" si="16"/>
        <v>0</v>
      </c>
      <c r="BI34" s="241">
        <f t="shared" si="17"/>
        <v>0</v>
      </c>
      <c r="BL34" s="241">
        <f t="shared" si="18"/>
        <v>0</v>
      </c>
      <c r="BO34" s="241">
        <f t="shared" si="19"/>
        <v>0</v>
      </c>
      <c r="BR34" s="241">
        <f t="shared" si="20"/>
        <v>0</v>
      </c>
      <c r="BU34" s="241">
        <f t="shared" si="21"/>
        <v>0</v>
      </c>
      <c r="BX34" s="241">
        <f t="shared" si="22"/>
        <v>0</v>
      </c>
      <c r="CA34" s="241">
        <f t="shared" si="23"/>
        <v>0</v>
      </c>
      <c r="CD34" s="241">
        <f t="shared" si="24"/>
        <v>0</v>
      </c>
      <c r="CG34" s="241">
        <f t="shared" si="25"/>
        <v>0</v>
      </c>
      <c r="CJ34" s="241">
        <f t="shared" si="26"/>
        <v>0</v>
      </c>
      <c r="CM34" s="241">
        <f t="shared" si="27"/>
        <v>0</v>
      </c>
      <c r="CP34" s="241">
        <f t="shared" si="28"/>
        <v>0</v>
      </c>
      <c r="CS34" s="241">
        <f t="shared" si="29"/>
        <v>0</v>
      </c>
      <c r="CV34" s="241">
        <f t="shared" si="30"/>
        <v>0</v>
      </c>
      <c r="CY34" s="241">
        <f t="shared" si="31"/>
        <v>0</v>
      </c>
      <c r="DB34" s="241">
        <f t="shared" si="32"/>
        <v>0</v>
      </c>
      <c r="DE34" s="241">
        <f t="shared" si="33"/>
        <v>0</v>
      </c>
      <c r="DH34" s="241">
        <f t="shared" si="34"/>
        <v>0</v>
      </c>
      <c r="DK34" s="241">
        <f t="shared" si="35"/>
        <v>0</v>
      </c>
      <c r="DN34" s="241">
        <f t="shared" si="36"/>
        <v>0</v>
      </c>
      <c r="DQ34" s="241">
        <f t="shared" si="37"/>
        <v>0</v>
      </c>
      <c r="DT34" s="241">
        <f t="shared" si="38"/>
        <v>0</v>
      </c>
      <c r="DW34" s="241">
        <f t="shared" si="39"/>
        <v>0</v>
      </c>
      <c r="DZ34" s="241"/>
      <c r="EA34" s="241"/>
      <c r="EB34" s="261">
        <f t="shared" si="40"/>
        <v>267775000</v>
      </c>
      <c r="EC34" s="261">
        <f t="shared" si="41"/>
        <v>1775000</v>
      </c>
      <c r="ED34" s="241">
        <f t="shared" si="42"/>
        <v>33894.604166666664</v>
      </c>
      <c r="EE34" s="242">
        <f t="shared" si="43"/>
        <v>4.5568322285500888E-2</v>
      </c>
      <c r="EG34" s="261">
        <f t="shared" si="44"/>
        <v>0</v>
      </c>
      <c r="EH34" s="241">
        <f t="shared" si="45"/>
        <v>0</v>
      </c>
      <c r="EI34" s="242">
        <f t="shared" si="46"/>
        <v>0</v>
      </c>
      <c r="EJ34" s="242"/>
      <c r="EK34" s="261">
        <f t="shared" si="47"/>
        <v>266000000</v>
      </c>
      <c r="EL34" s="261">
        <f t="shared" si="48"/>
        <v>0</v>
      </c>
      <c r="EM34" s="261">
        <f t="shared" si="49"/>
        <v>33681.111111111109</v>
      </c>
      <c r="EN34" s="242">
        <f t="shared" si="50"/>
        <v>4.5583458646616538E-2</v>
      </c>
      <c r="EP34" s="241"/>
    </row>
    <row r="35" spans="1:146" x14ac:dyDescent="0.25">
      <c r="A35" s="255">
        <f t="shared" si="51"/>
        <v>45682</v>
      </c>
      <c r="B35" s="241">
        <v>1775000</v>
      </c>
      <c r="C35" s="242">
        <v>4.3299999999999998E-2</v>
      </c>
      <c r="D35" s="241">
        <f t="shared" si="0"/>
        <v>213.49305555555554</v>
      </c>
      <c r="G35" s="241">
        <f t="shared" si="1"/>
        <v>0</v>
      </c>
      <c r="J35" s="241">
        <f t="shared" si="2"/>
        <v>0</v>
      </c>
      <c r="M35" s="241">
        <f t="shared" si="3"/>
        <v>0</v>
      </c>
      <c r="P35" s="241">
        <f t="shared" si="4"/>
        <v>0</v>
      </c>
      <c r="S35" s="241">
        <f t="shared" si="5"/>
        <v>0</v>
      </c>
      <c r="V35" s="241">
        <f t="shared" si="6"/>
        <v>0</v>
      </c>
      <c r="Y35" s="241">
        <f t="shared" si="7"/>
        <v>0</v>
      </c>
      <c r="AB35" s="241">
        <f t="shared" si="8"/>
        <v>0</v>
      </c>
      <c r="AE35" s="241">
        <v>0</v>
      </c>
      <c r="AH35" s="241">
        <v>0</v>
      </c>
      <c r="AI35" s="256">
        <f>50000000+46000000</f>
        <v>96000000</v>
      </c>
      <c r="AJ35" s="257">
        <v>4.5199999999999997E-2</v>
      </c>
      <c r="AK35" s="241">
        <f t="shared" si="9"/>
        <v>12053.333333333334</v>
      </c>
      <c r="AL35" s="256">
        <f t="shared" si="52"/>
        <v>170000000</v>
      </c>
      <c r="AM35" s="257">
        <v>4.58E-2</v>
      </c>
      <c r="AN35" s="241">
        <f t="shared" si="10"/>
        <v>21627.777777777777</v>
      </c>
      <c r="AO35" s="256"/>
      <c r="AP35" s="257"/>
      <c r="AQ35" s="241">
        <f t="shared" si="11"/>
        <v>0</v>
      </c>
      <c r="AR35" s="256"/>
      <c r="AS35" s="257"/>
      <c r="AT35" s="241">
        <f t="shared" si="12"/>
        <v>0</v>
      </c>
      <c r="AW35" s="241">
        <f t="shared" si="13"/>
        <v>0</v>
      </c>
      <c r="AZ35" s="241">
        <f t="shared" si="14"/>
        <v>0</v>
      </c>
      <c r="BC35" s="241">
        <f t="shared" si="15"/>
        <v>0</v>
      </c>
      <c r="BF35" s="241">
        <f t="shared" si="16"/>
        <v>0</v>
      </c>
      <c r="BI35" s="241">
        <f t="shared" si="17"/>
        <v>0</v>
      </c>
      <c r="BL35" s="241">
        <f t="shared" si="18"/>
        <v>0</v>
      </c>
      <c r="BO35" s="241">
        <f t="shared" si="19"/>
        <v>0</v>
      </c>
      <c r="BR35" s="241">
        <f t="shared" si="20"/>
        <v>0</v>
      </c>
      <c r="BU35" s="241">
        <f t="shared" si="21"/>
        <v>0</v>
      </c>
      <c r="BX35" s="241">
        <f t="shared" si="22"/>
        <v>0</v>
      </c>
      <c r="CA35" s="241">
        <f t="shared" si="23"/>
        <v>0</v>
      </c>
      <c r="CD35" s="241">
        <f t="shared" si="24"/>
        <v>0</v>
      </c>
      <c r="CG35" s="241">
        <f t="shared" si="25"/>
        <v>0</v>
      </c>
      <c r="CJ35" s="241">
        <f t="shared" si="26"/>
        <v>0</v>
      </c>
      <c r="CM35" s="241">
        <f t="shared" si="27"/>
        <v>0</v>
      </c>
      <c r="CP35" s="241">
        <f t="shared" si="28"/>
        <v>0</v>
      </c>
      <c r="CS35" s="241">
        <f t="shared" si="29"/>
        <v>0</v>
      </c>
      <c r="CV35" s="241">
        <f t="shared" si="30"/>
        <v>0</v>
      </c>
      <c r="CY35" s="241">
        <f t="shared" si="31"/>
        <v>0</v>
      </c>
      <c r="DB35" s="241">
        <f t="shared" si="32"/>
        <v>0</v>
      </c>
      <c r="DE35" s="241">
        <f t="shared" si="33"/>
        <v>0</v>
      </c>
      <c r="DH35" s="241">
        <f t="shared" si="34"/>
        <v>0</v>
      </c>
      <c r="DK35" s="241">
        <f t="shared" si="35"/>
        <v>0</v>
      </c>
      <c r="DN35" s="241">
        <f t="shared" si="36"/>
        <v>0</v>
      </c>
      <c r="DQ35" s="241">
        <f t="shared" si="37"/>
        <v>0</v>
      </c>
      <c r="DT35" s="241">
        <f t="shared" si="38"/>
        <v>0</v>
      </c>
      <c r="DW35" s="241">
        <f t="shared" si="39"/>
        <v>0</v>
      </c>
      <c r="DZ35" s="241"/>
      <c r="EA35" s="241"/>
      <c r="EB35" s="261">
        <f t="shared" si="40"/>
        <v>267775000</v>
      </c>
      <c r="EC35" s="261">
        <f t="shared" si="41"/>
        <v>1775000</v>
      </c>
      <c r="ED35" s="241">
        <f t="shared" si="42"/>
        <v>33894.604166666664</v>
      </c>
      <c r="EE35" s="242">
        <f t="shared" si="43"/>
        <v>4.5568322285500888E-2</v>
      </c>
      <c r="EG35" s="261">
        <f t="shared" si="44"/>
        <v>0</v>
      </c>
      <c r="EH35" s="241">
        <f t="shared" si="45"/>
        <v>0</v>
      </c>
      <c r="EI35" s="242">
        <f t="shared" si="46"/>
        <v>0</v>
      </c>
      <c r="EJ35" s="242"/>
      <c r="EK35" s="261">
        <f t="shared" si="47"/>
        <v>266000000</v>
      </c>
      <c r="EL35" s="261">
        <f t="shared" si="48"/>
        <v>0</v>
      </c>
      <c r="EM35" s="261">
        <f t="shared" si="49"/>
        <v>33681.111111111109</v>
      </c>
      <c r="EN35" s="242">
        <f t="shared" si="50"/>
        <v>4.5583458646616538E-2</v>
      </c>
      <c r="EP35" s="241"/>
    </row>
    <row r="36" spans="1:146" x14ac:dyDescent="0.25">
      <c r="A36" s="255">
        <f t="shared" si="51"/>
        <v>45683</v>
      </c>
      <c r="B36" s="241">
        <v>1775000</v>
      </c>
      <c r="C36" s="242">
        <v>4.3299999999999998E-2</v>
      </c>
      <c r="D36" s="241">
        <f t="shared" si="0"/>
        <v>213.49305555555554</v>
      </c>
      <c r="G36" s="241">
        <f t="shared" si="1"/>
        <v>0</v>
      </c>
      <c r="J36" s="241">
        <f t="shared" si="2"/>
        <v>0</v>
      </c>
      <c r="M36" s="241">
        <f t="shared" si="3"/>
        <v>0</v>
      </c>
      <c r="P36" s="241">
        <f t="shared" si="4"/>
        <v>0</v>
      </c>
      <c r="S36" s="241">
        <f t="shared" si="5"/>
        <v>0</v>
      </c>
      <c r="V36" s="241">
        <f t="shared" si="6"/>
        <v>0</v>
      </c>
      <c r="Y36" s="241">
        <f t="shared" si="7"/>
        <v>0</v>
      </c>
      <c r="AB36" s="241">
        <f t="shared" si="8"/>
        <v>0</v>
      </c>
      <c r="AE36" s="241">
        <v>0</v>
      </c>
      <c r="AH36" s="241">
        <v>0</v>
      </c>
      <c r="AI36" s="256">
        <f>50000000+46000000</f>
        <v>96000000</v>
      </c>
      <c r="AJ36" s="257">
        <v>4.5199999999999997E-2</v>
      </c>
      <c r="AK36" s="241">
        <f t="shared" si="9"/>
        <v>12053.333333333334</v>
      </c>
      <c r="AL36" s="256">
        <f t="shared" si="52"/>
        <v>170000000</v>
      </c>
      <c r="AM36" s="257">
        <v>4.58E-2</v>
      </c>
      <c r="AN36" s="241">
        <f t="shared" si="10"/>
        <v>21627.777777777777</v>
      </c>
      <c r="AO36" s="256"/>
      <c r="AP36" s="257"/>
      <c r="AQ36" s="241">
        <f t="shared" si="11"/>
        <v>0</v>
      </c>
      <c r="AR36" s="256"/>
      <c r="AS36" s="257"/>
      <c r="AT36" s="241">
        <f t="shared" si="12"/>
        <v>0</v>
      </c>
      <c r="AW36" s="241">
        <f t="shared" si="13"/>
        <v>0</v>
      </c>
      <c r="AZ36" s="241">
        <f t="shared" si="14"/>
        <v>0</v>
      </c>
      <c r="BC36" s="241">
        <f t="shared" si="15"/>
        <v>0</v>
      </c>
      <c r="BF36" s="241">
        <f t="shared" si="16"/>
        <v>0</v>
      </c>
      <c r="BI36" s="241">
        <f t="shared" si="17"/>
        <v>0</v>
      </c>
      <c r="BL36" s="241">
        <f t="shared" si="18"/>
        <v>0</v>
      </c>
      <c r="BO36" s="241">
        <f t="shared" si="19"/>
        <v>0</v>
      </c>
      <c r="BR36" s="241">
        <f t="shared" si="20"/>
        <v>0</v>
      </c>
      <c r="BU36" s="241">
        <f t="shared" si="21"/>
        <v>0</v>
      </c>
      <c r="BX36" s="241">
        <f t="shared" si="22"/>
        <v>0</v>
      </c>
      <c r="CA36" s="241">
        <f t="shared" si="23"/>
        <v>0</v>
      </c>
      <c r="CD36" s="241">
        <f t="shared" si="24"/>
        <v>0</v>
      </c>
      <c r="CG36" s="241">
        <f t="shared" si="25"/>
        <v>0</v>
      </c>
      <c r="CJ36" s="241">
        <f t="shared" si="26"/>
        <v>0</v>
      </c>
      <c r="CM36" s="241">
        <f t="shared" si="27"/>
        <v>0</v>
      </c>
      <c r="CP36" s="241">
        <f t="shared" si="28"/>
        <v>0</v>
      </c>
      <c r="CS36" s="241">
        <f t="shared" si="29"/>
        <v>0</v>
      </c>
      <c r="CV36" s="241">
        <f t="shared" si="30"/>
        <v>0</v>
      </c>
      <c r="CY36" s="241">
        <f t="shared" si="31"/>
        <v>0</v>
      </c>
      <c r="DB36" s="241">
        <f t="shared" si="32"/>
        <v>0</v>
      </c>
      <c r="DE36" s="241">
        <f t="shared" si="33"/>
        <v>0</v>
      </c>
      <c r="DH36" s="241">
        <f t="shared" si="34"/>
        <v>0</v>
      </c>
      <c r="DK36" s="241">
        <f t="shared" si="35"/>
        <v>0</v>
      </c>
      <c r="DN36" s="241">
        <f t="shared" si="36"/>
        <v>0</v>
      </c>
      <c r="DQ36" s="241">
        <f t="shared" si="37"/>
        <v>0</v>
      </c>
      <c r="DT36" s="241">
        <f t="shared" si="38"/>
        <v>0</v>
      </c>
      <c r="DW36" s="241">
        <f t="shared" si="39"/>
        <v>0</v>
      </c>
      <c r="DZ36" s="241"/>
      <c r="EA36" s="241"/>
      <c r="EB36" s="261">
        <f t="shared" si="40"/>
        <v>267775000</v>
      </c>
      <c r="EC36" s="261">
        <f t="shared" si="41"/>
        <v>1775000</v>
      </c>
      <c r="ED36" s="241">
        <f t="shared" si="42"/>
        <v>33894.604166666664</v>
      </c>
      <c r="EE36" s="242">
        <f t="shared" si="43"/>
        <v>4.5568322285500888E-2</v>
      </c>
      <c r="EG36" s="261">
        <f t="shared" si="44"/>
        <v>0</v>
      </c>
      <c r="EH36" s="241">
        <f t="shared" si="45"/>
        <v>0</v>
      </c>
      <c r="EI36" s="242">
        <f t="shared" si="46"/>
        <v>0</v>
      </c>
      <c r="EJ36" s="242"/>
      <c r="EK36" s="261">
        <f t="shared" si="47"/>
        <v>266000000</v>
      </c>
      <c r="EL36" s="261">
        <f t="shared" si="48"/>
        <v>0</v>
      </c>
      <c r="EM36" s="261">
        <f t="shared" si="49"/>
        <v>33681.111111111109</v>
      </c>
      <c r="EN36" s="242">
        <f t="shared" si="50"/>
        <v>4.5583458646616538E-2</v>
      </c>
      <c r="EP36" s="241"/>
    </row>
    <row r="37" spans="1:146" x14ac:dyDescent="0.25">
      <c r="A37" s="255">
        <f t="shared" si="51"/>
        <v>45684</v>
      </c>
      <c r="B37" s="241">
        <v>1250000</v>
      </c>
      <c r="C37" s="242">
        <v>4.3299999999999998E-2</v>
      </c>
      <c r="D37" s="241">
        <f t="shared" si="0"/>
        <v>150.34722222222223</v>
      </c>
      <c r="G37" s="241">
        <f t="shared" si="1"/>
        <v>0</v>
      </c>
      <c r="J37" s="241">
        <f t="shared" si="2"/>
        <v>0</v>
      </c>
      <c r="M37" s="241">
        <f t="shared" si="3"/>
        <v>0</v>
      </c>
      <c r="P37" s="241">
        <f t="shared" si="4"/>
        <v>0</v>
      </c>
      <c r="S37" s="241">
        <f t="shared" si="5"/>
        <v>0</v>
      </c>
      <c r="V37" s="241">
        <f t="shared" si="6"/>
        <v>0</v>
      </c>
      <c r="Y37" s="241">
        <f t="shared" si="7"/>
        <v>0</v>
      </c>
      <c r="AB37" s="241">
        <f t="shared" si="8"/>
        <v>0</v>
      </c>
      <c r="AE37" s="241">
        <v>0</v>
      </c>
      <c r="AH37" s="241">
        <v>0</v>
      </c>
      <c r="AI37" s="256">
        <f>70000000+66500000</f>
        <v>136500000</v>
      </c>
      <c r="AJ37" s="257">
        <v>4.5199999999999997E-2</v>
      </c>
      <c r="AK37" s="241">
        <f t="shared" si="9"/>
        <v>17138.333333333332</v>
      </c>
      <c r="AL37" s="256">
        <f t="shared" si="52"/>
        <v>170000000</v>
      </c>
      <c r="AM37" s="257">
        <v>4.58E-2</v>
      </c>
      <c r="AN37" s="241">
        <f t="shared" si="10"/>
        <v>21627.777777777777</v>
      </c>
      <c r="AO37" s="256"/>
      <c r="AP37" s="257"/>
      <c r="AQ37" s="241">
        <f t="shared" si="11"/>
        <v>0</v>
      </c>
      <c r="AR37" s="256"/>
      <c r="AS37" s="257"/>
      <c r="AT37" s="241">
        <f t="shared" si="12"/>
        <v>0</v>
      </c>
      <c r="AW37" s="241">
        <f t="shared" si="13"/>
        <v>0</v>
      </c>
      <c r="AZ37" s="241">
        <f t="shared" si="14"/>
        <v>0</v>
      </c>
      <c r="BC37" s="241">
        <f t="shared" si="15"/>
        <v>0</v>
      </c>
      <c r="BF37" s="241">
        <f t="shared" si="16"/>
        <v>0</v>
      </c>
      <c r="BI37" s="241">
        <f t="shared" si="17"/>
        <v>0</v>
      </c>
      <c r="BL37" s="241">
        <f t="shared" si="18"/>
        <v>0</v>
      </c>
      <c r="BO37" s="241">
        <f t="shared" si="19"/>
        <v>0</v>
      </c>
      <c r="BR37" s="241">
        <f t="shared" si="20"/>
        <v>0</v>
      </c>
      <c r="BU37" s="241">
        <f t="shared" si="21"/>
        <v>0</v>
      </c>
      <c r="BX37" s="241">
        <f t="shared" si="22"/>
        <v>0</v>
      </c>
      <c r="CA37" s="241">
        <f t="shared" si="23"/>
        <v>0</v>
      </c>
      <c r="CD37" s="241">
        <f t="shared" si="24"/>
        <v>0</v>
      </c>
      <c r="CG37" s="241">
        <f t="shared" si="25"/>
        <v>0</v>
      </c>
      <c r="CJ37" s="241">
        <f t="shared" si="26"/>
        <v>0</v>
      </c>
      <c r="CM37" s="241">
        <f t="shared" si="27"/>
        <v>0</v>
      </c>
      <c r="CP37" s="241">
        <f t="shared" si="28"/>
        <v>0</v>
      </c>
      <c r="CS37" s="241">
        <f t="shared" si="29"/>
        <v>0</v>
      </c>
      <c r="CV37" s="241">
        <f t="shared" si="30"/>
        <v>0</v>
      </c>
      <c r="CY37" s="241">
        <f t="shared" si="31"/>
        <v>0</v>
      </c>
      <c r="DB37" s="241">
        <f t="shared" si="32"/>
        <v>0</v>
      </c>
      <c r="DE37" s="241">
        <f t="shared" si="33"/>
        <v>0</v>
      </c>
      <c r="DH37" s="241">
        <f t="shared" si="34"/>
        <v>0</v>
      </c>
      <c r="DK37" s="241">
        <f t="shared" si="35"/>
        <v>0</v>
      </c>
      <c r="DN37" s="241">
        <f t="shared" si="36"/>
        <v>0</v>
      </c>
      <c r="DQ37" s="241">
        <f t="shared" si="37"/>
        <v>0</v>
      </c>
      <c r="DT37" s="241">
        <f t="shared" si="38"/>
        <v>0</v>
      </c>
      <c r="DW37" s="241">
        <f t="shared" si="39"/>
        <v>0</v>
      </c>
      <c r="DZ37" s="241"/>
      <c r="EA37" s="241"/>
      <c r="EB37" s="261">
        <f t="shared" si="40"/>
        <v>307750000</v>
      </c>
      <c r="EC37" s="261">
        <f t="shared" si="41"/>
        <v>1250000</v>
      </c>
      <c r="ED37" s="241">
        <f t="shared" si="42"/>
        <v>38916.458333333328</v>
      </c>
      <c r="EE37" s="242">
        <f t="shared" si="43"/>
        <v>4.5523720552396417E-2</v>
      </c>
      <c r="EG37" s="261">
        <f t="shared" si="44"/>
        <v>0</v>
      </c>
      <c r="EH37" s="241">
        <f t="shared" si="45"/>
        <v>0</v>
      </c>
      <c r="EI37" s="242">
        <f t="shared" si="46"/>
        <v>0</v>
      </c>
      <c r="EJ37" s="242"/>
      <c r="EK37" s="261">
        <f t="shared" si="47"/>
        <v>306500000</v>
      </c>
      <c r="EL37" s="261">
        <f t="shared" si="48"/>
        <v>0</v>
      </c>
      <c r="EM37" s="261">
        <f t="shared" si="49"/>
        <v>38766.111111111109</v>
      </c>
      <c r="EN37" s="242">
        <f t="shared" si="50"/>
        <v>4.5532789559543228E-2</v>
      </c>
      <c r="EP37" s="241"/>
    </row>
    <row r="38" spans="1:146" x14ac:dyDescent="0.25">
      <c r="A38" s="255">
        <f t="shared" si="51"/>
        <v>45685</v>
      </c>
      <c r="B38" s="241">
        <v>1200000</v>
      </c>
      <c r="C38" s="242">
        <v>4.3200000000000002E-2</v>
      </c>
      <c r="D38" s="241">
        <f t="shared" si="0"/>
        <v>144</v>
      </c>
      <c r="G38" s="241">
        <f t="shared" si="1"/>
        <v>0</v>
      </c>
      <c r="J38" s="241">
        <f t="shared" si="2"/>
        <v>0</v>
      </c>
      <c r="M38" s="241">
        <f t="shared" si="3"/>
        <v>0</v>
      </c>
      <c r="P38" s="241">
        <f t="shared" si="4"/>
        <v>0</v>
      </c>
      <c r="S38" s="241">
        <f t="shared" si="5"/>
        <v>0</v>
      </c>
      <c r="V38" s="241">
        <f t="shared" si="6"/>
        <v>0</v>
      </c>
      <c r="Y38" s="241">
        <f t="shared" si="7"/>
        <v>0</v>
      </c>
      <c r="AB38" s="241">
        <f t="shared" si="8"/>
        <v>0</v>
      </c>
      <c r="AE38" s="241">
        <v>0</v>
      </c>
      <c r="AH38" s="241">
        <v>0</v>
      </c>
      <c r="AI38" s="256">
        <f>22400000+60000000</f>
        <v>82400000</v>
      </c>
      <c r="AJ38" s="257">
        <v>4.5199999999999997E-2</v>
      </c>
      <c r="AK38" s="241">
        <f t="shared" si="9"/>
        <v>10345.777777777777</v>
      </c>
      <c r="AL38" s="256">
        <f t="shared" si="52"/>
        <v>170000000</v>
      </c>
      <c r="AM38" s="257">
        <v>4.58E-2</v>
      </c>
      <c r="AN38" s="241">
        <f t="shared" si="10"/>
        <v>21627.777777777777</v>
      </c>
      <c r="AO38" s="256">
        <v>50000000</v>
      </c>
      <c r="AP38" s="257">
        <v>4.58E-2</v>
      </c>
      <c r="AQ38" s="241">
        <f t="shared" si="11"/>
        <v>6361.1111111111113</v>
      </c>
      <c r="AR38" s="256"/>
      <c r="AS38" s="257"/>
      <c r="AT38" s="241">
        <f t="shared" si="12"/>
        <v>0</v>
      </c>
      <c r="AW38" s="241">
        <f t="shared" si="13"/>
        <v>0</v>
      </c>
      <c r="AZ38" s="241">
        <f t="shared" si="14"/>
        <v>0</v>
      </c>
      <c r="BC38" s="241">
        <f t="shared" si="15"/>
        <v>0</v>
      </c>
      <c r="BF38" s="241">
        <f t="shared" si="16"/>
        <v>0</v>
      </c>
      <c r="BI38" s="241">
        <f t="shared" si="17"/>
        <v>0</v>
      </c>
      <c r="BL38" s="241">
        <f t="shared" si="18"/>
        <v>0</v>
      </c>
      <c r="BO38" s="241">
        <f t="shared" si="19"/>
        <v>0</v>
      </c>
      <c r="BR38" s="241">
        <f t="shared" si="20"/>
        <v>0</v>
      </c>
      <c r="BU38" s="241">
        <f t="shared" si="21"/>
        <v>0</v>
      </c>
      <c r="BX38" s="241">
        <f t="shared" si="22"/>
        <v>0</v>
      </c>
      <c r="CA38" s="241">
        <f t="shared" si="23"/>
        <v>0</v>
      </c>
      <c r="CD38" s="241">
        <f t="shared" si="24"/>
        <v>0</v>
      </c>
      <c r="CG38" s="241">
        <f t="shared" si="25"/>
        <v>0</v>
      </c>
      <c r="CJ38" s="241">
        <f t="shared" si="26"/>
        <v>0</v>
      </c>
      <c r="CM38" s="241">
        <f t="shared" si="27"/>
        <v>0</v>
      </c>
      <c r="CP38" s="241">
        <f t="shared" si="28"/>
        <v>0</v>
      </c>
      <c r="CS38" s="241">
        <f t="shared" si="29"/>
        <v>0</v>
      </c>
      <c r="CV38" s="241">
        <f t="shared" si="30"/>
        <v>0</v>
      </c>
      <c r="CY38" s="241">
        <f t="shared" si="31"/>
        <v>0</v>
      </c>
      <c r="DB38" s="241">
        <f t="shared" si="32"/>
        <v>0</v>
      </c>
      <c r="DE38" s="241">
        <f t="shared" si="33"/>
        <v>0</v>
      </c>
      <c r="DH38" s="241">
        <f t="shared" si="34"/>
        <v>0</v>
      </c>
      <c r="DK38" s="241">
        <f t="shared" si="35"/>
        <v>0</v>
      </c>
      <c r="DN38" s="241">
        <f t="shared" si="36"/>
        <v>0</v>
      </c>
      <c r="DQ38" s="241">
        <f t="shared" si="37"/>
        <v>0</v>
      </c>
      <c r="DT38" s="241">
        <f t="shared" si="38"/>
        <v>0</v>
      </c>
      <c r="DW38" s="241">
        <f t="shared" si="39"/>
        <v>0</v>
      </c>
      <c r="DZ38" s="241"/>
      <c r="EA38" s="241"/>
      <c r="EB38" s="261">
        <f t="shared" si="40"/>
        <v>303600000</v>
      </c>
      <c r="EC38" s="261">
        <f t="shared" si="41"/>
        <v>1200000</v>
      </c>
      <c r="ED38" s="241">
        <f t="shared" si="42"/>
        <v>38478.666666666664</v>
      </c>
      <c r="EE38" s="242">
        <f t="shared" si="43"/>
        <v>4.562687747035573E-2</v>
      </c>
      <c r="EG38" s="261">
        <f t="shared" si="44"/>
        <v>0</v>
      </c>
      <c r="EH38" s="241">
        <f t="shared" si="45"/>
        <v>0</v>
      </c>
      <c r="EI38" s="242">
        <f t="shared" si="46"/>
        <v>0</v>
      </c>
      <c r="EJ38" s="242"/>
      <c r="EK38" s="261">
        <f t="shared" si="47"/>
        <v>302400000</v>
      </c>
      <c r="EL38" s="261">
        <f t="shared" si="48"/>
        <v>0</v>
      </c>
      <c r="EM38" s="261">
        <f t="shared" si="49"/>
        <v>38334.666666666672</v>
      </c>
      <c r="EN38" s="242">
        <f t="shared" si="50"/>
        <v>4.563650793650794E-2</v>
      </c>
      <c r="EP38" s="241"/>
    </row>
    <row r="39" spans="1:146" x14ac:dyDescent="0.25">
      <c r="A39" s="255">
        <f t="shared" si="51"/>
        <v>45686</v>
      </c>
      <c r="B39" s="241">
        <v>1125000</v>
      </c>
      <c r="C39" s="242">
        <v>4.2999999999999997E-2</v>
      </c>
      <c r="D39" s="241">
        <f t="shared" si="0"/>
        <v>134.37499999999997</v>
      </c>
      <c r="G39" s="241">
        <f t="shared" si="1"/>
        <v>0</v>
      </c>
      <c r="J39" s="241">
        <f t="shared" si="2"/>
        <v>0</v>
      </c>
      <c r="M39" s="241">
        <f t="shared" si="3"/>
        <v>0</v>
      </c>
      <c r="P39" s="241">
        <f t="shared" si="4"/>
        <v>0</v>
      </c>
      <c r="S39" s="241">
        <f t="shared" si="5"/>
        <v>0</v>
      </c>
      <c r="V39" s="241">
        <f t="shared" si="6"/>
        <v>0</v>
      </c>
      <c r="Y39" s="241">
        <f t="shared" si="7"/>
        <v>0</v>
      </c>
      <c r="AB39" s="241">
        <f t="shared" si="8"/>
        <v>0</v>
      </c>
      <c r="AE39" s="241">
        <v>0</v>
      </c>
      <c r="AH39" s="241">
        <v>0</v>
      </c>
      <c r="AI39" s="256">
        <f>29350000+55000000</f>
        <v>84350000</v>
      </c>
      <c r="AJ39" s="257">
        <v>4.5199999999999997E-2</v>
      </c>
      <c r="AK39" s="241">
        <f t="shared" si="9"/>
        <v>10590.611111111109</v>
      </c>
      <c r="AL39" s="256">
        <f t="shared" si="52"/>
        <v>170000000</v>
      </c>
      <c r="AM39" s="257">
        <v>4.58E-2</v>
      </c>
      <c r="AN39" s="241">
        <f t="shared" si="10"/>
        <v>21627.777777777777</v>
      </c>
      <c r="AO39" s="256">
        <v>50000000</v>
      </c>
      <c r="AP39" s="257">
        <v>4.58E-2</v>
      </c>
      <c r="AQ39" s="241">
        <f t="shared" si="11"/>
        <v>6361.1111111111113</v>
      </c>
      <c r="AR39" s="256"/>
      <c r="AS39" s="257"/>
      <c r="AT39" s="241">
        <f t="shared" si="12"/>
        <v>0</v>
      </c>
      <c r="AW39" s="241">
        <f t="shared" si="13"/>
        <v>0</v>
      </c>
      <c r="AZ39" s="241">
        <f t="shared" si="14"/>
        <v>0</v>
      </c>
      <c r="BC39" s="241">
        <f t="shared" si="15"/>
        <v>0</v>
      </c>
      <c r="BF39" s="241">
        <f t="shared" si="16"/>
        <v>0</v>
      </c>
      <c r="BI39" s="241">
        <f t="shared" si="17"/>
        <v>0</v>
      </c>
      <c r="BL39" s="241">
        <f t="shared" si="18"/>
        <v>0</v>
      </c>
      <c r="BO39" s="241">
        <f t="shared" si="19"/>
        <v>0</v>
      </c>
      <c r="BR39" s="241">
        <f t="shared" si="20"/>
        <v>0</v>
      </c>
      <c r="BU39" s="241">
        <f t="shared" si="21"/>
        <v>0</v>
      </c>
      <c r="BX39" s="241">
        <f t="shared" si="22"/>
        <v>0</v>
      </c>
      <c r="CA39" s="241">
        <f t="shared" si="23"/>
        <v>0</v>
      </c>
      <c r="CD39" s="241">
        <f t="shared" si="24"/>
        <v>0</v>
      </c>
      <c r="CG39" s="241">
        <f t="shared" si="25"/>
        <v>0</v>
      </c>
      <c r="CJ39" s="241">
        <f t="shared" si="26"/>
        <v>0</v>
      </c>
      <c r="CM39" s="241">
        <f t="shared" si="27"/>
        <v>0</v>
      </c>
      <c r="CP39" s="241">
        <f t="shared" si="28"/>
        <v>0</v>
      </c>
      <c r="CS39" s="241">
        <f t="shared" si="29"/>
        <v>0</v>
      </c>
      <c r="CV39" s="241">
        <f t="shared" si="30"/>
        <v>0</v>
      </c>
      <c r="CY39" s="241">
        <f t="shared" si="31"/>
        <v>0</v>
      </c>
      <c r="DB39" s="241">
        <f t="shared" si="32"/>
        <v>0</v>
      </c>
      <c r="DE39" s="241">
        <f t="shared" si="33"/>
        <v>0</v>
      </c>
      <c r="DH39" s="241">
        <f t="shared" si="34"/>
        <v>0</v>
      </c>
      <c r="DK39" s="241">
        <f t="shared" si="35"/>
        <v>0</v>
      </c>
      <c r="DN39" s="241">
        <f t="shared" si="36"/>
        <v>0</v>
      </c>
      <c r="DQ39" s="241">
        <f t="shared" si="37"/>
        <v>0</v>
      </c>
      <c r="DT39" s="241">
        <f t="shared" si="38"/>
        <v>0</v>
      </c>
      <c r="DW39" s="241">
        <f t="shared" si="39"/>
        <v>0</v>
      </c>
      <c r="DZ39" s="241"/>
      <c r="EA39" s="241"/>
      <c r="EB39" s="261">
        <f t="shared" si="40"/>
        <v>305475000</v>
      </c>
      <c r="EC39" s="261">
        <f t="shared" si="41"/>
        <v>1125000</v>
      </c>
      <c r="ED39" s="241">
        <f t="shared" si="42"/>
        <v>38713.875</v>
      </c>
      <c r="EE39" s="242">
        <f t="shared" si="43"/>
        <v>4.5624011784925117E-2</v>
      </c>
      <c r="EG39" s="261">
        <f t="shared" si="44"/>
        <v>0</v>
      </c>
      <c r="EH39" s="241">
        <f t="shared" si="45"/>
        <v>0</v>
      </c>
      <c r="EI39" s="242">
        <f t="shared" si="46"/>
        <v>0</v>
      </c>
      <c r="EJ39" s="242"/>
      <c r="EK39" s="261">
        <f t="shared" si="47"/>
        <v>304350000</v>
      </c>
      <c r="EL39" s="261">
        <f t="shared" si="48"/>
        <v>0</v>
      </c>
      <c r="EM39" s="261">
        <f t="shared" si="49"/>
        <v>38579.5</v>
      </c>
      <c r="EN39" s="242">
        <f t="shared" si="50"/>
        <v>4.5633711187777232E-2</v>
      </c>
      <c r="EP39" s="241"/>
    </row>
    <row r="40" spans="1:146" x14ac:dyDescent="0.25">
      <c r="A40" s="255">
        <f t="shared" si="51"/>
        <v>45687</v>
      </c>
      <c r="B40" s="241">
        <v>725000</v>
      </c>
      <c r="C40" s="242">
        <v>4.2999999999999997E-2</v>
      </c>
      <c r="D40" s="241">
        <f t="shared" si="0"/>
        <v>86.597222222222214</v>
      </c>
      <c r="G40" s="241">
        <f t="shared" si="1"/>
        <v>0</v>
      </c>
      <c r="J40" s="241">
        <f t="shared" si="2"/>
        <v>0</v>
      </c>
      <c r="M40" s="241">
        <f t="shared" si="3"/>
        <v>0</v>
      </c>
      <c r="P40" s="241">
        <f t="shared" si="4"/>
        <v>0</v>
      </c>
      <c r="S40" s="241">
        <f t="shared" si="5"/>
        <v>0</v>
      </c>
      <c r="V40" s="241">
        <f t="shared" si="6"/>
        <v>0</v>
      </c>
      <c r="Y40" s="241">
        <f t="shared" si="7"/>
        <v>0</v>
      </c>
      <c r="AB40" s="241">
        <f t="shared" si="8"/>
        <v>0</v>
      </c>
      <c r="AE40" s="241">
        <v>0</v>
      </c>
      <c r="AH40" s="241">
        <v>0</v>
      </c>
      <c r="AI40" s="256">
        <f>65000000+29675000</f>
        <v>94675000</v>
      </c>
      <c r="AJ40" s="257">
        <v>4.5199999999999997E-2</v>
      </c>
      <c r="AK40" s="241">
        <f t="shared" si="9"/>
        <v>11886.972222222223</v>
      </c>
      <c r="AL40" s="256">
        <f>45000000+55000000+50000000+20000000</f>
        <v>170000000</v>
      </c>
      <c r="AM40" s="257">
        <v>4.58E-2</v>
      </c>
      <c r="AN40" s="241">
        <f t="shared" si="10"/>
        <v>21627.777777777777</v>
      </c>
      <c r="AO40" s="256">
        <v>50000000</v>
      </c>
      <c r="AP40" s="257">
        <v>4.58E-2</v>
      </c>
      <c r="AQ40" s="241">
        <f t="shared" si="11"/>
        <v>6361.1111111111113</v>
      </c>
      <c r="AR40" s="256"/>
      <c r="AS40" s="257"/>
      <c r="AT40" s="241">
        <f t="shared" si="12"/>
        <v>0</v>
      </c>
      <c r="AW40" s="241">
        <f t="shared" si="13"/>
        <v>0</v>
      </c>
      <c r="AZ40" s="241">
        <f t="shared" si="14"/>
        <v>0</v>
      </c>
      <c r="BC40" s="241">
        <f t="shared" si="15"/>
        <v>0</v>
      </c>
      <c r="BF40" s="241">
        <f t="shared" si="16"/>
        <v>0</v>
      </c>
      <c r="BI40" s="241">
        <f t="shared" si="17"/>
        <v>0</v>
      </c>
      <c r="BL40" s="241">
        <f t="shared" si="18"/>
        <v>0</v>
      </c>
      <c r="BO40" s="241">
        <f t="shared" si="19"/>
        <v>0</v>
      </c>
      <c r="BR40" s="241">
        <f t="shared" si="20"/>
        <v>0</v>
      </c>
      <c r="BU40" s="241">
        <f t="shared" si="21"/>
        <v>0</v>
      </c>
      <c r="BX40" s="241">
        <f t="shared" si="22"/>
        <v>0</v>
      </c>
      <c r="CA40" s="241">
        <f t="shared" si="23"/>
        <v>0</v>
      </c>
      <c r="CD40" s="241">
        <f t="shared" si="24"/>
        <v>0</v>
      </c>
      <c r="CG40" s="241">
        <f t="shared" si="25"/>
        <v>0</v>
      </c>
      <c r="CJ40" s="241">
        <f t="shared" si="26"/>
        <v>0</v>
      </c>
      <c r="CM40" s="241">
        <f t="shared" si="27"/>
        <v>0</v>
      </c>
      <c r="CP40" s="241">
        <f t="shared" si="28"/>
        <v>0</v>
      </c>
      <c r="CS40" s="241">
        <f t="shared" si="29"/>
        <v>0</v>
      </c>
      <c r="CV40" s="241">
        <f t="shared" si="30"/>
        <v>0</v>
      </c>
      <c r="CY40" s="241">
        <f t="shared" si="31"/>
        <v>0</v>
      </c>
      <c r="DB40" s="241">
        <f t="shared" si="32"/>
        <v>0</v>
      </c>
      <c r="DE40" s="241">
        <f t="shared" si="33"/>
        <v>0</v>
      </c>
      <c r="DH40" s="241">
        <f t="shared" si="34"/>
        <v>0</v>
      </c>
      <c r="DK40" s="241">
        <f t="shared" si="35"/>
        <v>0</v>
      </c>
      <c r="DN40" s="241">
        <f t="shared" si="36"/>
        <v>0</v>
      </c>
      <c r="DQ40" s="241">
        <f t="shared" si="37"/>
        <v>0</v>
      </c>
      <c r="DT40" s="241">
        <f t="shared" si="38"/>
        <v>0</v>
      </c>
      <c r="DW40" s="241">
        <f t="shared" si="39"/>
        <v>0</v>
      </c>
      <c r="DZ40" s="241"/>
      <c r="EA40" s="241"/>
      <c r="EB40" s="261">
        <f t="shared" si="40"/>
        <v>315400000</v>
      </c>
      <c r="EC40" s="261">
        <f t="shared" si="41"/>
        <v>725000</v>
      </c>
      <c r="ED40" s="241">
        <f t="shared" si="42"/>
        <v>39962.458333333328</v>
      </c>
      <c r="EE40" s="242">
        <f t="shared" si="43"/>
        <v>4.5613459099556115E-2</v>
      </c>
      <c r="EG40" s="261">
        <f t="shared" si="44"/>
        <v>0</v>
      </c>
      <c r="EH40" s="241">
        <f t="shared" si="45"/>
        <v>0</v>
      </c>
      <c r="EI40" s="242">
        <f t="shared" si="46"/>
        <v>0</v>
      </c>
      <c r="EJ40" s="242"/>
      <c r="EK40" s="261">
        <f t="shared" si="47"/>
        <v>314675000</v>
      </c>
      <c r="EL40" s="261">
        <f t="shared" si="48"/>
        <v>0</v>
      </c>
      <c r="EM40" s="261">
        <f t="shared" si="49"/>
        <v>39875.861111111109</v>
      </c>
      <c r="EN40" s="242">
        <f t="shared" si="50"/>
        <v>4.5619480416302531E-2</v>
      </c>
      <c r="EP40" s="241"/>
    </row>
    <row r="41" spans="1:146" x14ac:dyDescent="0.25">
      <c r="A41" s="255">
        <f t="shared" si="51"/>
        <v>45688</v>
      </c>
      <c r="B41" s="241">
        <v>700000</v>
      </c>
      <c r="C41" s="242">
        <v>4.2900000000000001E-2</v>
      </c>
      <c r="D41" s="241">
        <f t="shared" si="0"/>
        <v>83.416666666666671</v>
      </c>
      <c r="G41" s="241">
        <f t="shared" si="1"/>
        <v>0</v>
      </c>
      <c r="J41" s="241">
        <f t="shared" si="2"/>
        <v>0</v>
      </c>
      <c r="M41" s="241">
        <f t="shared" si="3"/>
        <v>0</v>
      </c>
      <c r="P41" s="241">
        <f t="shared" si="4"/>
        <v>0</v>
      </c>
      <c r="S41" s="241">
        <f t="shared" si="5"/>
        <v>0</v>
      </c>
      <c r="V41" s="241">
        <f t="shared" si="6"/>
        <v>0</v>
      </c>
      <c r="Y41" s="241">
        <f t="shared" si="7"/>
        <v>0</v>
      </c>
      <c r="AB41" s="241">
        <f t="shared" si="8"/>
        <v>0</v>
      </c>
      <c r="AE41" s="241">
        <v>0</v>
      </c>
      <c r="AH41" s="241">
        <v>0</v>
      </c>
      <c r="AI41" s="256">
        <f>35000000+82100000</f>
        <v>117100000</v>
      </c>
      <c r="AJ41" s="257">
        <v>4.5199999999999997E-2</v>
      </c>
      <c r="AK41" s="241">
        <f t="shared" si="9"/>
        <v>14702.555555555555</v>
      </c>
      <c r="AL41" s="256">
        <f>45000000+55000000+50000000+20000000</f>
        <v>170000000</v>
      </c>
      <c r="AM41" s="257">
        <v>4.58E-2</v>
      </c>
      <c r="AN41" s="241">
        <f t="shared" si="10"/>
        <v>21627.777777777777</v>
      </c>
      <c r="AO41" s="256">
        <v>50000000</v>
      </c>
      <c r="AP41" s="257">
        <v>4.58E-2</v>
      </c>
      <c r="AQ41" s="241">
        <f t="shared" si="11"/>
        <v>6361.1111111111113</v>
      </c>
      <c r="AR41" s="256"/>
      <c r="AS41" s="257"/>
      <c r="AT41" s="241">
        <f t="shared" si="12"/>
        <v>0</v>
      </c>
      <c r="AW41" s="241">
        <f t="shared" si="13"/>
        <v>0</v>
      </c>
      <c r="AZ41" s="241">
        <f t="shared" si="14"/>
        <v>0</v>
      </c>
      <c r="BC41" s="241">
        <f t="shared" si="15"/>
        <v>0</v>
      </c>
      <c r="BF41" s="241">
        <f t="shared" si="16"/>
        <v>0</v>
      </c>
      <c r="BI41" s="241">
        <f t="shared" si="17"/>
        <v>0</v>
      </c>
      <c r="BL41" s="241">
        <f t="shared" si="18"/>
        <v>0</v>
      </c>
      <c r="BO41" s="241">
        <f t="shared" si="19"/>
        <v>0</v>
      </c>
      <c r="BR41" s="241">
        <f t="shared" si="20"/>
        <v>0</v>
      </c>
      <c r="BU41" s="241">
        <f t="shared" si="21"/>
        <v>0</v>
      </c>
      <c r="BX41" s="241">
        <f t="shared" si="22"/>
        <v>0</v>
      </c>
      <c r="CA41" s="241">
        <f t="shared" si="23"/>
        <v>0</v>
      </c>
      <c r="CD41" s="241">
        <f t="shared" si="24"/>
        <v>0</v>
      </c>
      <c r="CG41" s="241">
        <f t="shared" si="25"/>
        <v>0</v>
      </c>
      <c r="CJ41" s="241">
        <f t="shared" si="26"/>
        <v>0</v>
      </c>
      <c r="CM41" s="241">
        <f t="shared" si="27"/>
        <v>0</v>
      </c>
      <c r="CP41" s="241">
        <f t="shared" si="28"/>
        <v>0</v>
      </c>
      <c r="CS41" s="241">
        <f t="shared" si="29"/>
        <v>0</v>
      </c>
      <c r="CV41" s="241">
        <f t="shared" si="30"/>
        <v>0</v>
      </c>
      <c r="CY41" s="241">
        <f t="shared" si="31"/>
        <v>0</v>
      </c>
      <c r="DB41" s="241">
        <f t="shared" si="32"/>
        <v>0</v>
      </c>
      <c r="DE41" s="241">
        <f t="shared" si="33"/>
        <v>0</v>
      </c>
      <c r="DH41" s="241">
        <f t="shared" si="34"/>
        <v>0</v>
      </c>
      <c r="DK41" s="241">
        <f t="shared" si="35"/>
        <v>0</v>
      </c>
      <c r="DN41" s="241">
        <f t="shared" si="36"/>
        <v>0</v>
      </c>
      <c r="DQ41" s="241">
        <f t="shared" si="37"/>
        <v>0</v>
      </c>
      <c r="DT41" s="241">
        <f t="shared" si="38"/>
        <v>0</v>
      </c>
      <c r="DW41" s="241">
        <f t="shared" si="39"/>
        <v>0</v>
      </c>
      <c r="DZ41" s="241"/>
      <c r="EA41" s="241"/>
      <c r="EB41" s="261">
        <f t="shared" si="40"/>
        <v>337800000</v>
      </c>
      <c r="EC41" s="261">
        <f t="shared" si="41"/>
        <v>700000</v>
      </c>
      <c r="ED41" s="241">
        <f t="shared" si="42"/>
        <v>42774.861111111109</v>
      </c>
      <c r="EE41" s="242">
        <f t="shared" si="43"/>
        <v>4.5585997631734751E-2</v>
      </c>
      <c r="EG41" s="261">
        <f t="shared" si="44"/>
        <v>0</v>
      </c>
      <c r="EH41" s="241">
        <f t="shared" si="45"/>
        <v>0</v>
      </c>
      <c r="EI41" s="242">
        <f t="shared" si="46"/>
        <v>0</v>
      </c>
      <c r="EJ41" s="242"/>
      <c r="EK41" s="261">
        <f t="shared" si="47"/>
        <v>337100000</v>
      </c>
      <c r="EL41" s="261">
        <f t="shared" si="48"/>
        <v>0</v>
      </c>
      <c r="EM41" s="261">
        <f t="shared" si="49"/>
        <v>42691.444444444445</v>
      </c>
      <c r="EN41" s="242">
        <f t="shared" si="50"/>
        <v>4.5591575200237315E-2</v>
      </c>
      <c r="EP41" s="241"/>
    </row>
    <row r="42" spans="1:146" x14ac:dyDescent="0.25">
      <c r="A42" s="276" t="s">
        <v>35</v>
      </c>
      <c r="D42" s="258">
        <f>SUM(D11:D41)</f>
        <v>4071.7569444444448</v>
      </c>
      <c r="G42" s="258">
        <f>SUM(G11:G41)</f>
        <v>0</v>
      </c>
      <c r="J42" s="258">
        <f>SUM(J11:J41)</f>
        <v>0</v>
      </c>
      <c r="M42" s="258">
        <f>SUM(M11:M41)</f>
        <v>0</v>
      </c>
      <c r="P42" s="258">
        <f>SUM(P11:P41)</f>
        <v>0</v>
      </c>
      <c r="S42" s="258">
        <f>SUM(S11:S41)</f>
        <v>0</v>
      </c>
      <c r="V42" s="258">
        <f>SUM(V11:V41)</f>
        <v>0</v>
      </c>
      <c r="Y42" s="258">
        <f>SUM(Y11:Y41)</f>
        <v>0</v>
      </c>
      <c r="AB42" s="258">
        <f>SUM(AB11:AB41)</f>
        <v>0</v>
      </c>
      <c r="AE42" s="258">
        <f>SUM(AE11:AE41)</f>
        <v>0</v>
      </c>
      <c r="AH42" s="258">
        <f>SUM(AH11:AH41)</f>
        <v>0</v>
      </c>
      <c r="AK42" s="258">
        <f>SUM(AK11:AK41)</f>
        <v>232998.61666666667</v>
      </c>
      <c r="AN42" s="258">
        <f>SUM(AN11:AN41)</f>
        <v>246175</v>
      </c>
      <c r="AQ42" s="258">
        <f>SUM(AQ11:AQ41)</f>
        <v>52579.144444444442</v>
      </c>
      <c r="AT42" s="258">
        <f>SUM(AT11:AT41)</f>
        <v>0</v>
      </c>
      <c r="AW42" s="258">
        <f>SUM(AW11:AW41)</f>
        <v>0</v>
      </c>
      <c r="AZ42" s="258">
        <f>SUM(AZ11:AZ41)</f>
        <v>0</v>
      </c>
      <c r="BC42" s="258">
        <f>SUM(BC11:BC41)</f>
        <v>0</v>
      </c>
      <c r="BF42" s="258">
        <f>SUM(BF11:BF41)</f>
        <v>0</v>
      </c>
      <c r="BI42" s="258">
        <f>SUM(BI11:BI41)</f>
        <v>0</v>
      </c>
      <c r="BL42" s="258">
        <f>SUM(BL11:BL41)</f>
        <v>0</v>
      </c>
      <c r="BO42" s="258">
        <f>SUM(BO11:BO41)</f>
        <v>0</v>
      </c>
      <c r="BR42" s="258">
        <f>SUM(BR11:BR41)</f>
        <v>0</v>
      </c>
      <c r="BU42" s="258">
        <f>SUM(BU11:BU41)</f>
        <v>0</v>
      </c>
      <c r="BX42" s="258">
        <f>SUM(BX11:BX41)</f>
        <v>0</v>
      </c>
      <c r="CA42" s="258">
        <f>SUM(CA11:CA41)</f>
        <v>0</v>
      </c>
      <c r="CD42" s="258">
        <f>SUM(CD11:CD41)</f>
        <v>0</v>
      </c>
      <c r="CG42" s="258">
        <f>SUM(CG11:CG41)</f>
        <v>0</v>
      </c>
      <c r="CJ42" s="258">
        <f>SUM(CJ11:CJ41)</f>
        <v>0</v>
      </c>
      <c r="CM42" s="258">
        <f>SUM(CM11:CM41)</f>
        <v>0</v>
      </c>
      <c r="CP42" s="258">
        <f>SUM(CP11:CP41)</f>
        <v>0</v>
      </c>
      <c r="CS42" s="258">
        <f>SUM(CS11:CS41)</f>
        <v>0</v>
      </c>
      <c r="CV42" s="258">
        <f>SUM(CV11:CV41)</f>
        <v>0</v>
      </c>
      <c r="CY42" s="258">
        <f>SUM(CY11:CY41)</f>
        <v>0</v>
      </c>
      <c r="DB42" s="258">
        <f>SUM(DB11:DB41)</f>
        <v>0</v>
      </c>
      <c r="DE42" s="258">
        <f>SUM(DE11:DE41)</f>
        <v>0</v>
      </c>
      <c r="DH42" s="258">
        <f>SUM(DH11:DH41)</f>
        <v>0</v>
      </c>
      <c r="DK42" s="258">
        <f>SUM(DK11:DK41)</f>
        <v>0</v>
      </c>
      <c r="DN42" s="258">
        <f>SUM(DN11:DN41)</f>
        <v>0</v>
      </c>
      <c r="DQ42" s="258">
        <f>SUM(DQ11:DQ41)</f>
        <v>0</v>
      </c>
      <c r="DT42" s="258">
        <f>SUM(DT11:DT41)</f>
        <v>0</v>
      </c>
      <c r="DW42" s="258">
        <f>SUM(DW11:DW41)</f>
        <v>0</v>
      </c>
      <c r="DZ42" s="241"/>
      <c r="EA42" s="241"/>
      <c r="EB42" s="241"/>
      <c r="EC42" s="241"/>
      <c r="ED42" s="258">
        <f>SUM(ED11:ED41)</f>
        <v>535824.51805555553</v>
      </c>
      <c r="EE42" s="242"/>
      <c r="EG42" s="241"/>
      <c r="EH42" s="258">
        <f>SUM(EH11:EH41)</f>
        <v>0</v>
      </c>
      <c r="EI42" s="242"/>
      <c r="EJ42" s="242"/>
      <c r="EK42" s="241"/>
      <c r="EL42" s="241"/>
      <c r="EM42" s="258">
        <f>SUM(EM11:EM41)</f>
        <v>531752.76111111115</v>
      </c>
      <c r="EN42" s="242"/>
    </row>
    <row r="44" spans="1:146" x14ac:dyDescent="0.25">
      <c r="EM44" s="259"/>
    </row>
    <row r="45" spans="1:146" x14ac:dyDescent="0.25">
      <c r="EM45" s="241"/>
    </row>
    <row r="46" spans="1:146" x14ac:dyDescent="0.25">
      <c r="EM46" s="241"/>
    </row>
    <row r="48" spans="1:146" x14ac:dyDescent="0.25">
      <c r="EM48" s="241"/>
    </row>
  </sheetData>
  <pageMargins left="0.7" right="0.7" top="0.75" bottom="0.75" header="0.3" footer="0.3"/>
  <pageSetup scale="42" orientation="portrait" r:id="rId1"/>
  <headerFooter>
    <oddFooter>&amp;CSchedule RL-1</oddFooter>
  </headerFooter>
  <colBreaks count="4" manualBreakCount="4">
    <brk id="34" max="1048575" man="1"/>
    <brk id="46" max="1048575" man="1"/>
    <brk id="64" max="1048575" man="1"/>
    <brk id="130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5"/>
  <dimension ref="A1:EQ45"/>
  <sheetViews>
    <sheetView zoomScaleNormal="100" workbookViewId="0">
      <selection activeCell="EO21" sqref="EO21"/>
    </sheetView>
  </sheetViews>
  <sheetFormatPr defaultRowHeight="15" x14ac:dyDescent="0.25"/>
  <cols>
    <col min="1" max="1" width="14.5703125" style="175" bestFit="1" customWidth="1"/>
    <col min="2" max="2" width="17.42578125" style="241" customWidth="1"/>
    <col min="3" max="3" width="15.42578125" style="242" bestFit="1" customWidth="1"/>
    <col min="4" max="4" width="15.42578125" style="175" bestFit="1" customWidth="1"/>
    <col min="5" max="5" width="15.5703125" style="241" bestFit="1" customWidth="1"/>
    <col min="6" max="6" width="12.28515625" style="242" bestFit="1" customWidth="1"/>
    <col min="7" max="7" width="18.42578125" style="175" bestFit="1" customWidth="1"/>
    <col min="8" max="8" width="15.42578125" style="241" hidden="1" customWidth="1"/>
    <col min="9" max="9" width="10.28515625" style="242" hidden="1" customWidth="1"/>
    <col min="10" max="10" width="13.42578125" style="175" hidden="1" customWidth="1"/>
    <col min="11" max="11" width="14.42578125" style="241" hidden="1" customWidth="1"/>
    <col min="12" max="12" width="10.28515625" style="242" hidden="1" customWidth="1"/>
    <col min="13" max="13" width="11.7109375" style="175" hidden="1" customWidth="1"/>
    <col min="14" max="14" width="14.42578125" style="241" hidden="1" customWidth="1"/>
    <col min="15" max="15" width="10.28515625" style="242" hidden="1" customWidth="1"/>
    <col min="16" max="16" width="11.7109375" style="175" hidden="1" customWidth="1"/>
    <col min="17" max="17" width="15.42578125" style="241" hidden="1" customWidth="1"/>
    <col min="18" max="18" width="10.28515625" style="242" hidden="1" customWidth="1"/>
    <col min="19" max="19" width="11.7109375" style="175" hidden="1" customWidth="1"/>
    <col min="20" max="20" width="15.42578125" style="241" hidden="1" customWidth="1"/>
    <col min="21" max="21" width="10.28515625" style="242" hidden="1" customWidth="1"/>
    <col min="22" max="22" width="11.7109375" style="175" hidden="1" customWidth="1"/>
    <col min="23" max="23" width="15.42578125" style="241" hidden="1" customWidth="1"/>
    <col min="24" max="24" width="10.28515625" style="242" hidden="1" customWidth="1"/>
    <col min="25" max="25" width="11.7109375" style="175" hidden="1" customWidth="1"/>
    <col min="26" max="26" width="15.42578125" style="241" hidden="1" customWidth="1"/>
    <col min="27" max="27" width="10.28515625" style="242" hidden="1" customWidth="1"/>
    <col min="28" max="28" width="11.7109375" style="175" hidden="1" customWidth="1"/>
    <col min="29" max="29" width="15.42578125" style="241" hidden="1" customWidth="1"/>
    <col min="30" max="30" width="10.28515625" style="242" hidden="1" customWidth="1"/>
    <col min="31" max="31" width="11.7109375" style="175" hidden="1" customWidth="1"/>
    <col min="32" max="32" width="14.42578125" style="241" hidden="1" customWidth="1"/>
    <col min="33" max="33" width="10.28515625" style="242" hidden="1" customWidth="1"/>
    <col min="34" max="34" width="10.7109375" style="175" hidden="1" customWidth="1"/>
    <col min="35" max="35" width="14.42578125" style="241" customWidth="1"/>
    <col min="36" max="36" width="12.42578125" style="242" customWidth="1"/>
    <col min="37" max="37" width="13.7109375" style="175" bestFit="1" customWidth="1"/>
    <col min="38" max="38" width="14.42578125" style="241" customWidth="1"/>
    <col min="39" max="39" width="12.85546875" style="242" customWidth="1"/>
    <col min="40" max="40" width="13.7109375" style="175" bestFit="1" customWidth="1"/>
    <col min="41" max="41" width="15.42578125" style="241" bestFit="1" customWidth="1"/>
    <col min="42" max="42" width="12.28515625" style="242" bestFit="1" customWidth="1"/>
    <col min="43" max="43" width="13.28515625" style="175" bestFit="1" customWidth="1"/>
    <col min="44" max="44" width="15.42578125" style="241" bestFit="1" customWidth="1"/>
    <col min="45" max="45" width="13.42578125" style="242" customWidth="1"/>
    <col min="46" max="46" width="11.7109375" style="175" bestFit="1" customWidth="1"/>
    <col min="47" max="47" width="17.28515625" style="241" customWidth="1"/>
    <col min="48" max="48" width="12" style="242" customWidth="1"/>
    <col min="49" max="49" width="13" style="175" bestFit="1" customWidth="1"/>
    <col min="50" max="50" width="14.42578125" style="241" customWidth="1"/>
    <col min="51" max="51" width="10.28515625" style="242" customWidth="1"/>
    <col min="52" max="52" width="10.7109375" style="175" customWidth="1"/>
    <col min="53" max="53" width="14.42578125" style="241" customWidth="1"/>
    <col min="54" max="54" width="10.28515625" style="242" customWidth="1"/>
    <col min="55" max="55" width="10.7109375" style="175" customWidth="1"/>
    <col min="56" max="56" width="14.42578125" style="241" customWidth="1"/>
    <col min="57" max="57" width="10.28515625" style="242" customWidth="1"/>
    <col min="58" max="58" width="10.7109375" style="175" customWidth="1"/>
    <col min="59" max="59" width="14.42578125" style="241" customWidth="1"/>
    <col min="60" max="60" width="10.28515625" style="242" customWidth="1"/>
    <col min="61" max="61" width="10.7109375" style="175" customWidth="1"/>
    <col min="62" max="62" width="14.42578125" style="241" customWidth="1"/>
    <col min="63" max="63" width="10.28515625" style="242" customWidth="1"/>
    <col min="64" max="64" width="10.7109375" style="175" customWidth="1"/>
    <col min="65" max="65" width="14.42578125" style="241" hidden="1" customWidth="1"/>
    <col min="66" max="66" width="10.28515625" style="242" hidden="1" customWidth="1"/>
    <col min="67" max="67" width="10.7109375" style="175" hidden="1" customWidth="1"/>
    <col min="68" max="68" width="14.42578125" style="241" hidden="1" customWidth="1"/>
    <col min="69" max="69" width="10.28515625" style="242" hidden="1" customWidth="1"/>
    <col min="70" max="70" width="10.7109375" style="175" hidden="1" customWidth="1"/>
    <col min="71" max="71" width="14.42578125" style="241" hidden="1" customWidth="1"/>
    <col min="72" max="72" width="10.28515625" style="242" hidden="1" customWidth="1"/>
    <col min="73" max="73" width="10.7109375" style="175" hidden="1" customWidth="1"/>
    <col min="74" max="74" width="14.42578125" style="241" hidden="1" customWidth="1"/>
    <col min="75" max="75" width="10.28515625" style="242" hidden="1" customWidth="1"/>
    <col min="76" max="76" width="10.7109375" style="175" hidden="1" customWidth="1"/>
    <col min="77" max="77" width="14.42578125" style="241" hidden="1" customWidth="1"/>
    <col min="78" max="78" width="10.28515625" style="242" hidden="1" customWidth="1"/>
    <col min="79" max="79" width="10.7109375" style="175" hidden="1" customWidth="1"/>
    <col min="80" max="80" width="14.42578125" style="241" hidden="1" customWidth="1"/>
    <col min="81" max="81" width="10.28515625" style="242" hidden="1" customWidth="1"/>
    <col min="82" max="82" width="10.7109375" style="175" hidden="1" customWidth="1"/>
    <col min="83" max="83" width="14.42578125" style="241" hidden="1" customWidth="1"/>
    <col min="84" max="84" width="10.28515625" style="242" hidden="1" customWidth="1"/>
    <col min="85" max="85" width="10.7109375" style="175" hidden="1" customWidth="1"/>
    <col min="86" max="86" width="14.42578125" style="241" hidden="1" customWidth="1"/>
    <col min="87" max="87" width="10.28515625" style="242" hidden="1" customWidth="1"/>
    <col min="88" max="88" width="10.7109375" style="175" hidden="1" customWidth="1"/>
    <col min="89" max="89" width="14.42578125" style="241" hidden="1" customWidth="1"/>
    <col min="90" max="90" width="10.28515625" style="242" hidden="1" customWidth="1"/>
    <col min="91" max="91" width="10.7109375" style="175" hidden="1" customWidth="1"/>
    <col min="92" max="92" width="14.42578125" style="241" hidden="1" customWidth="1"/>
    <col min="93" max="93" width="10.28515625" style="242" hidden="1" customWidth="1"/>
    <col min="94" max="94" width="10.7109375" style="175" hidden="1" customWidth="1"/>
    <col min="95" max="95" width="14.42578125" style="241" hidden="1" customWidth="1"/>
    <col min="96" max="96" width="10.28515625" style="242" hidden="1" customWidth="1"/>
    <col min="97" max="97" width="10.7109375" style="175" hidden="1" customWidth="1"/>
    <col min="98" max="98" width="14.42578125" style="241" hidden="1" customWidth="1"/>
    <col min="99" max="99" width="10.28515625" style="242" hidden="1" customWidth="1"/>
    <col min="100" max="100" width="10.7109375" style="175" hidden="1" customWidth="1"/>
    <col min="101" max="101" width="14.42578125" style="241" hidden="1" customWidth="1"/>
    <col min="102" max="102" width="10.28515625" style="242" hidden="1" customWidth="1"/>
    <col min="103" max="103" width="10.7109375" style="175" hidden="1" customWidth="1"/>
    <col min="104" max="104" width="14.42578125" style="241" hidden="1" customWidth="1"/>
    <col min="105" max="105" width="10.28515625" style="242" hidden="1" customWidth="1"/>
    <col min="106" max="106" width="10.7109375" style="175" hidden="1" customWidth="1"/>
    <col min="107" max="107" width="14.42578125" style="241" hidden="1" customWidth="1"/>
    <col min="108" max="108" width="10.28515625" style="242" hidden="1" customWidth="1"/>
    <col min="109" max="109" width="10.7109375" style="175" hidden="1" customWidth="1"/>
    <col min="110" max="110" width="14.42578125" style="241" hidden="1" customWidth="1"/>
    <col min="111" max="111" width="10.28515625" style="242" hidden="1" customWidth="1"/>
    <col min="112" max="112" width="10.7109375" style="175" hidden="1" customWidth="1"/>
    <col min="113" max="113" width="14.42578125" style="241" hidden="1" customWidth="1"/>
    <col min="114" max="114" width="10.28515625" style="242" hidden="1" customWidth="1"/>
    <col min="115" max="115" width="10.7109375" style="175" hidden="1" customWidth="1"/>
    <col min="116" max="116" width="14.42578125" style="241" hidden="1" customWidth="1"/>
    <col min="117" max="117" width="10.28515625" style="242" hidden="1" customWidth="1"/>
    <col min="118" max="118" width="10.7109375" style="175" hidden="1" customWidth="1"/>
    <col min="119" max="119" width="14.42578125" style="241" hidden="1" customWidth="1"/>
    <col min="120" max="120" width="10.28515625" style="242" hidden="1" customWidth="1"/>
    <col min="121" max="121" width="10.7109375" style="175" hidden="1" customWidth="1"/>
    <col min="122" max="122" width="14.42578125" style="241" hidden="1" customWidth="1"/>
    <col min="123" max="123" width="10.28515625" style="242" hidden="1" customWidth="1"/>
    <col min="124" max="124" width="10.7109375" style="175" hidden="1" customWidth="1"/>
    <col min="125" max="125" width="14.42578125" style="241" hidden="1" customWidth="1"/>
    <col min="126" max="126" width="10.28515625" style="242" hidden="1" customWidth="1"/>
    <col min="127" max="127" width="10.7109375" style="175" hidden="1" customWidth="1"/>
    <col min="128" max="128" width="14.42578125" style="241" hidden="1" customWidth="1"/>
    <col min="129" max="129" width="10.28515625" style="242" hidden="1" customWidth="1"/>
    <col min="130" max="130" width="10.7109375" style="175" hidden="1" customWidth="1"/>
    <col min="131" max="131" width="2.7109375" style="175" customWidth="1"/>
    <col min="132" max="132" width="18.28515625" style="175" customWidth="1"/>
    <col min="133" max="133" width="15.42578125" style="175" hidden="1" customWidth="1"/>
    <col min="134" max="134" width="14.42578125" style="175" bestFit="1" customWidth="1"/>
    <col min="135" max="135" width="19.5703125" style="175" customWidth="1"/>
    <col min="136" max="136" width="2.7109375" style="175" customWidth="1"/>
    <col min="137" max="137" width="15.42578125" style="175" hidden="1" customWidth="1"/>
    <col min="138" max="138" width="14.42578125" style="175" hidden="1" customWidth="1"/>
    <col min="139" max="139" width="12.42578125" style="175" hidden="1" customWidth="1"/>
    <col min="140" max="140" width="2.7109375" style="175" hidden="1" customWidth="1"/>
    <col min="141" max="141" width="19.7109375" style="175" customWidth="1"/>
    <col min="142" max="142" width="15.42578125" style="175" hidden="1" customWidth="1"/>
    <col min="143" max="143" width="14.42578125" style="175" bestFit="1" customWidth="1"/>
    <col min="144" max="144" width="18.5703125" style="175" customWidth="1"/>
    <col min="145" max="145" width="42.85546875" style="175" bestFit="1" customWidth="1"/>
    <col min="146" max="146" width="19.42578125" style="175" bestFit="1" customWidth="1"/>
    <col min="147" max="147" width="23.140625" style="175" bestFit="1" customWidth="1"/>
    <col min="148" max="16384" width="9.140625" style="175"/>
  </cols>
  <sheetData>
    <row r="1" spans="1:147" s="202" customFormat="1" x14ac:dyDescent="0.25">
      <c r="A1" s="260" t="s">
        <v>0</v>
      </c>
      <c r="B1" s="261"/>
      <c r="C1" s="262"/>
      <c r="E1" s="261"/>
      <c r="F1" s="262"/>
      <c r="H1" s="261"/>
      <c r="I1" s="262"/>
      <c r="K1" s="261"/>
      <c r="L1" s="262"/>
      <c r="N1" s="261"/>
      <c r="O1" s="262"/>
      <c r="Q1" s="261"/>
      <c r="R1" s="262"/>
      <c r="T1" s="261"/>
      <c r="U1" s="262"/>
      <c r="W1" s="261"/>
      <c r="X1" s="262"/>
      <c r="Z1" s="261"/>
      <c r="AA1" s="262"/>
      <c r="AC1" s="261"/>
      <c r="AD1" s="262"/>
      <c r="AF1" s="261"/>
      <c r="AG1" s="262"/>
      <c r="AI1" s="261"/>
      <c r="AJ1" s="262"/>
      <c r="AL1" s="261"/>
      <c r="AM1" s="262"/>
      <c r="AO1" s="261"/>
      <c r="AP1" s="262"/>
      <c r="AR1" s="261"/>
      <c r="AS1" s="262"/>
      <c r="AU1" s="261"/>
      <c r="AV1" s="262"/>
      <c r="AX1" s="261"/>
      <c r="AY1" s="262"/>
      <c r="BA1" s="261"/>
      <c r="BB1" s="262"/>
      <c r="BD1" s="261"/>
      <c r="BE1" s="262"/>
      <c r="BG1" s="261"/>
      <c r="BH1" s="262"/>
      <c r="BJ1" s="261"/>
      <c r="BK1" s="262"/>
      <c r="BM1" s="261"/>
      <c r="BN1" s="262"/>
      <c r="BP1" s="261"/>
      <c r="BQ1" s="262"/>
      <c r="BS1" s="261"/>
      <c r="BT1" s="262"/>
      <c r="BV1" s="261"/>
      <c r="BW1" s="262"/>
      <c r="BY1" s="261"/>
      <c r="BZ1" s="262"/>
      <c r="CB1" s="261"/>
      <c r="CC1" s="262"/>
      <c r="CE1" s="261"/>
      <c r="CF1" s="262"/>
      <c r="CH1" s="261"/>
      <c r="CI1" s="262"/>
      <c r="CK1" s="261"/>
      <c r="CL1" s="262"/>
      <c r="CN1" s="261"/>
      <c r="CO1" s="262"/>
      <c r="CQ1" s="261"/>
      <c r="CR1" s="262"/>
      <c r="CT1" s="261"/>
      <c r="CU1" s="262"/>
      <c r="CW1" s="261"/>
      <c r="CX1" s="262"/>
      <c r="CZ1" s="261"/>
      <c r="DA1" s="262"/>
      <c r="DC1" s="261"/>
      <c r="DD1" s="262"/>
      <c r="DF1" s="261"/>
      <c r="DG1" s="262"/>
      <c r="DI1" s="261"/>
      <c r="DJ1" s="262"/>
      <c r="DL1" s="261"/>
      <c r="DM1" s="262"/>
      <c r="DO1" s="261"/>
      <c r="DP1" s="262"/>
      <c r="DR1" s="261"/>
      <c r="DS1" s="262"/>
      <c r="DU1" s="261"/>
      <c r="DV1" s="262"/>
      <c r="DX1" s="261"/>
      <c r="DY1" s="262"/>
      <c r="DZ1" s="263"/>
      <c r="ED1" s="191"/>
      <c r="EE1" s="264" t="s">
        <v>37</v>
      </c>
      <c r="EI1" s="191" t="s">
        <v>38</v>
      </c>
      <c r="EM1" s="191"/>
      <c r="EN1" s="191" t="s">
        <v>39</v>
      </c>
      <c r="EO1" s="260" t="s">
        <v>40</v>
      </c>
      <c r="EP1" s="260" t="s">
        <v>41</v>
      </c>
      <c r="EQ1" s="260" t="s">
        <v>42</v>
      </c>
    </row>
    <row r="2" spans="1:147" s="202" customFormat="1" ht="15.75" thickBot="1" x14ac:dyDescent="0.3">
      <c r="A2" s="260" t="s">
        <v>43</v>
      </c>
      <c r="B2" s="261"/>
      <c r="C2" s="262"/>
      <c r="E2" s="263"/>
      <c r="F2" s="262"/>
      <c r="G2" s="191"/>
      <c r="H2" s="261"/>
      <c r="I2" s="262"/>
      <c r="K2" s="261"/>
      <c r="L2" s="262"/>
      <c r="N2" s="261"/>
      <c r="O2" s="262"/>
      <c r="Q2" s="261"/>
      <c r="R2" s="262"/>
      <c r="T2" s="261"/>
      <c r="U2" s="262"/>
      <c r="W2" s="261"/>
      <c r="X2" s="262"/>
      <c r="Z2" s="261"/>
      <c r="AA2" s="262"/>
      <c r="AC2" s="261"/>
      <c r="AD2" s="262"/>
      <c r="AF2" s="261"/>
      <c r="AG2" s="262"/>
      <c r="AI2" s="261"/>
      <c r="AJ2" s="262"/>
      <c r="AL2" s="261"/>
      <c r="AM2" s="262"/>
      <c r="AO2" s="261"/>
      <c r="AP2" s="262"/>
      <c r="AR2" s="261"/>
      <c r="AS2" s="262"/>
      <c r="AU2" s="261"/>
      <c r="AV2" s="262"/>
      <c r="AX2" s="261"/>
      <c r="AY2" s="262"/>
      <c r="BA2" s="261"/>
      <c r="BB2" s="262"/>
      <c r="BD2" s="261"/>
      <c r="BE2" s="262"/>
      <c r="BG2" s="261"/>
      <c r="BH2" s="262"/>
      <c r="BJ2" s="261"/>
      <c r="BK2" s="262"/>
      <c r="BM2" s="261"/>
      <c r="BN2" s="262"/>
      <c r="BP2" s="261"/>
      <c r="BQ2" s="262"/>
      <c r="BS2" s="261"/>
      <c r="BT2" s="262"/>
      <c r="BV2" s="261"/>
      <c r="BW2" s="262"/>
      <c r="BY2" s="261"/>
      <c r="BZ2" s="262"/>
      <c r="CB2" s="261"/>
      <c r="CC2" s="262"/>
      <c r="CE2" s="261"/>
      <c r="CF2" s="262"/>
      <c r="CH2" s="261"/>
      <c r="CI2" s="262"/>
      <c r="CK2" s="261"/>
      <c r="CL2" s="262"/>
      <c r="CN2" s="261"/>
      <c r="CO2" s="262"/>
      <c r="CQ2" s="261"/>
      <c r="CR2" s="262"/>
      <c r="CT2" s="261"/>
      <c r="CU2" s="262"/>
      <c r="CW2" s="261"/>
      <c r="CX2" s="262"/>
      <c r="CZ2" s="261"/>
      <c r="DA2" s="262"/>
      <c r="DC2" s="261"/>
      <c r="DD2" s="262"/>
      <c r="DF2" s="261"/>
      <c r="DG2" s="262"/>
      <c r="DI2" s="261"/>
      <c r="DJ2" s="262"/>
      <c r="DL2" s="261"/>
      <c r="DM2" s="262"/>
      <c r="DO2" s="261"/>
      <c r="DP2" s="262"/>
      <c r="DR2" s="261"/>
      <c r="DS2" s="262"/>
      <c r="DU2" s="261"/>
      <c r="DV2" s="262"/>
      <c r="DX2" s="261"/>
      <c r="DY2" s="262"/>
      <c r="EB2" s="175" t="s">
        <v>44</v>
      </c>
      <c r="EC2" s="175"/>
      <c r="ED2" s="241"/>
      <c r="EE2" s="241">
        <f>EB38</f>
        <v>434177000</v>
      </c>
      <c r="EI2" s="241" t="e">
        <f>#REF!</f>
        <v>#REF!</v>
      </c>
      <c r="EM2" s="241"/>
      <c r="EN2" s="241">
        <f>EK38</f>
        <v>434177000</v>
      </c>
      <c r="EO2" s="265">
        <v>-416586.77</v>
      </c>
      <c r="EP2" s="261">
        <f>EN2+EO2</f>
        <v>433760413.23000002</v>
      </c>
      <c r="EQ2" s="261">
        <f>EE2+EO2</f>
        <v>433760413.23000002</v>
      </c>
    </row>
    <row r="3" spans="1:147" ht="15.75" thickTop="1" x14ac:dyDescent="0.25">
      <c r="A3" s="266" t="s">
        <v>248</v>
      </c>
      <c r="E3" s="267" t="s">
        <v>45</v>
      </c>
      <c r="F3" s="243"/>
      <c r="G3" s="244"/>
      <c r="EB3" s="175" t="s">
        <v>46</v>
      </c>
      <c r="ED3" s="241"/>
      <c r="EE3" s="241">
        <f>AVERAGE(EB11:EB38)</f>
        <v>338856892.85714287</v>
      </c>
      <c r="EI3" s="241">
        <f>AVERAGE(EG11:EG38)</f>
        <v>0</v>
      </c>
      <c r="EM3" s="241"/>
      <c r="EN3" s="241">
        <f>AVERAGE(EK11:EK38)</f>
        <v>327406892.85714287</v>
      </c>
    </row>
    <row r="4" spans="1:147" x14ac:dyDescent="0.25">
      <c r="E4" s="245" t="s">
        <v>44</v>
      </c>
      <c r="F4" s="241"/>
      <c r="G4" s="246">
        <f>EQ2</f>
        <v>433760413.23000002</v>
      </c>
      <c r="AI4" s="260" t="s">
        <v>47</v>
      </c>
      <c r="EB4" s="175" t="s">
        <v>48</v>
      </c>
      <c r="ED4" s="242"/>
      <c r="EE4" s="242">
        <f>IF(EE3=0,0,360*(AVERAGE(ED11:ED38)/EE3))</f>
        <v>4.5607641764886436E-2</v>
      </c>
      <c r="EI4" s="242">
        <f>IF(EI3=0,0,360*(AVERAGE(EH11:EH38)/EI3))</f>
        <v>0</v>
      </c>
      <c r="EM4" s="242"/>
      <c r="EN4" s="242">
        <f>IF(EN3=0,0,360*(AVERAGE(EM11:EM38)/EN3))</f>
        <v>4.5621615589077506E-2</v>
      </c>
      <c r="EO4" s="202" t="s">
        <v>241</v>
      </c>
      <c r="EQ4" s="191" t="s">
        <v>47</v>
      </c>
    </row>
    <row r="5" spans="1:147" x14ac:dyDescent="0.25">
      <c r="E5" s="245" t="s">
        <v>46</v>
      </c>
      <c r="F5" s="241"/>
      <c r="G5" s="246">
        <f>EE3</f>
        <v>338856892.85714287</v>
      </c>
      <c r="AI5" s="268" t="s">
        <v>39</v>
      </c>
      <c r="EB5" s="175" t="s">
        <v>49</v>
      </c>
      <c r="ED5" s="241"/>
      <c r="EE5" s="241">
        <f>MAX(EB11:EB38)</f>
        <v>434177000</v>
      </c>
      <c r="EI5" s="241">
        <f>MAX(EG11:EG38)</f>
        <v>0</v>
      </c>
      <c r="EM5" s="241"/>
      <c r="EN5" s="241">
        <f>MAX(EK11:EK38)</f>
        <v>434177000</v>
      </c>
      <c r="EO5" s="175" t="s">
        <v>242</v>
      </c>
    </row>
    <row r="6" spans="1:147" x14ac:dyDescent="0.25">
      <c r="E6" s="245" t="s">
        <v>48</v>
      </c>
      <c r="F6" s="241"/>
      <c r="G6" s="247">
        <f>EE4</f>
        <v>4.5607641764886436E-2</v>
      </c>
    </row>
    <row r="7" spans="1:147" ht="15.75" thickBot="1" x14ac:dyDescent="0.3">
      <c r="E7" s="248" t="s">
        <v>49</v>
      </c>
      <c r="F7" s="249"/>
      <c r="G7" s="250">
        <f>EE5</f>
        <v>434177000</v>
      </c>
      <c r="AI7" s="268" t="s">
        <v>39</v>
      </c>
      <c r="EB7" s="269" t="s">
        <v>50</v>
      </c>
      <c r="EC7" s="269"/>
      <c r="ED7" s="251"/>
      <c r="EE7" s="251"/>
      <c r="EG7" s="269" t="s">
        <v>51</v>
      </c>
      <c r="EH7" s="251"/>
      <c r="EI7" s="251"/>
      <c r="EJ7" s="174"/>
      <c r="EK7" s="269" t="s">
        <v>52</v>
      </c>
      <c r="EL7" s="269"/>
      <c r="EM7" s="251"/>
      <c r="EN7" s="251"/>
    </row>
    <row r="8" spans="1:147" ht="15.75" thickTop="1" x14ac:dyDescent="0.25">
      <c r="AI8" s="263" t="s">
        <v>53</v>
      </c>
      <c r="AL8" s="263" t="s">
        <v>53</v>
      </c>
      <c r="AO8" s="263" t="s">
        <v>53</v>
      </c>
      <c r="AR8" s="263" t="s">
        <v>53</v>
      </c>
      <c r="AU8" s="263" t="s">
        <v>53</v>
      </c>
      <c r="AX8" s="263" t="s">
        <v>53</v>
      </c>
      <c r="BA8" s="263" t="s">
        <v>53</v>
      </c>
      <c r="BD8" s="263" t="s">
        <v>53</v>
      </c>
      <c r="BG8" s="263" t="s">
        <v>53</v>
      </c>
      <c r="BJ8" s="263" t="s">
        <v>53</v>
      </c>
      <c r="BM8" s="263" t="s">
        <v>53</v>
      </c>
      <c r="BP8" s="263" t="s">
        <v>53</v>
      </c>
      <c r="BS8" s="263" t="s">
        <v>53</v>
      </c>
      <c r="BV8" s="263" t="s">
        <v>53</v>
      </c>
      <c r="BY8" s="263" t="s">
        <v>53</v>
      </c>
      <c r="CB8" s="263" t="s">
        <v>53</v>
      </c>
      <c r="CE8" s="263" t="s">
        <v>53</v>
      </c>
      <c r="CH8" s="263" t="s">
        <v>53</v>
      </c>
      <c r="CK8" s="263" t="s">
        <v>53</v>
      </c>
      <c r="CN8" s="263" t="s">
        <v>53</v>
      </c>
      <c r="CQ8" s="263" t="s">
        <v>53</v>
      </c>
      <c r="CT8" s="263" t="s">
        <v>53</v>
      </c>
      <c r="CW8" s="263" t="s">
        <v>53</v>
      </c>
      <c r="CZ8" s="263" t="s">
        <v>53</v>
      </c>
      <c r="DC8" s="263" t="s">
        <v>53</v>
      </c>
      <c r="DF8" s="263" t="s">
        <v>53</v>
      </c>
      <c r="DI8" s="263" t="s">
        <v>53</v>
      </c>
      <c r="DL8" s="263" t="s">
        <v>53</v>
      </c>
      <c r="DO8" s="263" t="s">
        <v>53</v>
      </c>
      <c r="DR8" s="263" t="s">
        <v>53</v>
      </c>
      <c r="EB8" s="252"/>
      <c r="EC8" s="252"/>
      <c r="ED8" s="252"/>
      <c r="EE8" s="252" t="s">
        <v>54</v>
      </c>
      <c r="EG8" s="252"/>
      <c r="EH8" s="270" t="s">
        <v>38</v>
      </c>
      <c r="EI8" s="252" t="s">
        <v>54</v>
      </c>
      <c r="EJ8" s="252"/>
      <c r="EK8" s="191" t="s">
        <v>55</v>
      </c>
      <c r="EL8" s="191" t="s">
        <v>56</v>
      </c>
      <c r="EM8" s="270" t="s">
        <v>57</v>
      </c>
      <c r="EN8" s="252" t="s">
        <v>54</v>
      </c>
    </row>
    <row r="9" spans="1:147" x14ac:dyDescent="0.25">
      <c r="B9" s="253" t="s">
        <v>58</v>
      </c>
      <c r="C9" s="254"/>
      <c r="D9" s="251"/>
      <c r="E9" s="253" t="s">
        <v>59</v>
      </c>
      <c r="F9" s="254"/>
      <c r="G9" s="251"/>
      <c r="H9" s="253" t="s">
        <v>60</v>
      </c>
      <c r="I9" s="254"/>
      <c r="J9" s="251"/>
      <c r="K9" s="253" t="s">
        <v>61</v>
      </c>
      <c r="L9" s="254"/>
      <c r="M9" s="251"/>
      <c r="N9" s="253" t="s">
        <v>62</v>
      </c>
      <c r="O9" s="254"/>
      <c r="P9" s="251"/>
      <c r="Q9" s="253" t="s">
        <v>63</v>
      </c>
      <c r="R9" s="254"/>
      <c r="S9" s="251"/>
      <c r="T9" s="253" t="s">
        <v>64</v>
      </c>
      <c r="U9" s="254"/>
      <c r="V9" s="251"/>
      <c r="W9" s="253" t="s">
        <v>65</v>
      </c>
      <c r="X9" s="254"/>
      <c r="Y9" s="251"/>
      <c r="Z9" s="253" t="s">
        <v>66</v>
      </c>
      <c r="AA9" s="254"/>
      <c r="AB9" s="251"/>
      <c r="AC9" s="271" t="s">
        <v>67</v>
      </c>
      <c r="AD9" s="254"/>
      <c r="AE9" s="251"/>
      <c r="AF9" s="271" t="s">
        <v>68</v>
      </c>
      <c r="AG9" s="254"/>
      <c r="AH9" s="251"/>
      <c r="AI9" s="253" t="s">
        <v>69</v>
      </c>
      <c r="AJ9" s="254"/>
      <c r="AK9" s="251"/>
      <c r="AL9" s="253" t="s">
        <v>70</v>
      </c>
      <c r="AM9" s="254"/>
      <c r="AN9" s="251"/>
      <c r="AO9" s="253" t="s">
        <v>71</v>
      </c>
      <c r="AP9" s="254"/>
      <c r="AQ9" s="251"/>
      <c r="AR9" s="253" t="s">
        <v>72</v>
      </c>
      <c r="AS9" s="254"/>
      <c r="AT9" s="251"/>
      <c r="AU9" s="253" t="s">
        <v>73</v>
      </c>
      <c r="AV9" s="254"/>
      <c r="AW9" s="251"/>
      <c r="AX9" s="253" t="s">
        <v>74</v>
      </c>
      <c r="AY9" s="254"/>
      <c r="AZ9" s="251"/>
      <c r="BA9" s="253" t="s">
        <v>75</v>
      </c>
      <c r="BB9" s="254"/>
      <c r="BC9" s="251"/>
      <c r="BD9" s="253" t="s">
        <v>76</v>
      </c>
      <c r="BE9" s="254"/>
      <c r="BF9" s="251"/>
      <c r="BG9" s="253" t="s">
        <v>77</v>
      </c>
      <c r="BH9" s="254"/>
      <c r="BI9" s="251"/>
      <c r="BJ9" s="253" t="s">
        <v>78</v>
      </c>
      <c r="BK9" s="254"/>
      <c r="BL9" s="251"/>
      <c r="BM9" s="253" t="s">
        <v>79</v>
      </c>
      <c r="BN9" s="254"/>
      <c r="BO9" s="251"/>
      <c r="BP9" s="253" t="s">
        <v>80</v>
      </c>
      <c r="BQ9" s="254"/>
      <c r="BR9" s="251"/>
      <c r="BS9" s="253" t="s">
        <v>81</v>
      </c>
      <c r="BT9" s="254"/>
      <c r="BU9" s="251"/>
      <c r="BV9" s="253" t="s">
        <v>82</v>
      </c>
      <c r="BW9" s="254"/>
      <c r="BX9" s="251"/>
      <c r="BY9" s="253" t="s">
        <v>83</v>
      </c>
      <c r="BZ9" s="254"/>
      <c r="CA9" s="251"/>
      <c r="CB9" s="253" t="s">
        <v>84</v>
      </c>
      <c r="CC9" s="254"/>
      <c r="CD9" s="251"/>
      <c r="CE9" s="253" t="s">
        <v>85</v>
      </c>
      <c r="CF9" s="254"/>
      <c r="CG9" s="251"/>
      <c r="CH9" s="253" t="s">
        <v>86</v>
      </c>
      <c r="CI9" s="254"/>
      <c r="CJ9" s="251"/>
      <c r="CK9" s="253" t="s">
        <v>87</v>
      </c>
      <c r="CL9" s="254"/>
      <c r="CM9" s="251"/>
      <c r="CN9" s="253" t="s">
        <v>88</v>
      </c>
      <c r="CO9" s="254"/>
      <c r="CP9" s="251"/>
      <c r="CQ9" s="253" t="s">
        <v>89</v>
      </c>
      <c r="CR9" s="254"/>
      <c r="CS9" s="251"/>
      <c r="CT9" s="253" t="s">
        <v>90</v>
      </c>
      <c r="CU9" s="254"/>
      <c r="CV9" s="251"/>
      <c r="CW9" s="253" t="s">
        <v>91</v>
      </c>
      <c r="CX9" s="254"/>
      <c r="CY9" s="251"/>
      <c r="CZ9" s="253" t="s">
        <v>92</v>
      </c>
      <c r="DA9" s="254"/>
      <c r="DB9" s="251"/>
      <c r="DC9" s="253" t="s">
        <v>93</v>
      </c>
      <c r="DD9" s="254"/>
      <c r="DE9" s="251"/>
      <c r="DF9" s="253" t="s">
        <v>94</v>
      </c>
      <c r="DG9" s="254"/>
      <c r="DH9" s="251"/>
      <c r="DI9" s="253" t="s">
        <v>95</v>
      </c>
      <c r="DJ9" s="254"/>
      <c r="DK9" s="251"/>
      <c r="DL9" s="253" t="s">
        <v>96</v>
      </c>
      <c r="DM9" s="254"/>
      <c r="DN9" s="251"/>
      <c r="DO9" s="253" t="s">
        <v>97</v>
      </c>
      <c r="DP9" s="254"/>
      <c r="DQ9" s="251"/>
      <c r="DR9" s="253" t="s">
        <v>98</v>
      </c>
      <c r="DS9" s="254"/>
      <c r="DT9" s="251"/>
      <c r="DU9" s="253" t="s">
        <v>99</v>
      </c>
      <c r="DV9" s="254"/>
      <c r="DW9" s="251"/>
      <c r="DX9" s="272" t="s">
        <v>100</v>
      </c>
      <c r="DY9" s="254"/>
      <c r="DZ9" s="251"/>
      <c r="EA9" s="174"/>
      <c r="EB9" s="191" t="s">
        <v>101</v>
      </c>
      <c r="EC9" s="191" t="s">
        <v>102</v>
      </c>
      <c r="ED9" s="252" t="s">
        <v>103</v>
      </c>
      <c r="EE9" s="252" t="s">
        <v>104</v>
      </c>
      <c r="EG9" s="270" t="s">
        <v>105</v>
      </c>
      <c r="EH9" s="252" t="s">
        <v>103</v>
      </c>
      <c r="EI9" s="252" t="s">
        <v>104</v>
      </c>
      <c r="EJ9" s="252"/>
      <c r="EK9" s="270" t="s">
        <v>57</v>
      </c>
      <c r="EL9" s="270" t="s">
        <v>57</v>
      </c>
      <c r="EM9" s="252" t="s">
        <v>103</v>
      </c>
      <c r="EN9" s="252" t="s">
        <v>104</v>
      </c>
    </row>
    <row r="10" spans="1:147" x14ac:dyDescent="0.25">
      <c r="A10" s="252" t="s">
        <v>106</v>
      </c>
      <c r="B10" s="273" t="s">
        <v>107</v>
      </c>
      <c r="C10" s="274" t="s">
        <v>108</v>
      </c>
      <c r="D10" s="275" t="s">
        <v>12</v>
      </c>
      <c r="E10" s="273" t="s">
        <v>107</v>
      </c>
      <c r="F10" s="274" t="s">
        <v>108</v>
      </c>
      <c r="G10" s="275" t="s">
        <v>12</v>
      </c>
      <c r="H10" s="273" t="s">
        <v>107</v>
      </c>
      <c r="I10" s="274" t="s">
        <v>108</v>
      </c>
      <c r="J10" s="275" t="s">
        <v>12</v>
      </c>
      <c r="K10" s="273" t="s">
        <v>107</v>
      </c>
      <c r="L10" s="274" t="s">
        <v>108</v>
      </c>
      <c r="M10" s="275" t="s">
        <v>12</v>
      </c>
      <c r="N10" s="273" t="s">
        <v>107</v>
      </c>
      <c r="O10" s="274" t="s">
        <v>108</v>
      </c>
      <c r="P10" s="275" t="s">
        <v>12</v>
      </c>
      <c r="Q10" s="273" t="s">
        <v>107</v>
      </c>
      <c r="R10" s="274" t="s">
        <v>108</v>
      </c>
      <c r="S10" s="275" t="s">
        <v>12</v>
      </c>
      <c r="T10" s="273" t="s">
        <v>107</v>
      </c>
      <c r="U10" s="274" t="s">
        <v>108</v>
      </c>
      <c r="V10" s="275" t="s">
        <v>12</v>
      </c>
      <c r="W10" s="273" t="s">
        <v>107</v>
      </c>
      <c r="X10" s="274" t="s">
        <v>108</v>
      </c>
      <c r="Y10" s="275" t="s">
        <v>12</v>
      </c>
      <c r="Z10" s="273" t="s">
        <v>107</v>
      </c>
      <c r="AA10" s="274" t="s">
        <v>108</v>
      </c>
      <c r="AB10" s="275" t="s">
        <v>12</v>
      </c>
      <c r="AC10" s="273" t="s">
        <v>107</v>
      </c>
      <c r="AD10" s="274" t="s">
        <v>108</v>
      </c>
      <c r="AE10" s="275" t="s">
        <v>12</v>
      </c>
      <c r="AF10" s="273" t="s">
        <v>107</v>
      </c>
      <c r="AG10" s="274" t="s">
        <v>108</v>
      </c>
      <c r="AH10" s="275" t="s">
        <v>12</v>
      </c>
      <c r="AI10" s="273" t="s">
        <v>107</v>
      </c>
      <c r="AJ10" s="274" t="s">
        <v>108</v>
      </c>
      <c r="AK10" s="275" t="s">
        <v>12</v>
      </c>
      <c r="AL10" s="273" t="s">
        <v>107</v>
      </c>
      <c r="AM10" s="274" t="s">
        <v>108</v>
      </c>
      <c r="AN10" s="275" t="s">
        <v>12</v>
      </c>
      <c r="AO10" s="273" t="s">
        <v>107</v>
      </c>
      <c r="AP10" s="274" t="s">
        <v>108</v>
      </c>
      <c r="AQ10" s="275" t="s">
        <v>12</v>
      </c>
      <c r="AR10" s="273" t="s">
        <v>107</v>
      </c>
      <c r="AS10" s="274" t="s">
        <v>108</v>
      </c>
      <c r="AT10" s="275" t="s">
        <v>12</v>
      </c>
      <c r="AU10" s="273" t="s">
        <v>107</v>
      </c>
      <c r="AV10" s="274" t="s">
        <v>108</v>
      </c>
      <c r="AW10" s="275" t="s">
        <v>12</v>
      </c>
      <c r="AX10" s="273" t="s">
        <v>107</v>
      </c>
      <c r="AY10" s="274" t="s">
        <v>108</v>
      </c>
      <c r="AZ10" s="275" t="s">
        <v>12</v>
      </c>
      <c r="BA10" s="273" t="s">
        <v>107</v>
      </c>
      <c r="BB10" s="274" t="s">
        <v>108</v>
      </c>
      <c r="BC10" s="275" t="s">
        <v>12</v>
      </c>
      <c r="BD10" s="273" t="s">
        <v>107</v>
      </c>
      <c r="BE10" s="274" t="s">
        <v>108</v>
      </c>
      <c r="BF10" s="275" t="s">
        <v>12</v>
      </c>
      <c r="BG10" s="273" t="s">
        <v>107</v>
      </c>
      <c r="BH10" s="274" t="s">
        <v>108</v>
      </c>
      <c r="BI10" s="275" t="s">
        <v>12</v>
      </c>
      <c r="BJ10" s="273" t="s">
        <v>107</v>
      </c>
      <c r="BK10" s="274" t="s">
        <v>108</v>
      </c>
      <c r="BL10" s="275" t="s">
        <v>12</v>
      </c>
      <c r="BM10" s="273" t="s">
        <v>107</v>
      </c>
      <c r="BN10" s="274" t="s">
        <v>108</v>
      </c>
      <c r="BO10" s="275" t="s">
        <v>12</v>
      </c>
      <c r="BP10" s="273" t="s">
        <v>107</v>
      </c>
      <c r="BQ10" s="274" t="s">
        <v>108</v>
      </c>
      <c r="BR10" s="275" t="s">
        <v>12</v>
      </c>
      <c r="BS10" s="273" t="s">
        <v>107</v>
      </c>
      <c r="BT10" s="274" t="s">
        <v>108</v>
      </c>
      <c r="BU10" s="275" t="s">
        <v>12</v>
      </c>
      <c r="BV10" s="273" t="s">
        <v>107</v>
      </c>
      <c r="BW10" s="274" t="s">
        <v>108</v>
      </c>
      <c r="BX10" s="275" t="s">
        <v>12</v>
      </c>
      <c r="BY10" s="273" t="s">
        <v>107</v>
      </c>
      <c r="BZ10" s="274" t="s">
        <v>108</v>
      </c>
      <c r="CA10" s="275" t="s">
        <v>12</v>
      </c>
      <c r="CB10" s="273" t="s">
        <v>107</v>
      </c>
      <c r="CC10" s="274" t="s">
        <v>108</v>
      </c>
      <c r="CD10" s="275" t="s">
        <v>12</v>
      </c>
      <c r="CE10" s="273" t="s">
        <v>107</v>
      </c>
      <c r="CF10" s="274" t="s">
        <v>108</v>
      </c>
      <c r="CG10" s="275" t="s">
        <v>12</v>
      </c>
      <c r="CH10" s="273" t="s">
        <v>107</v>
      </c>
      <c r="CI10" s="274" t="s">
        <v>108</v>
      </c>
      <c r="CJ10" s="275" t="s">
        <v>12</v>
      </c>
      <c r="CK10" s="273" t="s">
        <v>107</v>
      </c>
      <c r="CL10" s="274" t="s">
        <v>108</v>
      </c>
      <c r="CM10" s="275" t="s">
        <v>12</v>
      </c>
      <c r="CN10" s="273" t="s">
        <v>107</v>
      </c>
      <c r="CO10" s="274" t="s">
        <v>108</v>
      </c>
      <c r="CP10" s="275" t="s">
        <v>12</v>
      </c>
      <c r="CQ10" s="273" t="s">
        <v>107</v>
      </c>
      <c r="CR10" s="274" t="s">
        <v>108</v>
      </c>
      <c r="CS10" s="275" t="s">
        <v>12</v>
      </c>
      <c r="CT10" s="273" t="s">
        <v>107</v>
      </c>
      <c r="CU10" s="274" t="s">
        <v>108</v>
      </c>
      <c r="CV10" s="275" t="s">
        <v>12</v>
      </c>
      <c r="CW10" s="273" t="s">
        <v>107</v>
      </c>
      <c r="CX10" s="274" t="s">
        <v>108</v>
      </c>
      <c r="CY10" s="275" t="s">
        <v>12</v>
      </c>
      <c r="CZ10" s="273" t="s">
        <v>107</v>
      </c>
      <c r="DA10" s="274" t="s">
        <v>108</v>
      </c>
      <c r="DB10" s="275" t="s">
        <v>12</v>
      </c>
      <c r="DC10" s="273" t="s">
        <v>107</v>
      </c>
      <c r="DD10" s="274" t="s">
        <v>108</v>
      </c>
      <c r="DE10" s="275" t="s">
        <v>12</v>
      </c>
      <c r="DF10" s="273" t="s">
        <v>107</v>
      </c>
      <c r="DG10" s="274" t="s">
        <v>108</v>
      </c>
      <c r="DH10" s="275" t="s">
        <v>12</v>
      </c>
      <c r="DI10" s="273" t="s">
        <v>107</v>
      </c>
      <c r="DJ10" s="274" t="s">
        <v>108</v>
      </c>
      <c r="DK10" s="275" t="s">
        <v>12</v>
      </c>
      <c r="DL10" s="273" t="s">
        <v>107</v>
      </c>
      <c r="DM10" s="274" t="s">
        <v>108</v>
      </c>
      <c r="DN10" s="275" t="s">
        <v>12</v>
      </c>
      <c r="DO10" s="273" t="s">
        <v>107</v>
      </c>
      <c r="DP10" s="274" t="s">
        <v>108</v>
      </c>
      <c r="DQ10" s="275" t="s">
        <v>12</v>
      </c>
      <c r="DR10" s="273" t="s">
        <v>107</v>
      </c>
      <c r="DS10" s="274" t="s">
        <v>108</v>
      </c>
      <c r="DT10" s="275" t="s">
        <v>12</v>
      </c>
      <c r="DU10" s="273" t="s">
        <v>107</v>
      </c>
      <c r="DV10" s="274" t="s">
        <v>108</v>
      </c>
      <c r="DW10" s="275" t="s">
        <v>12</v>
      </c>
      <c r="DX10" s="273" t="s">
        <v>107</v>
      </c>
      <c r="DY10" s="274"/>
      <c r="DZ10" s="275"/>
      <c r="EA10" s="275"/>
      <c r="EB10" s="275" t="s">
        <v>109</v>
      </c>
      <c r="EC10" s="275" t="s">
        <v>109</v>
      </c>
      <c r="ED10" s="275" t="s">
        <v>12</v>
      </c>
      <c r="EE10" s="275" t="s">
        <v>108</v>
      </c>
      <c r="EG10" s="275" t="s">
        <v>109</v>
      </c>
      <c r="EH10" s="275" t="s">
        <v>12</v>
      </c>
      <c r="EI10" s="275" t="s">
        <v>108</v>
      </c>
      <c r="EJ10" s="275"/>
      <c r="EK10" s="275" t="s">
        <v>109</v>
      </c>
      <c r="EL10" s="275" t="s">
        <v>109</v>
      </c>
      <c r="EM10" s="275" t="s">
        <v>12</v>
      </c>
      <c r="EN10" s="275" t="s">
        <v>108</v>
      </c>
    </row>
    <row r="11" spans="1:147" x14ac:dyDescent="0.25">
      <c r="A11" s="255">
        <v>45689</v>
      </c>
      <c r="B11" s="241">
        <v>700000</v>
      </c>
      <c r="C11" s="242">
        <v>4.2900000000000001E-2</v>
      </c>
      <c r="D11" s="241">
        <f>(B11*C11)/360</f>
        <v>83.416666666666671</v>
      </c>
      <c r="G11" s="241">
        <f>(E11*F11)/360</f>
        <v>0</v>
      </c>
      <c r="J11" s="241">
        <f>(H11*I11)/360</f>
        <v>0</v>
      </c>
      <c r="M11" s="241">
        <f>(K11*L11)/360</f>
        <v>0</v>
      </c>
      <c r="P11" s="241">
        <f>(N11*O11)/360</f>
        <v>0</v>
      </c>
      <c r="S11" s="241">
        <f>(Q11*R11)/360</f>
        <v>0</v>
      </c>
      <c r="V11" s="241">
        <f>(T11*U11)/360</f>
        <v>0</v>
      </c>
      <c r="Y11" s="241">
        <f>(W11*X11)/360</f>
        <v>0</v>
      </c>
      <c r="AB11" s="241">
        <f>(Z11*AA11)/360</f>
        <v>0</v>
      </c>
      <c r="AE11" s="241">
        <v>0</v>
      </c>
      <c r="AH11" s="241">
        <v>0</v>
      </c>
      <c r="AI11" s="256">
        <f>82100000+35000000</f>
        <v>117100000</v>
      </c>
      <c r="AJ11" s="257">
        <v>4.5199999999999997E-2</v>
      </c>
      <c r="AK11" s="241">
        <f>(AI11*AJ11)/360</f>
        <v>14702.555555555555</v>
      </c>
      <c r="AL11" s="256">
        <f t="shared" ref="AL11:AL23" si="0">50000000+20000000+50000000+55000000+45000000</f>
        <v>220000000</v>
      </c>
      <c r="AM11" s="257">
        <v>4.58E-2</v>
      </c>
      <c r="AN11" s="241">
        <f>(AL11*AM11)/360</f>
        <v>27988.888888888891</v>
      </c>
      <c r="AO11" s="256"/>
      <c r="AP11" s="257"/>
      <c r="AQ11" s="241">
        <f>(AO11*AP11)/360</f>
        <v>0</v>
      </c>
      <c r="AR11" s="256"/>
      <c r="AS11" s="257"/>
      <c r="AT11" s="241">
        <f>(AR11*AS11)/360</f>
        <v>0</v>
      </c>
      <c r="AW11" s="241">
        <f>(AU11*AV11)/360</f>
        <v>0</v>
      </c>
      <c r="AZ11" s="241">
        <f>(AX11*AY11)/360</f>
        <v>0</v>
      </c>
      <c r="BC11" s="241">
        <f>(BA11*BB11)/360</f>
        <v>0</v>
      </c>
      <c r="BF11" s="241">
        <f>(BD11*BE11)/360</f>
        <v>0</v>
      </c>
      <c r="BI11" s="241">
        <f>(BG11*BH11)/360</f>
        <v>0</v>
      </c>
      <c r="BL11" s="241">
        <f>(BJ11*BK11)/360</f>
        <v>0</v>
      </c>
      <c r="BO11" s="241">
        <f>(BM11*BN11)/360</f>
        <v>0</v>
      </c>
      <c r="BR11" s="241">
        <f>(BP11*BQ11)/360</f>
        <v>0</v>
      </c>
      <c r="BU11" s="241">
        <f>(BS11*BT11)/360</f>
        <v>0</v>
      </c>
      <c r="BX11" s="241">
        <f>(BV11*BW11)/360</f>
        <v>0</v>
      </c>
      <c r="CA11" s="241">
        <f>(BY11*BZ11)/360</f>
        <v>0</v>
      </c>
      <c r="CD11" s="241">
        <f>(CB11*CC11)/360</f>
        <v>0</v>
      </c>
      <c r="CG11" s="241">
        <f>(CE11*CF11)/360</f>
        <v>0</v>
      </c>
      <c r="CJ11" s="241">
        <f>(CH11*CI11)/360</f>
        <v>0</v>
      </c>
      <c r="CM11" s="241">
        <f>(CK11*CL11)/360</f>
        <v>0</v>
      </c>
      <c r="CP11" s="241">
        <f>(CN11*CO11)/360</f>
        <v>0</v>
      </c>
      <c r="CS11" s="241">
        <f>(CQ11*CR11)/360</f>
        <v>0</v>
      </c>
      <c r="CV11" s="241">
        <f>(CT11*CU11)/360</f>
        <v>0</v>
      </c>
      <c r="CY11" s="241">
        <f>(CW11*CX11)/360</f>
        <v>0</v>
      </c>
      <c r="DB11" s="241">
        <f>(CZ11*DA11)/360</f>
        <v>0</v>
      </c>
      <c r="DE11" s="241">
        <f>(DC11*DD11)/360</f>
        <v>0</v>
      </c>
      <c r="DH11" s="241">
        <f>(DF11*DG11)/360</f>
        <v>0</v>
      </c>
      <c r="DK11" s="241">
        <f>(DI11*DJ11)/360</f>
        <v>0</v>
      </c>
      <c r="DN11" s="241">
        <f>(DL11*DM11)/360</f>
        <v>0</v>
      </c>
      <c r="DQ11" s="241">
        <f>(DO11*DP11)/360</f>
        <v>0</v>
      </c>
      <c r="DT11" s="241">
        <f>(DR11*DS11)/360</f>
        <v>0</v>
      </c>
      <c r="DW11" s="241">
        <f>(DU11*DV11)/360</f>
        <v>0</v>
      </c>
      <c r="DZ11" s="241"/>
      <c r="EA11" s="241"/>
      <c r="EB11" s="261">
        <f>B11+E11+H11+K11+N11+Q11+T11+W11+Z11+AC11+AF11+AL11+AO11+AR11+AU11+AX11+BA11+BD11+BG11+DU11+AI11+DR11+DO11+DL11+DI11+DF11+DC11+CZ11+CW11+CT11+CQ11+CN11+CK11+CH11+CE11+CB11+BY11+BV11+BS11+BP11+BM11+BJ11</f>
        <v>337800000</v>
      </c>
      <c r="EC11" s="261">
        <f>EB11-EK11+EL11</f>
        <v>700000</v>
      </c>
      <c r="ED11" s="241">
        <f>D11+G11+J11+M11+P11+S11+V11+Y11+AB11+AE11+AH11+AK11+AN11+AQ11+AT11+AW11+AZ11+BC11+BF11+BI11+DW11+DT11+DQ11+DN11+DK11+DH11+DE11+DB11+CY11+CV11+CS11+CP11+CM11+CJ11+CG11+CD11+CA11+BX11+BU11+BR11+BO11+BL11</f>
        <v>42774.861111111109</v>
      </c>
      <c r="EE11" s="242">
        <f>IF(EB11&lt;&gt;0,((ED11/EB11)*360),0)</f>
        <v>4.5585997631734751E-2</v>
      </c>
      <c r="EG11" s="261">
        <f>Q11+T11+W11+Z11+AC11+AF11</f>
        <v>0</v>
      </c>
      <c r="EH11" s="241">
        <f>S11+V11+Y11+AB11+AE11+AH11</f>
        <v>0</v>
      </c>
      <c r="EI11" s="242">
        <f>IF(EG11&lt;&gt;0,((EH11/EG11)*360),0)</f>
        <v>0</v>
      </c>
      <c r="EJ11" s="242"/>
      <c r="EK11" s="261">
        <f>DR11+DL11+DI11+DF11+DC11+CZ11+CW11+CT11+CQ11+CN11+CK11+CH11+CE11+CB11+BY11+BV11+BS11+BP11+BM11+BJ11+BG11+BD11+BA11+AX11+AU11+AR11+AO11+AL11+AI11+DO11</f>
        <v>337100000</v>
      </c>
      <c r="EL11" s="261">
        <f>DX11</f>
        <v>0</v>
      </c>
      <c r="EM11" s="261">
        <f>DT11+DQ11+DN11+DK11+DH11+DE11+DB11+CY11+CV11+CS11+CP11+CM11+CJ11+CG11+CD11+CA11+BX11+BU11+BR11+BO11+BL11+BI11+BF11+BC11+AZ11+AW11+AT11+AQ11+AN11+AK11</f>
        <v>42691.444444444445</v>
      </c>
      <c r="EN11" s="242">
        <f>IF(EK11&lt;&gt;0,((EM11/EK11)*360),0)</f>
        <v>4.5591575200237315E-2</v>
      </c>
      <c r="EP11" s="241"/>
    </row>
    <row r="12" spans="1:147" x14ac:dyDescent="0.25">
      <c r="A12" s="255">
        <f>1+A11</f>
        <v>45690</v>
      </c>
      <c r="B12" s="241">
        <v>700000</v>
      </c>
      <c r="C12" s="242">
        <v>4.2900000000000001E-2</v>
      </c>
      <c r="D12" s="241">
        <f t="shared" ref="D12:D38" si="1">(B12*C12)/360</f>
        <v>83.416666666666671</v>
      </c>
      <c r="G12" s="241">
        <f t="shared" ref="G12:G38" si="2">(E12*F12)/360</f>
        <v>0</v>
      </c>
      <c r="J12" s="241">
        <f t="shared" ref="J12:J38" si="3">(H12*I12)/360</f>
        <v>0</v>
      </c>
      <c r="M12" s="241">
        <f t="shared" ref="M12:M38" si="4">(K12*L12)/360</f>
        <v>0</v>
      </c>
      <c r="P12" s="241">
        <f t="shared" ref="P12:P38" si="5">(N12*O12)/360</f>
        <v>0</v>
      </c>
      <c r="S12" s="241">
        <f t="shared" ref="S12:S38" si="6">(Q12*R12)/360</f>
        <v>0</v>
      </c>
      <c r="V12" s="241">
        <f t="shared" ref="V12:V38" si="7">(T12*U12)/360</f>
        <v>0</v>
      </c>
      <c r="Y12" s="241">
        <f t="shared" ref="Y12:Y38" si="8">(W12*X12)/360</f>
        <v>0</v>
      </c>
      <c r="AB12" s="241">
        <f t="shared" ref="AB12:AB38" si="9">(Z12*AA12)/360</f>
        <v>0</v>
      </c>
      <c r="AE12" s="241">
        <v>0</v>
      </c>
      <c r="AH12" s="241">
        <v>0</v>
      </c>
      <c r="AI12" s="256">
        <f>82100000+35000000</f>
        <v>117100000</v>
      </c>
      <c r="AJ12" s="257">
        <v>4.5199999999999997E-2</v>
      </c>
      <c r="AK12" s="241">
        <f t="shared" ref="AK12:AK38" si="10">(AI12*AJ12)/360</f>
        <v>14702.555555555555</v>
      </c>
      <c r="AL12" s="256">
        <f t="shared" si="0"/>
        <v>220000000</v>
      </c>
      <c r="AM12" s="257">
        <v>4.58E-2</v>
      </c>
      <c r="AN12" s="241">
        <f t="shared" ref="AN12:AN38" si="11">(AL12*AM12)/360</f>
        <v>27988.888888888891</v>
      </c>
      <c r="AO12" s="256"/>
      <c r="AP12" s="257"/>
      <c r="AQ12" s="241">
        <f t="shared" ref="AQ12:AQ38" si="12">(AO12*AP12)/360</f>
        <v>0</v>
      </c>
      <c r="AR12" s="256"/>
      <c r="AS12" s="257"/>
      <c r="AT12" s="241">
        <f t="shared" ref="AT12:AT38" si="13">(AR12*AS12)/360</f>
        <v>0</v>
      </c>
      <c r="AW12" s="241">
        <f t="shared" ref="AW12:AW38" si="14">(AU12*AV12)/360</f>
        <v>0</v>
      </c>
      <c r="AZ12" s="241">
        <f t="shared" ref="AZ12:AZ38" si="15">(AX12*AY12)/360</f>
        <v>0</v>
      </c>
      <c r="BC12" s="241">
        <f t="shared" ref="BC12:BC38" si="16">(BA12*BB12)/360</f>
        <v>0</v>
      </c>
      <c r="BF12" s="241">
        <f t="shared" ref="BF12:BF38" si="17">(BD12*BE12)/360</f>
        <v>0</v>
      </c>
      <c r="BI12" s="241">
        <f t="shared" ref="BI12:BI38" si="18">(BG12*BH12)/360</f>
        <v>0</v>
      </c>
      <c r="BL12" s="241">
        <f t="shared" ref="BL12:BL38" si="19">(BJ12*BK12)/360</f>
        <v>0</v>
      </c>
      <c r="BO12" s="241">
        <f t="shared" ref="BO12:BO38" si="20">(BM12*BN12)/360</f>
        <v>0</v>
      </c>
      <c r="BR12" s="241">
        <f t="shared" ref="BR12:BR38" si="21">(BP12*BQ12)/360</f>
        <v>0</v>
      </c>
      <c r="BU12" s="241">
        <f t="shared" ref="BU12:BU38" si="22">(BS12*BT12)/360</f>
        <v>0</v>
      </c>
      <c r="BX12" s="241">
        <f t="shared" ref="BX12:BX38" si="23">(BV12*BW12)/360</f>
        <v>0</v>
      </c>
      <c r="CA12" s="241">
        <f t="shared" ref="CA12:CA38" si="24">(BY12*BZ12)/360</f>
        <v>0</v>
      </c>
      <c r="CD12" s="241">
        <f t="shared" ref="CD12:CD38" si="25">(CB12*CC12)/360</f>
        <v>0</v>
      </c>
      <c r="CG12" s="241">
        <f t="shared" ref="CG12:CG38" si="26">(CE12*CF12)/360</f>
        <v>0</v>
      </c>
      <c r="CJ12" s="241">
        <f t="shared" ref="CJ12:CJ38" si="27">(CH12*CI12)/360</f>
        <v>0</v>
      </c>
      <c r="CM12" s="241">
        <f t="shared" ref="CM12:CM38" si="28">(CK12*CL12)/360</f>
        <v>0</v>
      </c>
      <c r="CP12" s="241">
        <f t="shared" ref="CP12:CP38" si="29">(CN12*CO12)/360</f>
        <v>0</v>
      </c>
      <c r="CS12" s="241">
        <f t="shared" ref="CS12:CS38" si="30">(CQ12*CR12)/360</f>
        <v>0</v>
      </c>
      <c r="CV12" s="241">
        <f t="shared" ref="CV12:CV38" si="31">(CT12*CU12)/360</f>
        <v>0</v>
      </c>
      <c r="CY12" s="241">
        <f t="shared" ref="CY12:CY38" si="32">(CW12*CX12)/360</f>
        <v>0</v>
      </c>
      <c r="DB12" s="241">
        <f t="shared" ref="DB12:DB38" si="33">(CZ12*DA12)/360</f>
        <v>0</v>
      </c>
      <c r="DE12" s="241">
        <f t="shared" ref="DE12:DE38" si="34">(DC12*DD12)/360</f>
        <v>0</v>
      </c>
      <c r="DH12" s="241">
        <f t="shared" ref="DH12:DH38" si="35">(DF12*DG12)/360</f>
        <v>0</v>
      </c>
      <c r="DK12" s="241">
        <f t="shared" ref="DK12:DK38" si="36">(DI12*DJ12)/360</f>
        <v>0</v>
      </c>
      <c r="DN12" s="241">
        <f t="shared" ref="DN12:DN38" si="37">(DL12*DM12)/360</f>
        <v>0</v>
      </c>
      <c r="DQ12" s="241">
        <f t="shared" ref="DQ12:DQ38" si="38">(DO12*DP12)/360</f>
        <v>0</v>
      </c>
      <c r="DT12" s="241">
        <f t="shared" ref="DT12:DT38" si="39">(DR12*DS12)/360</f>
        <v>0</v>
      </c>
      <c r="DW12" s="241">
        <f t="shared" ref="DW12:DW38" si="40">(DU12*DV12)/360</f>
        <v>0</v>
      </c>
      <c r="DZ12" s="241"/>
      <c r="EA12" s="241"/>
      <c r="EB12" s="261">
        <f t="shared" ref="EB12:EB38" si="41">B12+E12+H12+K12+N12+Q12+T12+W12+Z12+AC12+AF12+AL12+AO12+AR12+AU12+AX12+BA12+BD12+BG12+DU12+AI12+DR12+DO12+DL12+DI12+DF12+DC12+CZ12+CW12+CT12+CQ12+CN12+CK12+CH12+CE12+CB12+BY12+BV12+BS12+BP12+BM12+BJ12</f>
        <v>337800000</v>
      </c>
      <c r="EC12" s="261">
        <f t="shared" ref="EC12:EC38" si="42">EB12-EK12+EL12</f>
        <v>700000</v>
      </c>
      <c r="ED12" s="241">
        <f t="shared" ref="ED12:ED38" si="43">D12+G12+J12+M12+P12+S12+V12+Y12+AB12+AE12+AH12+AK12+AN12+AQ12+AT12+AW12+AZ12+BC12+BF12+BI12+DW12+DT12+DQ12+DN12+DK12+DH12+DE12+DB12+CY12+CV12+CS12+CP12+CM12+CJ12+CG12+CD12+CA12+BX12+BU12+BR12+BO12+BL12</f>
        <v>42774.861111111109</v>
      </c>
      <c r="EE12" s="242">
        <f t="shared" ref="EE12:EE38" si="44">IF(EB12&lt;&gt;0,((ED12/EB12)*360),0)</f>
        <v>4.5585997631734751E-2</v>
      </c>
      <c r="EG12" s="261">
        <f t="shared" ref="EG12:EG38" si="45">Q12+T12+W12+Z12+AC12+AF12</f>
        <v>0</v>
      </c>
      <c r="EH12" s="241">
        <f t="shared" ref="EH12:EH38" si="46">S12+V12+Y12+AB12+AE12+AH12</f>
        <v>0</v>
      </c>
      <c r="EI12" s="242">
        <f t="shared" ref="EI12:EI38" si="47">IF(EG12&lt;&gt;0,((EH12/EG12)*360),0)</f>
        <v>0</v>
      </c>
      <c r="EJ12" s="242"/>
      <c r="EK12" s="261">
        <f t="shared" ref="EK12:EK38" si="48">DR12+DL12+DI12+DF12+DC12+CZ12+CW12+CT12+CQ12+CN12+CK12+CH12+CE12+CB12+BY12+BV12+BS12+BP12+BM12+BJ12+BG12+BD12+BA12+AX12+AU12+AR12+AO12+AL12+AI12+DO12</f>
        <v>337100000</v>
      </c>
      <c r="EL12" s="261">
        <f t="shared" ref="EL12:EL38" si="49">DX12</f>
        <v>0</v>
      </c>
      <c r="EM12" s="261">
        <f t="shared" ref="EM12:EM38" si="50">DT12+DQ12+DN12+DK12+DH12+DE12+DB12+CY12+CV12+CS12+CP12+CM12+CJ12+CG12+CD12+CA12+BX12+BU12+BR12+BO12+BL12+BI12+BF12+BC12+AZ12+AW12+AT12+AQ12+AN12+AK12</f>
        <v>42691.444444444445</v>
      </c>
      <c r="EN12" s="242">
        <f t="shared" ref="EN12:EN38" si="51">IF(EK12&lt;&gt;0,((EM12/EK12)*360),0)</f>
        <v>4.5591575200237315E-2</v>
      </c>
      <c r="EP12" s="241"/>
    </row>
    <row r="13" spans="1:147" x14ac:dyDescent="0.25">
      <c r="A13" s="255">
        <f t="shared" ref="A13:A38" si="52">1+A12</f>
        <v>45691</v>
      </c>
      <c r="B13" s="241">
        <v>0</v>
      </c>
      <c r="C13" s="242">
        <v>4.6083980000000004E-2</v>
      </c>
      <c r="D13" s="241">
        <f t="shared" si="1"/>
        <v>0</v>
      </c>
      <c r="G13" s="241">
        <f t="shared" si="2"/>
        <v>0</v>
      </c>
      <c r="J13" s="241">
        <f t="shared" si="3"/>
        <v>0</v>
      </c>
      <c r="M13" s="241">
        <f t="shared" si="4"/>
        <v>0</v>
      </c>
      <c r="P13" s="241">
        <f t="shared" si="5"/>
        <v>0</v>
      </c>
      <c r="S13" s="241">
        <f t="shared" si="6"/>
        <v>0</v>
      </c>
      <c r="V13" s="241">
        <f t="shared" si="7"/>
        <v>0</v>
      </c>
      <c r="Y13" s="241">
        <f t="shared" si="8"/>
        <v>0</v>
      </c>
      <c r="AB13" s="241">
        <f t="shared" si="9"/>
        <v>0</v>
      </c>
      <c r="AE13" s="241">
        <v>0</v>
      </c>
      <c r="AH13" s="241">
        <v>0</v>
      </c>
      <c r="AI13" s="256">
        <f>20275000+75000000</f>
        <v>95275000</v>
      </c>
      <c r="AJ13" s="257">
        <v>4.5199999999999997E-2</v>
      </c>
      <c r="AK13" s="241">
        <f t="shared" si="10"/>
        <v>11962.305555555555</v>
      </c>
      <c r="AL13" s="256">
        <f t="shared" si="0"/>
        <v>220000000</v>
      </c>
      <c r="AM13" s="257">
        <v>4.58E-2</v>
      </c>
      <c r="AN13" s="241">
        <f t="shared" si="11"/>
        <v>27988.888888888891</v>
      </c>
      <c r="AO13" s="256">
        <f t="shared" ref="AO13:AO29" si="53">35000000</f>
        <v>35000000</v>
      </c>
      <c r="AP13" s="257">
        <v>4.58E-2</v>
      </c>
      <c r="AQ13" s="241">
        <f t="shared" si="12"/>
        <v>4452.7777777777774</v>
      </c>
      <c r="AR13" s="256"/>
      <c r="AS13" s="257"/>
      <c r="AT13" s="241">
        <f t="shared" si="13"/>
        <v>0</v>
      </c>
      <c r="AW13" s="241">
        <f t="shared" si="14"/>
        <v>0</v>
      </c>
      <c r="AZ13" s="241">
        <f t="shared" si="15"/>
        <v>0</v>
      </c>
      <c r="BC13" s="241">
        <f t="shared" si="16"/>
        <v>0</v>
      </c>
      <c r="BF13" s="241">
        <f t="shared" si="17"/>
        <v>0</v>
      </c>
      <c r="BI13" s="241">
        <f t="shared" si="18"/>
        <v>0</v>
      </c>
      <c r="BL13" s="241">
        <f t="shared" si="19"/>
        <v>0</v>
      </c>
      <c r="BO13" s="241">
        <f t="shared" si="20"/>
        <v>0</v>
      </c>
      <c r="BR13" s="241">
        <f t="shared" si="21"/>
        <v>0</v>
      </c>
      <c r="BU13" s="241">
        <f t="shared" si="22"/>
        <v>0</v>
      </c>
      <c r="BX13" s="241">
        <f t="shared" si="23"/>
        <v>0</v>
      </c>
      <c r="CA13" s="241">
        <f t="shared" si="24"/>
        <v>0</v>
      </c>
      <c r="CD13" s="241">
        <f t="shared" si="25"/>
        <v>0</v>
      </c>
      <c r="CG13" s="241">
        <f t="shared" si="26"/>
        <v>0</v>
      </c>
      <c r="CJ13" s="241">
        <f t="shared" si="27"/>
        <v>0</v>
      </c>
      <c r="CM13" s="241">
        <f t="shared" si="28"/>
        <v>0</v>
      </c>
      <c r="CP13" s="241">
        <f t="shared" si="29"/>
        <v>0</v>
      </c>
      <c r="CS13" s="241">
        <f t="shared" si="30"/>
        <v>0</v>
      </c>
      <c r="CV13" s="241">
        <f t="shared" si="31"/>
        <v>0</v>
      </c>
      <c r="CY13" s="241">
        <f t="shared" si="32"/>
        <v>0</v>
      </c>
      <c r="DB13" s="241">
        <f t="shared" si="33"/>
        <v>0</v>
      </c>
      <c r="DE13" s="241">
        <f t="shared" si="34"/>
        <v>0</v>
      </c>
      <c r="DH13" s="241">
        <f t="shared" si="35"/>
        <v>0</v>
      </c>
      <c r="DK13" s="241">
        <f t="shared" si="36"/>
        <v>0</v>
      </c>
      <c r="DN13" s="241">
        <f t="shared" si="37"/>
        <v>0</v>
      </c>
      <c r="DQ13" s="241">
        <f t="shared" si="38"/>
        <v>0</v>
      </c>
      <c r="DT13" s="241">
        <f t="shared" si="39"/>
        <v>0</v>
      </c>
      <c r="DW13" s="241">
        <f t="shared" si="40"/>
        <v>0</v>
      </c>
      <c r="DZ13" s="241"/>
      <c r="EA13" s="241"/>
      <c r="EB13" s="261">
        <f t="shared" si="41"/>
        <v>350275000</v>
      </c>
      <c r="EC13" s="261">
        <f t="shared" si="42"/>
        <v>0</v>
      </c>
      <c r="ED13" s="241">
        <f t="shared" si="43"/>
        <v>44403.972222222219</v>
      </c>
      <c r="EE13" s="242">
        <f t="shared" si="44"/>
        <v>4.5636799657412026E-2</v>
      </c>
      <c r="EG13" s="261">
        <f t="shared" si="45"/>
        <v>0</v>
      </c>
      <c r="EH13" s="241">
        <f t="shared" si="46"/>
        <v>0</v>
      </c>
      <c r="EI13" s="242">
        <f t="shared" si="47"/>
        <v>0</v>
      </c>
      <c r="EJ13" s="242"/>
      <c r="EK13" s="261">
        <f t="shared" si="48"/>
        <v>350275000</v>
      </c>
      <c r="EL13" s="261">
        <f t="shared" si="49"/>
        <v>0</v>
      </c>
      <c r="EM13" s="261">
        <f t="shared" si="50"/>
        <v>44403.972222222219</v>
      </c>
      <c r="EN13" s="242">
        <f t="shared" si="51"/>
        <v>4.5636799657412026E-2</v>
      </c>
      <c r="EP13" s="241"/>
    </row>
    <row r="14" spans="1:147" x14ac:dyDescent="0.25">
      <c r="A14" s="255">
        <f t="shared" si="52"/>
        <v>45692</v>
      </c>
      <c r="B14" s="241">
        <v>0</v>
      </c>
      <c r="C14" s="242">
        <v>4.6091149999999997E-2</v>
      </c>
      <c r="D14" s="241">
        <f t="shared" si="1"/>
        <v>0</v>
      </c>
      <c r="G14" s="241">
        <f t="shared" si="2"/>
        <v>0</v>
      </c>
      <c r="J14" s="241">
        <f t="shared" si="3"/>
        <v>0</v>
      </c>
      <c r="M14" s="241">
        <f t="shared" si="4"/>
        <v>0</v>
      </c>
      <c r="P14" s="241">
        <f t="shared" si="5"/>
        <v>0</v>
      </c>
      <c r="S14" s="241">
        <f t="shared" si="6"/>
        <v>0</v>
      </c>
      <c r="V14" s="241">
        <f t="shared" si="7"/>
        <v>0</v>
      </c>
      <c r="Y14" s="241">
        <f t="shared" si="8"/>
        <v>0</v>
      </c>
      <c r="AB14" s="241">
        <f t="shared" si="9"/>
        <v>0</v>
      </c>
      <c r="AE14" s="241">
        <v>0</v>
      </c>
      <c r="AH14" s="241">
        <v>0</v>
      </c>
      <c r="AI14" s="256">
        <f>50000000+47900000</f>
        <v>97900000</v>
      </c>
      <c r="AJ14" s="257">
        <v>4.5199999999999997E-2</v>
      </c>
      <c r="AK14" s="241">
        <f t="shared" si="10"/>
        <v>12291.888888888889</v>
      </c>
      <c r="AL14" s="256">
        <f t="shared" si="0"/>
        <v>220000000</v>
      </c>
      <c r="AM14" s="257">
        <v>4.58E-2</v>
      </c>
      <c r="AN14" s="241">
        <f t="shared" si="11"/>
        <v>27988.888888888891</v>
      </c>
      <c r="AO14" s="256">
        <f t="shared" si="53"/>
        <v>35000000</v>
      </c>
      <c r="AP14" s="257">
        <v>4.58E-2</v>
      </c>
      <c r="AQ14" s="241">
        <f t="shared" si="12"/>
        <v>4452.7777777777774</v>
      </c>
      <c r="AR14" s="256"/>
      <c r="AS14" s="257"/>
      <c r="AT14" s="241">
        <f t="shared" si="13"/>
        <v>0</v>
      </c>
      <c r="AW14" s="241">
        <f t="shared" si="14"/>
        <v>0</v>
      </c>
      <c r="AZ14" s="241">
        <f t="shared" si="15"/>
        <v>0</v>
      </c>
      <c r="BC14" s="241">
        <f t="shared" si="16"/>
        <v>0</v>
      </c>
      <c r="BF14" s="241">
        <f t="shared" si="17"/>
        <v>0</v>
      </c>
      <c r="BI14" s="241">
        <f t="shared" si="18"/>
        <v>0</v>
      </c>
      <c r="BL14" s="241">
        <f t="shared" si="19"/>
        <v>0</v>
      </c>
      <c r="BO14" s="241">
        <f t="shared" si="20"/>
        <v>0</v>
      </c>
      <c r="BR14" s="241">
        <f t="shared" si="21"/>
        <v>0</v>
      </c>
      <c r="BU14" s="241">
        <f t="shared" si="22"/>
        <v>0</v>
      </c>
      <c r="BX14" s="241">
        <f t="shared" si="23"/>
        <v>0</v>
      </c>
      <c r="CA14" s="241">
        <f t="shared" si="24"/>
        <v>0</v>
      </c>
      <c r="CD14" s="241">
        <f t="shared" si="25"/>
        <v>0</v>
      </c>
      <c r="CG14" s="241">
        <f t="shared" si="26"/>
        <v>0</v>
      </c>
      <c r="CJ14" s="241">
        <f t="shared" si="27"/>
        <v>0</v>
      </c>
      <c r="CM14" s="241">
        <f t="shared" si="28"/>
        <v>0</v>
      </c>
      <c r="CP14" s="241">
        <f t="shared" si="29"/>
        <v>0</v>
      </c>
      <c r="CS14" s="241">
        <f t="shared" si="30"/>
        <v>0</v>
      </c>
      <c r="CV14" s="241">
        <f t="shared" si="31"/>
        <v>0</v>
      </c>
      <c r="CY14" s="241">
        <f t="shared" si="32"/>
        <v>0</v>
      </c>
      <c r="DB14" s="241">
        <f t="shared" si="33"/>
        <v>0</v>
      </c>
      <c r="DE14" s="241">
        <f t="shared" si="34"/>
        <v>0</v>
      </c>
      <c r="DH14" s="241">
        <f t="shared" si="35"/>
        <v>0</v>
      </c>
      <c r="DK14" s="241">
        <f t="shared" si="36"/>
        <v>0</v>
      </c>
      <c r="DN14" s="241">
        <f t="shared" si="37"/>
        <v>0</v>
      </c>
      <c r="DQ14" s="241">
        <f t="shared" si="38"/>
        <v>0</v>
      </c>
      <c r="DT14" s="241">
        <f t="shared" si="39"/>
        <v>0</v>
      </c>
      <c r="DW14" s="241">
        <f t="shared" si="40"/>
        <v>0</v>
      </c>
      <c r="DZ14" s="241"/>
      <c r="EA14" s="241"/>
      <c r="EB14" s="261">
        <f t="shared" si="41"/>
        <v>352900000</v>
      </c>
      <c r="EC14" s="261">
        <f t="shared" si="42"/>
        <v>0</v>
      </c>
      <c r="ED14" s="241">
        <f t="shared" si="43"/>
        <v>44733.555555555562</v>
      </c>
      <c r="EE14" s="242">
        <f t="shared" si="44"/>
        <v>4.5633550580901114E-2</v>
      </c>
      <c r="EG14" s="261">
        <f t="shared" si="45"/>
        <v>0</v>
      </c>
      <c r="EH14" s="241">
        <f t="shared" si="46"/>
        <v>0</v>
      </c>
      <c r="EI14" s="242">
        <f t="shared" si="47"/>
        <v>0</v>
      </c>
      <c r="EJ14" s="242"/>
      <c r="EK14" s="261">
        <f t="shared" si="48"/>
        <v>352900000</v>
      </c>
      <c r="EL14" s="261">
        <f t="shared" si="49"/>
        <v>0</v>
      </c>
      <c r="EM14" s="261">
        <f t="shared" si="50"/>
        <v>44733.555555555555</v>
      </c>
      <c r="EN14" s="242">
        <f t="shared" si="51"/>
        <v>4.5633550580901107E-2</v>
      </c>
      <c r="EP14" s="241"/>
    </row>
    <row r="15" spans="1:147" x14ac:dyDescent="0.25">
      <c r="A15" s="255">
        <f t="shared" si="52"/>
        <v>45693</v>
      </c>
      <c r="B15" s="241">
        <v>0</v>
      </c>
      <c r="C15" s="242">
        <v>4.6071819999999999E-2</v>
      </c>
      <c r="D15" s="241">
        <f t="shared" si="1"/>
        <v>0</v>
      </c>
      <c r="G15" s="241">
        <f t="shared" si="2"/>
        <v>0</v>
      </c>
      <c r="J15" s="241">
        <f t="shared" si="3"/>
        <v>0</v>
      </c>
      <c r="M15" s="241">
        <f t="shared" si="4"/>
        <v>0</v>
      </c>
      <c r="P15" s="241">
        <f t="shared" si="5"/>
        <v>0</v>
      </c>
      <c r="S15" s="241">
        <f t="shared" si="6"/>
        <v>0</v>
      </c>
      <c r="V15" s="241">
        <f t="shared" si="7"/>
        <v>0</v>
      </c>
      <c r="Y15" s="241">
        <f t="shared" si="8"/>
        <v>0</v>
      </c>
      <c r="AB15" s="241">
        <f t="shared" si="9"/>
        <v>0</v>
      </c>
      <c r="AE15" s="241">
        <v>0</v>
      </c>
      <c r="AH15" s="241">
        <v>0</v>
      </c>
      <c r="AI15" s="256">
        <f>65000000+32200000</f>
        <v>97200000</v>
      </c>
      <c r="AJ15" s="257">
        <v>4.5199999999999997E-2</v>
      </c>
      <c r="AK15" s="241">
        <f t="shared" si="10"/>
        <v>12204</v>
      </c>
      <c r="AL15" s="256">
        <f t="shared" si="0"/>
        <v>220000000</v>
      </c>
      <c r="AM15" s="257">
        <v>4.58E-2</v>
      </c>
      <c r="AN15" s="241">
        <f t="shared" si="11"/>
        <v>27988.888888888891</v>
      </c>
      <c r="AO15" s="256">
        <f t="shared" si="53"/>
        <v>35000000</v>
      </c>
      <c r="AP15" s="257">
        <v>4.58E-2</v>
      </c>
      <c r="AQ15" s="241">
        <f t="shared" si="12"/>
        <v>4452.7777777777774</v>
      </c>
      <c r="AR15" s="256"/>
      <c r="AS15" s="257"/>
      <c r="AT15" s="241">
        <f t="shared" si="13"/>
        <v>0</v>
      </c>
      <c r="AW15" s="241">
        <f t="shared" si="14"/>
        <v>0</v>
      </c>
      <c r="AZ15" s="241">
        <f t="shared" si="15"/>
        <v>0</v>
      </c>
      <c r="BC15" s="241">
        <f t="shared" si="16"/>
        <v>0</v>
      </c>
      <c r="BF15" s="241">
        <f t="shared" si="17"/>
        <v>0</v>
      </c>
      <c r="BI15" s="241">
        <f t="shared" si="18"/>
        <v>0</v>
      </c>
      <c r="BL15" s="241">
        <f t="shared" si="19"/>
        <v>0</v>
      </c>
      <c r="BO15" s="241">
        <f t="shared" si="20"/>
        <v>0</v>
      </c>
      <c r="BR15" s="241">
        <f t="shared" si="21"/>
        <v>0</v>
      </c>
      <c r="BU15" s="241">
        <f t="shared" si="22"/>
        <v>0</v>
      </c>
      <c r="BX15" s="241">
        <f t="shared" si="23"/>
        <v>0</v>
      </c>
      <c r="CA15" s="241">
        <f t="shared" si="24"/>
        <v>0</v>
      </c>
      <c r="CD15" s="241">
        <f t="shared" si="25"/>
        <v>0</v>
      </c>
      <c r="CG15" s="241">
        <f t="shared" si="26"/>
        <v>0</v>
      </c>
      <c r="CJ15" s="241">
        <f t="shared" si="27"/>
        <v>0</v>
      </c>
      <c r="CM15" s="241">
        <f t="shared" si="28"/>
        <v>0</v>
      </c>
      <c r="CP15" s="241">
        <f t="shared" si="29"/>
        <v>0</v>
      </c>
      <c r="CS15" s="241">
        <f t="shared" si="30"/>
        <v>0</v>
      </c>
      <c r="CV15" s="241">
        <f t="shared" si="31"/>
        <v>0</v>
      </c>
      <c r="CY15" s="241">
        <f t="shared" si="32"/>
        <v>0</v>
      </c>
      <c r="DB15" s="241">
        <f t="shared" si="33"/>
        <v>0</v>
      </c>
      <c r="DE15" s="241">
        <f t="shared" si="34"/>
        <v>0</v>
      </c>
      <c r="DH15" s="241">
        <f t="shared" si="35"/>
        <v>0</v>
      </c>
      <c r="DK15" s="241">
        <f t="shared" si="36"/>
        <v>0</v>
      </c>
      <c r="DN15" s="241">
        <f t="shared" si="37"/>
        <v>0</v>
      </c>
      <c r="DQ15" s="241">
        <f t="shared" si="38"/>
        <v>0</v>
      </c>
      <c r="DT15" s="241">
        <f t="shared" si="39"/>
        <v>0</v>
      </c>
      <c r="DW15" s="241">
        <f t="shared" si="40"/>
        <v>0</v>
      </c>
      <c r="DZ15" s="241"/>
      <c r="EA15" s="241"/>
      <c r="EB15" s="261">
        <f t="shared" si="41"/>
        <v>352200000</v>
      </c>
      <c r="EC15" s="261">
        <f t="shared" si="42"/>
        <v>0</v>
      </c>
      <c r="ED15" s="241">
        <f t="shared" si="43"/>
        <v>44645.666666666672</v>
      </c>
      <c r="EE15" s="242">
        <f t="shared" si="44"/>
        <v>4.5634412265758095E-2</v>
      </c>
      <c r="EG15" s="261">
        <f t="shared" si="45"/>
        <v>0</v>
      </c>
      <c r="EH15" s="241">
        <f t="shared" si="46"/>
        <v>0</v>
      </c>
      <c r="EI15" s="242">
        <f t="shared" si="47"/>
        <v>0</v>
      </c>
      <c r="EJ15" s="242"/>
      <c r="EK15" s="261">
        <f t="shared" si="48"/>
        <v>352200000</v>
      </c>
      <c r="EL15" s="261">
        <f t="shared" si="49"/>
        <v>0</v>
      </c>
      <c r="EM15" s="261">
        <f t="shared" si="50"/>
        <v>44645.666666666672</v>
      </c>
      <c r="EN15" s="242">
        <f t="shared" si="51"/>
        <v>4.5634412265758095E-2</v>
      </c>
      <c r="EP15" s="241"/>
    </row>
    <row r="16" spans="1:147" x14ac:dyDescent="0.25">
      <c r="A16" s="255">
        <f t="shared" si="52"/>
        <v>45694</v>
      </c>
      <c r="B16" s="241">
        <v>0</v>
      </c>
      <c r="C16" s="242">
        <v>4.6105460000000001E-2</v>
      </c>
      <c r="D16" s="241">
        <f t="shared" si="1"/>
        <v>0</v>
      </c>
      <c r="G16" s="241">
        <f t="shared" si="2"/>
        <v>0</v>
      </c>
      <c r="J16" s="241">
        <f t="shared" si="3"/>
        <v>0</v>
      </c>
      <c r="M16" s="241">
        <f t="shared" si="4"/>
        <v>0</v>
      </c>
      <c r="P16" s="241">
        <f t="shared" si="5"/>
        <v>0</v>
      </c>
      <c r="S16" s="241">
        <f t="shared" si="6"/>
        <v>0</v>
      </c>
      <c r="V16" s="241">
        <f t="shared" si="7"/>
        <v>0</v>
      </c>
      <c r="Y16" s="241">
        <f t="shared" si="8"/>
        <v>0</v>
      </c>
      <c r="AB16" s="241">
        <f t="shared" si="9"/>
        <v>0</v>
      </c>
      <c r="AE16" s="241">
        <v>0</v>
      </c>
      <c r="AH16" s="241">
        <v>0</v>
      </c>
      <c r="AI16" s="256">
        <f>30025000+65000000</f>
        <v>95025000</v>
      </c>
      <c r="AJ16" s="257">
        <v>4.5199999999999997E-2</v>
      </c>
      <c r="AK16" s="241">
        <f t="shared" si="10"/>
        <v>11930.916666666666</v>
      </c>
      <c r="AL16" s="256">
        <f t="shared" si="0"/>
        <v>220000000</v>
      </c>
      <c r="AM16" s="257">
        <v>4.58E-2</v>
      </c>
      <c r="AN16" s="241">
        <f t="shared" si="11"/>
        <v>27988.888888888891</v>
      </c>
      <c r="AO16" s="256">
        <f t="shared" si="53"/>
        <v>35000000</v>
      </c>
      <c r="AP16" s="257">
        <v>4.58E-2</v>
      </c>
      <c r="AQ16" s="241">
        <f t="shared" si="12"/>
        <v>4452.7777777777774</v>
      </c>
      <c r="AR16" s="256"/>
      <c r="AS16" s="257"/>
      <c r="AT16" s="241">
        <f t="shared" si="13"/>
        <v>0</v>
      </c>
      <c r="AW16" s="241">
        <f t="shared" si="14"/>
        <v>0</v>
      </c>
      <c r="AZ16" s="241">
        <f t="shared" si="15"/>
        <v>0</v>
      </c>
      <c r="BC16" s="241">
        <f t="shared" si="16"/>
        <v>0</v>
      </c>
      <c r="BF16" s="241">
        <f t="shared" si="17"/>
        <v>0</v>
      </c>
      <c r="BI16" s="241">
        <f t="shared" si="18"/>
        <v>0</v>
      </c>
      <c r="BL16" s="241">
        <f t="shared" si="19"/>
        <v>0</v>
      </c>
      <c r="BO16" s="241">
        <f t="shared" si="20"/>
        <v>0</v>
      </c>
      <c r="BR16" s="241">
        <f t="shared" si="21"/>
        <v>0</v>
      </c>
      <c r="BU16" s="241">
        <f t="shared" si="22"/>
        <v>0</v>
      </c>
      <c r="BX16" s="241">
        <f t="shared" si="23"/>
        <v>0</v>
      </c>
      <c r="CA16" s="241">
        <f t="shared" si="24"/>
        <v>0</v>
      </c>
      <c r="CD16" s="241">
        <f t="shared" si="25"/>
        <v>0</v>
      </c>
      <c r="CG16" s="241">
        <f t="shared" si="26"/>
        <v>0</v>
      </c>
      <c r="CJ16" s="241">
        <f t="shared" si="27"/>
        <v>0</v>
      </c>
      <c r="CM16" s="241">
        <f t="shared" si="28"/>
        <v>0</v>
      </c>
      <c r="CP16" s="241">
        <f t="shared" si="29"/>
        <v>0</v>
      </c>
      <c r="CS16" s="241">
        <f t="shared" si="30"/>
        <v>0</v>
      </c>
      <c r="CV16" s="241">
        <f t="shared" si="31"/>
        <v>0</v>
      </c>
      <c r="CY16" s="241">
        <f t="shared" si="32"/>
        <v>0</v>
      </c>
      <c r="DB16" s="241">
        <f t="shared" si="33"/>
        <v>0</v>
      </c>
      <c r="DE16" s="241">
        <f t="shared" si="34"/>
        <v>0</v>
      </c>
      <c r="DH16" s="241">
        <f t="shared" si="35"/>
        <v>0</v>
      </c>
      <c r="DK16" s="241">
        <f t="shared" si="36"/>
        <v>0</v>
      </c>
      <c r="DN16" s="241">
        <f t="shared" si="37"/>
        <v>0</v>
      </c>
      <c r="DQ16" s="241">
        <f t="shared" si="38"/>
        <v>0</v>
      </c>
      <c r="DT16" s="241">
        <f t="shared" si="39"/>
        <v>0</v>
      </c>
      <c r="DW16" s="241">
        <f t="shared" si="40"/>
        <v>0</v>
      </c>
      <c r="DZ16" s="241"/>
      <c r="EA16" s="241"/>
      <c r="EB16" s="261">
        <f t="shared" si="41"/>
        <v>350025000</v>
      </c>
      <c r="EC16" s="261">
        <f t="shared" si="42"/>
        <v>0</v>
      </c>
      <c r="ED16" s="241">
        <f t="shared" si="43"/>
        <v>44372.583333333328</v>
      </c>
      <c r="EE16" s="242">
        <f t="shared" si="44"/>
        <v>4.5637111634883216E-2</v>
      </c>
      <c r="EG16" s="261">
        <f t="shared" si="45"/>
        <v>0</v>
      </c>
      <c r="EH16" s="241">
        <f t="shared" si="46"/>
        <v>0</v>
      </c>
      <c r="EI16" s="242">
        <f t="shared" si="47"/>
        <v>0</v>
      </c>
      <c r="EJ16" s="242"/>
      <c r="EK16" s="261">
        <f t="shared" si="48"/>
        <v>350025000</v>
      </c>
      <c r="EL16" s="261">
        <f t="shared" si="49"/>
        <v>0</v>
      </c>
      <c r="EM16" s="261">
        <f t="shared" si="50"/>
        <v>44372.583333333336</v>
      </c>
      <c r="EN16" s="242">
        <f t="shared" si="51"/>
        <v>4.5637111634883223E-2</v>
      </c>
      <c r="EP16" s="241"/>
    </row>
    <row r="17" spans="1:146" x14ac:dyDescent="0.25">
      <c r="A17" s="255">
        <f t="shared" si="52"/>
        <v>45695</v>
      </c>
      <c r="B17" s="241">
        <v>50000</v>
      </c>
      <c r="C17" s="242">
        <v>4.5957920000000006E-2</v>
      </c>
      <c r="D17" s="241">
        <f t="shared" si="1"/>
        <v>6.3830444444444447</v>
      </c>
      <c r="G17" s="241">
        <f t="shared" si="2"/>
        <v>0</v>
      </c>
      <c r="J17" s="241">
        <f t="shared" si="3"/>
        <v>0</v>
      </c>
      <c r="M17" s="241">
        <f t="shared" si="4"/>
        <v>0</v>
      </c>
      <c r="P17" s="241">
        <f t="shared" si="5"/>
        <v>0</v>
      </c>
      <c r="S17" s="241">
        <f t="shared" si="6"/>
        <v>0</v>
      </c>
      <c r="V17" s="241">
        <f t="shared" si="7"/>
        <v>0</v>
      </c>
      <c r="Y17" s="241">
        <f t="shared" si="8"/>
        <v>0</v>
      </c>
      <c r="AB17" s="241">
        <f t="shared" si="9"/>
        <v>0</v>
      </c>
      <c r="AE17" s="241">
        <v>0</v>
      </c>
      <c r="AH17" s="241">
        <v>0</v>
      </c>
      <c r="AI17" s="256">
        <f>18900000+60000000</f>
        <v>78900000</v>
      </c>
      <c r="AJ17" s="257">
        <v>4.5199999999999997E-2</v>
      </c>
      <c r="AK17" s="241">
        <f t="shared" si="10"/>
        <v>9906.3333333333339</v>
      </c>
      <c r="AL17" s="256">
        <f t="shared" si="0"/>
        <v>220000000</v>
      </c>
      <c r="AM17" s="257">
        <v>4.58E-2</v>
      </c>
      <c r="AN17" s="241">
        <f t="shared" si="11"/>
        <v>27988.888888888891</v>
      </c>
      <c r="AO17" s="256">
        <f t="shared" si="53"/>
        <v>35000000</v>
      </c>
      <c r="AP17" s="257">
        <v>4.58E-2</v>
      </c>
      <c r="AQ17" s="241">
        <f t="shared" si="12"/>
        <v>4452.7777777777774</v>
      </c>
      <c r="AR17" s="256"/>
      <c r="AS17" s="257"/>
      <c r="AT17" s="241">
        <f t="shared" si="13"/>
        <v>0</v>
      </c>
      <c r="AW17" s="241">
        <f t="shared" si="14"/>
        <v>0</v>
      </c>
      <c r="AZ17" s="241">
        <f t="shared" si="15"/>
        <v>0</v>
      </c>
      <c r="BC17" s="241">
        <f t="shared" si="16"/>
        <v>0</v>
      </c>
      <c r="BF17" s="241">
        <f t="shared" si="17"/>
        <v>0</v>
      </c>
      <c r="BI17" s="241">
        <f t="shared" si="18"/>
        <v>0</v>
      </c>
      <c r="BL17" s="241">
        <f t="shared" si="19"/>
        <v>0</v>
      </c>
      <c r="BO17" s="241">
        <f t="shared" si="20"/>
        <v>0</v>
      </c>
      <c r="BR17" s="241">
        <f t="shared" si="21"/>
        <v>0</v>
      </c>
      <c r="BU17" s="241">
        <f t="shared" si="22"/>
        <v>0</v>
      </c>
      <c r="BX17" s="241">
        <f t="shared" si="23"/>
        <v>0</v>
      </c>
      <c r="CA17" s="241">
        <f t="shared" si="24"/>
        <v>0</v>
      </c>
      <c r="CD17" s="241">
        <f t="shared" si="25"/>
        <v>0</v>
      </c>
      <c r="CG17" s="241">
        <f t="shared" si="26"/>
        <v>0</v>
      </c>
      <c r="CJ17" s="241">
        <f t="shared" si="27"/>
        <v>0</v>
      </c>
      <c r="CM17" s="241">
        <f t="shared" si="28"/>
        <v>0</v>
      </c>
      <c r="CP17" s="241">
        <f t="shared" si="29"/>
        <v>0</v>
      </c>
      <c r="CS17" s="241">
        <f t="shared" si="30"/>
        <v>0</v>
      </c>
      <c r="CV17" s="241">
        <f t="shared" si="31"/>
        <v>0</v>
      </c>
      <c r="CY17" s="241">
        <f t="shared" si="32"/>
        <v>0</v>
      </c>
      <c r="DB17" s="241">
        <f t="shared" si="33"/>
        <v>0</v>
      </c>
      <c r="DE17" s="241">
        <f t="shared" si="34"/>
        <v>0</v>
      </c>
      <c r="DH17" s="241">
        <f t="shared" si="35"/>
        <v>0</v>
      </c>
      <c r="DK17" s="241">
        <f t="shared" si="36"/>
        <v>0</v>
      </c>
      <c r="DN17" s="241">
        <f t="shared" si="37"/>
        <v>0</v>
      </c>
      <c r="DQ17" s="241">
        <f t="shared" si="38"/>
        <v>0</v>
      </c>
      <c r="DT17" s="241">
        <f t="shared" si="39"/>
        <v>0</v>
      </c>
      <c r="DW17" s="241">
        <f t="shared" si="40"/>
        <v>0</v>
      </c>
      <c r="DZ17" s="241"/>
      <c r="EA17" s="241"/>
      <c r="EB17" s="261">
        <f t="shared" si="41"/>
        <v>333950000</v>
      </c>
      <c r="EC17" s="261">
        <f t="shared" si="42"/>
        <v>50000</v>
      </c>
      <c r="ED17" s="241">
        <f t="shared" si="43"/>
        <v>42354.383044444447</v>
      </c>
      <c r="EE17" s="242">
        <f t="shared" si="44"/>
        <v>4.5658265896092232E-2</v>
      </c>
      <c r="EG17" s="261">
        <f t="shared" si="45"/>
        <v>0</v>
      </c>
      <c r="EH17" s="241">
        <f t="shared" si="46"/>
        <v>0</v>
      </c>
      <c r="EI17" s="242">
        <f t="shared" si="47"/>
        <v>0</v>
      </c>
      <c r="EJ17" s="242"/>
      <c r="EK17" s="261">
        <f t="shared" si="48"/>
        <v>333900000</v>
      </c>
      <c r="EL17" s="261">
        <f t="shared" si="49"/>
        <v>0</v>
      </c>
      <c r="EM17" s="261">
        <f t="shared" si="50"/>
        <v>42348</v>
      </c>
      <c r="EN17" s="242">
        <f t="shared" si="51"/>
        <v>4.5658221024258767E-2</v>
      </c>
      <c r="EP17" s="241"/>
    </row>
    <row r="18" spans="1:146" x14ac:dyDescent="0.25">
      <c r="A18" s="255">
        <f t="shared" si="52"/>
        <v>45696</v>
      </c>
      <c r="B18" s="241">
        <v>50000</v>
      </c>
      <c r="C18" s="242">
        <v>4.5957920000000006E-2</v>
      </c>
      <c r="D18" s="241">
        <f t="shared" si="1"/>
        <v>6.3830444444444447</v>
      </c>
      <c r="G18" s="241">
        <f t="shared" si="2"/>
        <v>0</v>
      </c>
      <c r="J18" s="241">
        <f t="shared" si="3"/>
        <v>0</v>
      </c>
      <c r="M18" s="241">
        <f t="shared" si="4"/>
        <v>0</v>
      </c>
      <c r="P18" s="241">
        <f t="shared" si="5"/>
        <v>0</v>
      </c>
      <c r="S18" s="241">
        <f t="shared" si="6"/>
        <v>0</v>
      </c>
      <c r="V18" s="241">
        <f t="shared" si="7"/>
        <v>0</v>
      </c>
      <c r="Y18" s="241">
        <f t="shared" si="8"/>
        <v>0</v>
      </c>
      <c r="AB18" s="241">
        <f t="shared" si="9"/>
        <v>0</v>
      </c>
      <c r="AE18" s="241">
        <v>0</v>
      </c>
      <c r="AH18" s="241">
        <v>0</v>
      </c>
      <c r="AI18" s="256">
        <f>18900000+60000000</f>
        <v>78900000</v>
      </c>
      <c r="AJ18" s="257">
        <v>4.5199999999999997E-2</v>
      </c>
      <c r="AK18" s="241">
        <f t="shared" si="10"/>
        <v>9906.3333333333339</v>
      </c>
      <c r="AL18" s="256">
        <f t="shared" si="0"/>
        <v>220000000</v>
      </c>
      <c r="AM18" s="257">
        <v>4.58E-2</v>
      </c>
      <c r="AN18" s="241">
        <f t="shared" si="11"/>
        <v>27988.888888888891</v>
      </c>
      <c r="AO18" s="256">
        <f t="shared" si="53"/>
        <v>35000000</v>
      </c>
      <c r="AP18" s="257">
        <v>4.58E-2</v>
      </c>
      <c r="AQ18" s="241">
        <f t="shared" si="12"/>
        <v>4452.7777777777774</v>
      </c>
      <c r="AR18" s="256"/>
      <c r="AS18" s="257"/>
      <c r="AT18" s="241">
        <f t="shared" si="13"/>
        <v>0</v>
      </c>
      <c r="AW18" s="241">
        <f t="shared" si="14"/>
        <v>0</v>
      </c>
      <c r="AZ18" s="241">
        <f t="shared" si="15"/>
        <v>0</v>
      </c>
      <c r="BC18" s="241">
        <f t="shared" si="16"/>
        <v>0</v>
      </c>
      <c r="BF18" s="241">
        <f t="shared" si="17"/>
        <v>0</v>
      </c>
      <c r="BI18" s="241">
        <f t="shared" si="18"/>
        <v>0</v>
      </c>
      <c r="BL18" s="241">
        <f t="shared" si="19"/>
        <v>0</v>
      </c>
      <c r="BO18" s="241">
        <f t="shared" si="20"/>
        <v>0</v>
      </c>
      <c r="BR18" s="241">
        <f t="shared" si="21"/>
        <v>0</v>
      </c>
      <c r="BU18" s="241">
        <f t="shared" si="22"/>
        <v>0</v>
      </c>
      <c r="BX18" s="241">
        <f t="shared" si="23"/>
        <v>0</v>
      </c>
      <c r="CA18" s="241">
        <f t="shared" si="24"/>
        <v>0</v>
      </c>
      <c r="CD18" s="241">
        <f t="shared" si="25"/>
        <v>0</v>
      </c>
      <c r="CG18" s="241">
        <f t="shared" si="26"/>
        <v>0</v>
      </c>
      <c r="CJ18" s="241">
        <f t="shared" si="27"/>
        <v>0</v>
      </c>
      <c r="CM18" s="241">
        <f t="shared" si="28"/>
        <v>0</v>
      </c>
      <c r="CP18" s="241">
        <f t="shared" si="29"/>
        <v>0</v>
      </c>
      <c r="CS18" s="241">
        <f t="shared" si="30"/>
        <v>0</v>
      </c>
      <c r="CV18" s="241">
        <f t="shared" si="31"/>
        <v>0</v>
      </c>
      <c r="CY18" s="241">
        <f t="shared" si="32"/>
        <v>0</v>
      </c>
      <c r="DB18" s="241">
        <f t="shared" si="33"/>
        <v>0</v>
      </c>
      <c r="DE18" s="241">
        <f t="shared" si="34"/>
        <v>0</v>
      </c>
      <c r="DH18" s="241">
        <f t="shared" si="35"/>
        <v>0</v>
      </c>
      <c r="DK18" s="241">
        <f t="shared" si="36"/>
        <v>0</v>
      </c>
      <c r="DN18" s="241">
        <f t="shared" si="37"/>
        <v>0</v>
      </c>
      <c r="DQ18" s="241">
        <f t="shared" si="38"/>
        <v>0</v>
      </c>
      <c r="DT18" s="241">
        <f t="shared" si="39"/>
        <v>0</v>
      </c>
      <c r="DW18" s="241">
        <f t="shared" si="40"/>
        <v>0</v>
      </c>
      <c r="DZ18" s="241"/>
      <c r="EA18" s="241"/>
      <c r="EB18" s="261">
        <f t="shared" si="41"/>
        <v>333950000</v>
      </c>
      <c r="EC18" s="261">
        <f t="shared" si="42"/>
        <v>50000</v>
      </c>
      <c r="ED18" s="241">
        <f t="shared" si="43"/>
        <v>42354.383044444447</v>
      </c>
      <c r="EE18" s="242">
        <f t="shared" si="44"/>
        <v>4.5658265896092232E-2</v>
      </c>
      <c r="EG18" s="261">
        <f t="shared" si="45"/>
        <v>0</v>
      </c>
      <c r="EH18" s="241">
        <f t="shared" si="46"/>
        <v>0</v>
      </c>
      <c r="EI18" s="242">
        <f t="shared" si="47"/>
        <v>0</v>
      </c>
      <c r="EJ18" s="242"/>
      <c r="EK18" s="261">
        <f t="shared" si="48"/>
        <v>333900000</v>
      </c>
      <c r="EL18" s="261">
        <f t="shared" si="49"/>
        <v>0</v>
      </c>
      <c r="EM18" s="261">
        <f t="shared" si="50"/>
        <v>42348</v>
      </c>
      <c r="EN18" s="242">
        <f t="shared" si="51"/>
        <v>4.5658221024258767E-2</v>
      </c>
      <c r="EP18" s="241"/>
    </row>
    <row r="19" spans="1:146" x14ac:dyDescent="0.25">
      <c r="A19" s="255">
        <f t="shared" si="52"/>
        <v>45697</v>
      </c>
      <c r="B19" s="241">
        <v>50000</v>
      </c>
      <c r="C19" s="242">
        <v>4.5957920000000006E-2</v>
      </c>
      <c r="D19" s="241">
        <f t="shared" si="1"/>
        <v>6.3830444444444447</v>
      </c>
      <c r="G19" s="241">
        <f t="shared" si="2"/>
        <v>0</v>
      </c>
      <c r="J19" s="241">
        <f t="shared" si="3"/>
        <v>0</v>
      </c>
      <c r="M19" s="241">
        <f t="shared" si="4"/>
        <v>0</v>
      </c>
      <c r="P19" s="241">
        <f t="shared" si="5"/>
        <v>0</v>
      </c>
      <c r="S19" s="241">
        <f t="shared" si="6"/>
        <v>0</v>
      </c>
      <c r="V19" s="241">
        <f t="shared" si="7"/>
        <v>0</v>
      </c>
      <c r="Y19" s="241">
        <f t="shared" si="8"/>
        <v>0</v>
      </c>
      <c r="AB19" s="241">
        <f t="shared" si="9"/>
        <v>0</v>
      </c>
      <c r="AE19" s="241">
        <v>0</v>
      </c>
      <c r="AH19" s="241">
        <v>0</v>
      </c>
      <c r="AI19" s="256">
        <f>18900000+60000000</f>
        <v>78900000</v>
      </c>
      <c r="AJ19" s="257">
        <v>4.5199999999999997E-2</v>
      </c>
      <c r="AK19" s="241">
        <f t="shared" si="10"/>
        <v>9906.3333333333339</v>
      </c>
      <c r="AL19" s="256">
        <f t="shared" si="0"/>
        <v>220000000</v>
      </c>
      <c r="AM19" s="257">
        <v>4.58E-2</v>
      </c>
      <c r="AN19" s="241">
        <f t="shared" si="11"/>
        <v>27988.888888888891</v>
      </c>
      <c r="AO19" s="256">
        <f t="shared" si="53"/>
        <v>35000000</v>
      </c>
      <c r="AP19" s="257">
        <v>4.58E-2</v>
      </c>
      <c r="AQ19" s="241">
        <f t="shared" si="12"/>
        <v>4452.7777777777774</v>
      </c>
      <c r="AR19" s="256"/>
      <c r="AS19" s="257"/>
      <c r="AT19" s="241">
        <f t="shared" si="13"/>
        <v>0</v>
      </c>
      <c r="AW19" s="241">
        <f t="shared" si="14"/>
        <v>0</v>
      </c>
      <c r="AZ19" s="241">
        <f t="shared" si="15"/>
        <v>0</v>
      </c>
      <c r="BC19" s="241">
        <f t="shared" si="16"/>
        <v>0</v>
      </c>
      <c r="BF19" s="241">
        <f t="shared" si="17"/>
        <v>0</v>
      </c>
      <c r="BI19" s="241">
        <f t="shared" si="18"/>
        <v>0</v>
      </c>
      <c r="BL19" s="241">
        <f t="shared" si="19"/>
        <v>0</v>
      </c>
      <c r="BO19" s="241">
        <f t="shared" si="20"/>
        <v>0</v>
      </c>
      <c r="BR19" s="241">
        <f t="shared" si="21"/>
        <v>0</v>
      </c>
      <c r="BU19" s="241">
        <f t="shared" si="22"/>
        <v>0</v>
      </c>
      <c r="BX19" s="241">
        <f t="shared" si="23"/>
        <v>0</v>
      </c>
      <c r="CA19" s="241">
        <f t="shared" si="24"/>
        <v>0</v>
      </c>
      <c r="CD19" s="241">
        <f t="shared" si="25"/>
        <v>0</v>
      </c>
      <c r="CG19" s="241">
        <f t="shared" si="26"/>
        <v>0</v>
      </c>
      <c r="CJ19" s="241">
        <f t="shared" si="27"/>
        <v>0</v>
      </c>
      <c r="CM19" s="241">
        <f t="shared" si="28"/>
        <v>0</v>
      </c>
      <c r="CP19" s="241">
        <f t="shared" si="29"/>
        <v>0</v>
      </c>
      <c r="CS19" s="241">
        <f t="shared" si="30"/>
        <v>0</v>
      </c>
      <c r="CV19" s="241">
        <f t="shared" si="31"/>
        <v>0</v>
      </c>
      <c r="CY19" s="241">
        <f t="shared" si="32"/>
        <v>0</v>
      </c>
      <c r="DB19" s="241">
        <f t="shared" si="33"/>
        <v>0</v>
      </c>
      <c r="DE19" s="241">
        <f t="shared" si="34"/>
        <v>0</v>
      </c>
      <c r="DH19" s="241">
        <f t="shared" si="35"/>
        <v>0</v>
      </c>
      <c r="DK19" s="241">
        <f t="shared" si="36"/>
        <v>0</v>
      </c>
      <c r="DN19" s="241">
        <f t="shared" si="37"/>
        <v>0</v>
      </c>
      <c r="DQ19" s="241">
        <f t="shared" si="38"/>
        <v>0</v>
      </c>
      <c r="DT19" s="241">
        <f t="shared" si="39"/>
        <v>0</v>
      </c>
      <c r="DW19" s="241">
        <f t="shared" si="40"/>
        <v>0</v>
      </c>
      <c r="DZ19" s="241"/>
      <c r="EA19" s="241"/>
      <c r="EB19" s="261">
        <f t="shared" si="41"/>
        <v>333950000</v>
      </c>
      <c r="EC19" s="261">
        <f t="shared" si="42"/>
        <v>50000</v>
      </c>
      <c r="ED19" s="241">
        <f t="shared" si="43"/>
        <v>42354.383044444447</v>
      </c>
      <c r="EE19" s="242">
        <f t="shared" si="44"/>
        <v>4.5658265896092232E-2</v>
      </c>
      <c r="EG19" s="261">
        <f t="shared" si="45"/>
        <v>0</v>
      </c>
      <c r="EH19" s="241">
        <f t="shared" si="46"/>
        <v>0</v>
      </c>
      <c r="EI19" s="242">
        <f t="shared" si="47"/>
        <v>0</v>
      </c>
      <c r="EJ19" s="242"/>
      <c r="EK19" s="261">
        <f t="shared" si="48"/>
        <v>333900000</v>
      </c>
      <c r="EL19" s="261">
        <f t="shared" si="49"/>
        <v>0</v>
      </c>
      <c r="EM19" s="261">
        <f t="shared" si="50"/>
        <v>42348</v>
      </c>
      <c r="EN19" s="242">
        <f t="shared" si="51"/>
        <v>4.5658221024258767E-2</v>
      </c>
      <c r="EP19" s="241"/>
    </row>
    <row r="20" spans="1:146" x14ac:dyDescent="0.25">
      <c r="A20" s="255">
        <f t="shared" si="52"/>
        <v>45698</v>
      </c>
      <c r="B20" s="241">
        <v>0</v>
      </c>
      <c r="C20" s="242">
        <v>4.5863370000000001E-2</v>
      </c>
      <c r="D20" s="241">
        <f t="shared" si="1"/>
        <v>0</v>
      </c>
      <c r="G20" s="241">
        <f t="shared" si="2"/>
        <v>0</v>
      </c>
      <c r="J20" s="241">
        <f t="shared" si="3"/>
        <v>0</v>
      </c>
      <c r="M20" s="241">
        <f t="shared" si="4"/>
        <v>0</v>
      </c>
      <c r="P20" s="241">
        <f t="shared" si="5"/>
        <v>0</v>
      </c>
      <c r="S20" s="241">
        <f t="shared" si="6"/>
        <v>0</v>
      </c>
      <c r="V20" s="241">
        <f t="shared" si="7"/>
        <v>0</v>
      </c>
      <c r="Y20" s="241">
        <f t="shared" si="8"/>
        <v>0</v>
      </c>
      <c r="AB20" s="241">
        <f t="shared" si="9"/>
        <v>0</v>
      </c>
      <c r="AE20" s="241">
        <v>0</v>
      </c>
      <c r="AH20" s="241">
        <v>0</v>
      </c>
      <c r="AI20" s="256">
        <f>65000000+31500000</f>
        <v>96500000</v>
      </c>
      <c r="AJ20" s="257">
        <v>4.5199999999999997E-2</v>
      </c>
      <c r="AK20" s="241">
        <f t="shared" si="10"/>
        <v>12116.111111111111</v>
      </c>
      <c r="AL20" s="256">
        <f t="shared" si="0"/>
        <v>220000000</v>
      </c>
      <c r="AM20" s="257">
        <v>4.58E-2</v>
      </c>
      <c r="AN20" s="241">
        <f t="shared" si="11"/>
        <v>27988.888888888891</v>
      </c>
      <c r="AO20" s="256">
        <f t="shared" si="53"/>
        <v>35000000</v>
      </c>
      <c r="AP20" s="257">
        <v>4.58E-2</v>
      </c>
      <c r="AQ20" s="241">
        <f t="shared" si="12"/>
        <v>4452.7777777777774</v>
      </c>
      <c r="AR20" s="256"/>
      <c r="AS20" s="257"/>
      <c r="AT20" s="241">
        <f t="shared" si="13"/>
        <v>0</v>
      </c>
      <c r="AW20" s="241">
        <f t="shared" si="14"/>
        <v>0</v>
      </c>
      <c r="AZ20" s="241">
        <f t="shared" si="15"/>
        <v>0</v>
      </c>
      <c r="BC20" s="241">
        <f t="shared" si="16"/>
        <v>0</v>
      </c>
      <c r="BF20" s="241">
        <f t="shared" si="17"/>
        <v>0</v>
      </c>
      <c r="BI20" s="241">
        <f t="shared" si="18"/>
        <v>0</v>
      </c>
      <c r="BL20" s="241">
        <f t="shared" si="19"/>
        <v>0</v>
      </c>
      <c r="BO20" s="241">
        <f t="shared" si="20"/>
        <v>0</v>
      </c>
      <c r="BR20" s="241">
        <f t="shared" si="21"/>
        <v>0</v>
      </c>
      <c r="BU20" s="241">
        <f t="shared" si="22"/>
        <v>0</v>
      </c>
      <c r="BX20" s="241">
        <f t="shared" si="23"/>
        <v>0</v>
      </c>
      <c r="CA20" s="241">
        <f t="shared" si="24"/>
        <v>0</v>
      </c>
      <c r="CD20" s="241">
        <f t="shared" si="25"/>
        <v>0</v>
      </c>
      <c r="CG20" s="241">
        <f t="shared" si="26"/>
        <v>0</v>
      </c>
      <c r="CJ20" s="241">
        <f t="shared" si="27"/>
        <v>0</v>
      </c>
      <c r="CM20" s="241">
        <f t="shared" si="28"/>
        <v>0</v>
      </c>
      <c r="CP20" s="241">
        <f t="shared" si="29"/>
        <v>0</v>
      </c>
      <c r="CS20" s="241">
        <f t="shared" si="30"/>
        <v>0</v>
      </c>
      <c r="CV20" s="241">
        <f t="shared" si="31"/>
        <v>0</v>
      </c>
      <c r="CY20" s="241">
        <f t="shared" si="32"/>
        <v>0</v>
      </c>
      <c r="DB20" s="241">
        <f t="shared" si="33"/>
        <v>0</v>
      </c>
      <c r="DE20" s="241">
        <f t="shared" si="34"/>
        <v>0</v>
      </c>
      <c r="DH20" s="241">
        <f t="shared" si="35"/>
        <v>0</v>
      </c>
      <c r="DK20" s="241">
        <f t="shared" si="36"/>
        <v>0</v>
      </c>
      <c r="DN20" s="241">
        <f t="shared" si="37"/>
        <v>0</v>
      </c>
      <c r="DQ20" s="241">
        <f t="shared" si="38"/>
        <v>0</v>
      </c>
      <c r="DT20" s="241">
        <f t="shared" si="39"/>
        <v>0</v>
      </c>
      <c r="DW20" s="241">
        <f t="shared" si="40"/>
        <v>0</v>
      </c>
      <c r="DZ20" s="241"/>
      <c r="EA20" s="241"/>
      <c r="EB20" s="261">
        <f t="shared" si="41"/>
        <v>351500000</v>
      </c>
      <c r="EC20" s="261">
        <f t="shared" si="42"/>
        <v>0</v>
      </c>
      <c r="ED20" s="241">
        <f t="shared" si="43"/>
        <v>44557.777777777781</v>
      </c>
      <c r="EE20" s="242">
        <f t="shared" si="44"/>
        <v>4.5635277382645806E-2</v>
      </c>
      <c r="EG20" s="261">
        <f t="shared" si="45"/>
        <v>0</v>
      </c>
      <c r="EH20" s="241">
        <f t="shared" si="46"/>
        <v>0</v>
      </c>
      <c r="EI20" s="242">
        <f t="shared" si="47"/>
        <v>0</v>
      </c>
      <c r="EJ20" s="242"/>
      <c r="EK20" s="261">
        <f t="shared" si="48"/>
        <v>351500000</v>
      </c>
      <c r="EL20" s="261">
        <f t="shared" si="49"/>
        <v>0</v>
      </c>
      <c r="EM20" s="261">
        <f t="shared" si="50"/>
        <v>44557.777777777781</v>
      </c>
      <c r="EN20" s="242">
        <f t="shared" si="51"/>
        <v>4.5635277382645806E-2</v>
      </c>
      <c r="EP20" s="241"/>
    </row>
    <row r="21" spans="1:146" x14ac:dyDescent="0.25">
      <c r="A21" s="255">
        <f t="shared" si="52"/>
        <v>45699</v>
      </c>
      <c r="B21" s="241">
        <v>0</v>
      </c>
      <c r="C21" s="242">
        <v>4.5783730000000002E-2</v>
      </c>
      <c r="D21" s="241">
        <f t="shared" si="1"/>
        <v>0</v>
      </c>
      <c r="G21" s="241">
        <f t="shared" si="2"/>
        <v>0</v>
      </c>
      <c r="J21" s="241">
        <f t="shared" si="3"/>
        <v>0</v>
      </c>
      <c r="M21" s="241">
        <f t="shared" si="4"/>
        <v>0</v>
      </c>
      <c r="P21" s="241">
        <f t="shared" si="5"/>
        <v>0</v>
      </c>
      <c r="S21" s="241">
        <f t="shared" si="6"/>
        <v>0</v>
      </c>
      <c r="V21" s="241">
        <f t="shared" si="7"/>
        <v>0</v>
      </c>
      <c r="Y21" s="241">
        <f t="shared" si="8"/>
        <v>0</v>
      </c>
      <c r="AB21" s="241">
        <f t="shared" si="9"/>
        <v>0</v>
      </c>
      <c r="AE21" s="241">
        <v>0</v>
      </c>
      <c r="AH21" s="241">
        <v>0</v>
      </c>
      <c r="AI21" s="256">
        <f>50000000+25275000</f>
        <v>75275000</v>
      </c>
      <c r="AJ21" s="257">
        <v>4.5199999999999997E-2</v>
      </c>
      <c r="AK21" s="241">
        <f t="shared" si="10"/>
        <v>9451.1944444444453</v>
      </c>
      <c r="AL21" s="256">
        <f t="shared" si="0"/>
        <v>220000000</v>
      </c>
      <c r="AM21" s="257">
        <v>4.58E-2</v>
      </c>
      <c r="AN21" s="241">
        <f t="shared" si="11"/>
        <v>27988.888888888891</v>
      </c>
      <c r="AO21" s="256">
        <f t="shared" si="53"/>
        <v>35000000</v>
      </c>
      <c r="AP21" s="257">
        <v>4.58E-2</v>
      </c>
      <c r="AQ21" s="241">
        <f t="shared" si="12"/>
        <v>4452.7777777777774</v>
      </c>
      <c r="AR21" s="256"/>
      <c r="AS21" s="257"/>
      <c r="AT21" s="241">
        <f t="shared" si="13"/>
        <v>0</v>
      </c>
      <c r="AW21" s="241">
        <f t="shared" si="14"/>
        <v>0</v>
      </c>
      <c r="AZ21" s="241">
        <f t="shared" si="15"/>
        <v>0</v>
      </c>
      <c r="BC21" s="241">
        <f t="shared" si="16"/>
        <v>0</v>
      </c>
      <c r="BF21" s="241">
        <f t="shared" si="17"/>
        <v>0</v>
      </c>
      <c r="BI21" s="241">
        <f t="shared" si="18"/>
        <v>0</v>
      </c>
      <c r="BL21" s="241">
        <f t="shared" si="19"/>
        <v>0</v>
      </c>
      <c r="BO21" s="241">
        <f t="shared" si="20"/>
        <v>0</v>
      </c>
      <c r="BR21" s="241">
        <f t="shared" si="21"/>
        <v>0</v>
      </c>
      <c r="BU21" s="241">
        <f t="shared" si="22"/>
        <v>0</v>
      </c>
      <c r="BX21" s="241">
        <f t="shared" si="23"/>
        <v>0</v>
      </c>
      <c r="CA21" s="241">
        <f t="shared" si="24"/>
        <v>0</v>
      </c>
      <c r="CD21" s="241">
        <f t="shared" si="25"/>
        <v>0</v>
      </c>
      <c r="CG21" s="241">
        <f t="shared" si="26"/>
        <v>0</v>
      </c>
      <c r="CJ21" s="241">
        <f t="shared" si="27"/>
        <v>0</v>
      </c>
      <c r="CM21" s="241">
        <f t="shared" si="28"/>
        <v>0</v>
      </c>
      <c r="CP21" s="241">
        <f t="shared" si="29"/>
        <v>0</v>
      </c>
      <c r="CS21" s="241">
        <f t="shared" si="30"/>
        <v>0</v>
      </c>
      <c r="CV21" s="241">
        <f t="shared" si="31"/>
        <v>0</v>
      </c>
      <c r="CY21" s="241">
        <f t="shared" si="32"/>
        <v>0</v>
      </c>
      <c r="DB21" s="241">
        <f t="shared" si="33"/>
        <v>0</v>
      </c>
      <c r="DE21" s="241">
        <f t="shared" si="34"/>
        <v>0</v>
      </c>
      <c r="DH21" s="241">
        <f t="shared" si="35"/>
        <v>0</v>
      </c>
      <c r="DK21" s="241">
        <f t="shared" si="36"/>
        <v>0</v>
      </c>
      <c r="DN21" s="241">
        <f t="shared" si="37"/>
        <v>0</v>
      </c>
      <c r="DQ21" s="241">
        <f t="shared" si="38"/>
        <v>0</v>
      </c>
      <c r="DT21" s="241">
        <f t="shared" si="39"/>
        <v>0</v>
      </c>
      <c r="DW21" s="241">
        <f t="shared" si="40"/>
        <v>0</v>
      </c>
      <c r="DZ21" s="241"/>
      <c r="EA21" s="241"/>
      <c r="EB21" s="261">
        <f t="shared" si="41"/>
        <v>330275000</v>
      </c>
      <c r="EC21" s="261">
        <f t="shared" si="42"/>
        <v>0</v>
      </c>
      <c r="ED21" s="241">
        <f t="shared" si="43"/>
        <v>41892.861111111109</v>
      </c>
      <c r="EE21" s="242">
        <f t="shared" si="44"/>
        <v>4.5663250321701612E-2</v>
      </c>
      <c r="EG21" s="261">
        <f t="shared" si="45"/>
        <v>0</v>
      </c>
      <c r="EH21" s="241">
        <f t="shared" si="46"/>
        <v>0</v>
      </c>
      <c r="EI21" s="242">
        <f t="shared" si="47"/>
        <v>0</v>
      </c>
      <c r="EJ21" s="242"/>
      <c r="EK21" s="261">
        <f t="shared" si="48"/>
        <v>330275000</v>
      </c>
      <c r="EL21" s="261">
        <f t="shared" si="49"/>
        <v>0</v>
      </c>
      <c r="EM21" s="261">
        <f t="shared" si="50"/>
        <v>41892.861111111109</v>
      </c>
      <c r="EN21" s="242">
        <f t="shared" si="51"/>
        <v>4.5663250321701612E-2</v>
      </c>
      <c r="EP21" s="241"/>
    </row>
    <row r="22" spans="1:146" x14ac:dyDescent="0.25">
      <c r="A22" s="255">
        <f t="shared" si="52"/>
        <v>45700</v>
      </c>
      <c r="B22" s="241">
        <v>0</v>
      </c>
      <c r="C22" s="242">
        <v>4.5722480000000003E-2</v>
      </c>
      <c r="D22" s="241">
        <f t="shared" si="1"/>
        <v>0</v>
      </c>
      <c r="G22" s="241">
        <f t="shared" si="2"/>
        <v>0</v>
      </c>
      <c r="J22" s="241">
        <f t="shared" si="3"/>
        <v>0</v>
      </c>
      <c r="M22" s="241">
        <f t="shared" si="4"/>
        <v>0</v>
      </c>
      <c r="P22" s="241">
        <f t="shared" si="5"/>
        <v>0</v>
      </c>
      <c r="S22" s="241">
        <f t="shared" si="6"/>
        <v>0</v>
      </c>
      <c r="V22" s="241">
        <f t="shared" si="7"/>
        <v>0</v>
      </c>
      <c r="Y22" s="241">
        <f t="shared" si="8"/>
        <v>0</v>
      </c>
      <c r="AB22" s="241">
        <f t="shared" si="9"/>
        <v>0</v>
      </c>
      <c r="AE22" s="241">
        <v>0</v>
      </c>
      <c r="AH22" s="241">
        <v>0</v>
      </c>
      <c r="AI22" s="256">
        <f>24400000+35000000</f>
        <v>59400000</v>
      </c>
      <c r="AJ22" s="257">
        <v>4.5199999999999997E-2</v>
      </c>
      <c r="AK22" s="241">
        <f t="shared" si="10"/>
        <v>7458</v>
      </c>
      <c r="AL22" s="256">
        <f t="shared" si="0"/>
        <v>220000000</v>
      </c>
      <c r="AM22" s="257">
        <v>4.58E-2</v>
      </c>
      <c r="AN22" s="241">
        <f t="shared" si="11"/>
        <v>27988.888888888891</v>
      </c>
      <c r="AO22" s="256">
        <f t="shared" si="53"/>
        <v>35000000</v>
      </c>
      <c r="AP22" s="257">
        <v>4.58E-2</v>
      </c>
      <c r="AQ22" s="241">
        <f t="shared" si="12"/>
        <v>4452.7777777777774</v>
      </c>
      <c r="AR22" s="256"/>
      <c r="AS22" s="257"/>
      <c r="AT22" s="241">
        <f t="shared" si="13"/>
        <v>0</v>
      </c>
      <c r="AW22" s="241">
        <f t="shared" si="14"/>
        <v>0</v>
      </c>
      <c r="AZ22" s="241">
        <f t="shared" si="15"/>
        <v>0</v>
      </c>
      <c r="BC22" s="241">
        <f t="shared" si="16"/>
        <v>0</v>
      </c>
      <c r="BF22" s="241">
        <f t="shared" si="17"/>
        <v>0</v>
      </c>
      <c r="BI22" s="241">
        <f t="shared" si="18"/>
        <v>0</v>
      </c>
      <c r="BL22" s="241">
        <f t="shared" si="19"/>
        <v>0</v>
      </c>
      <c r="BO22" s="241">
        <f t="shared" si="20"/>
        <v>0</v>
      </c>
      <c r="BR22" s="241">
        <f t="shared" si="21"/>
        <v>0</v>
      </c>
      <c r="BU22" s="241">
        <f t="shared" si="22"/>
        <v>0</v>
      </c>
      <c r="BX22" s="241">
        <f t="shared" si="23"/>
        <v>0</v>
      </c>
      <c r="CA22" s="241">
        <f t="shared" si="24"/>
        <v>0</v>
      </c>
      <c r="CD22" s="241">
        <f t="shared" si="25"/>
        <v>0</v>
      </c>
      <c r="CG22" s="241">
        <f t="shared" si="26"/>
        <v>0</v>
      </c>
      <c r="CJ22" s="241">
        <f t="shared" si="27"/>
        <v>0</v>
      </c>
      <c r="CM22" s="241">
        <f t="shared" si="28"/>
        <v>0</v>
      </c>
      <c r="CP22" s="241">
        <f t="shared" si="29"/>
        <v>0</v>
      </c>
      <c r="CS22" s="241">
        <f t="shared" si="30"/>
        <v>0</v>
      </c>
      <c r="CV22" s="241">
        <f t="shared" si="31"/>
        <v>0</v>
      </c>
      <c r="CY22" s="241">
        <f t="shared" si="32"/>
        <v>0</v>
      </c>
      <c r="DB22" s="241">
        <f t="shared" si="33"/>
        <v>0</v>
      </c>
      <c r="DE22" s="241">
        <f t="shared" si="34"/>
        <v>0</v>
      </c>
      <c r="DH22" s="241">
        <f t="shared" si="35"/>
        <v>0</v>
      </c>
      <c r="DK22" s="241">
        <f t="shared" si="36"/>
        <v>0</v>
      </c>
      <c r="DN22" s="241">
        <f t="shared" si="37"/>
        <v>0</v>
      </c>
      <c r="DQ22" s="241">
        <f t="shared" si="38"/>
        <v>0</v>
      </c>
      <c r="DT22" s="241">
        <f t="shared" si="39"/>
        <v>0</v>
      </c>
      <c r="DW22" s="241">
        <f t="shared" si="40"/>
        <v>0</v>
      </c>
      <c r="DZ22" s="241"/>
      <c r="EA22" s="241"/>
      <c r="EB22" s="261">
        <f t="shared" si="41"/>
        <v>314400000</v>
      </c>
      <c r="EC22" s="261">
        <f t="shared" si="42"/>
        <v>0</v>
      </c>
      <c r="ED22" s="241">
        <f t="shared" si="43"/>
        <v>39899.666666666672</v>
      </c>
      <c r="EE22" s="242">
        <f t="shared" si="44"/>
        <v>4.5686641221374051E-2</v>
      </c>
      <c r="EG22" s="261">
        <f t="shared" si="45"/>
        <v>0</v>
      </c>
      <c r="EH22" s="241">
        <f t="shared" si="46"/>
        <v>0</v>
      </c>
      <c r="EI22" s="242">
        <f t="shared" si="47"/>
        <v>0</v>
      </c>
      <c r="EJ22" s="242"/>
      <c r="EK22" s="261">
        <f t="shared" si="48"/>
        <v>314400000</v>
      </c>
      <c r="EL22" s="261">
        <f t="shared" si="49"/>
        <v>0</v>
      </c>
      <c r="EM22" s="261">
        <f t="shared" si="50"/>
        <v>39899.666666666672</v>
      </c>
      <c r="EN22" s="242">
        <f t="shared" si="51"/>
        <v>4.5686641221374051E-2</v>
      </c>
      <c r="EP22" s="241"/>
    </row>
    <row r="23" spans="1:146" x14ac:dyDescent="0.25">
      <c r="A23" s="255">
        <f t="shared" si="52"/>
        <v>45701</v>
      </c>
      <c r="B23" s="241">
        <v>0</v>
      </c>
      <c r="C23" s="242">
        <v>4.5769890000000001E-2</v>
      </c>
      <c r="D23" s="241">
        <f t="shared" si="1"/>
        <v>0</v>
      </c>
      <c r="G23" s="241">
        <f t="shared" si="2"/>
        <v>0</v>
      </c>
      <c r="J23" s="241">
        <f t="shared" si="3"/>
        <v>0</v>
      </c>
      <c r="M23" s="241">
        <f t="shared" si="4"/>
        <v>0</v>
      </c>
      <c r="P23" s="241">
        <f t="shared" si="5"/>
        <v>0</v>
      </c>
      <c r="S23" s="241">
        <f t="shared" si="6"/>
        <v>0</v>
      </c>
      <c r="V23" s="241">
        <f t="shared" si="7"/>
        <v>0</v>
      </c>
      <c r="Y23" s="241">
        <f t="shared" si="8"/>
        <v>0</v>
      </c>
      <c r="AB23" s="241">
        <f t="shared" si="9"/>
        <v>0</v>
      </c>
      <c r="AE23" s="241">
        <v>0</v>
      </c>
      <c r="AH23" s="241">
        <v>0</v>
      </c>
      <c r="AI23" s="256">
        <f>40550000+35000000</f>
        <v>75550000</v>
      </c>
      <c r="AJ23" s="257">
        <v>4.5199999999999997E-2</v>
      </c>
      <c r="AK23" s="241">
        <f t="shared" si="10"/>
        <v>9485.7222222222226</v>
      </c>
      <c r="AL23" s="256">
        <f t="shared" si="0"/>
        <v>220000000</v>
      </c>
      <c r="AM23" s="257">
        <v>4.58E-2</v>
      </c>
      <c r="AN23" s="241">
        <f t="shared" si="11"/>
        <v>27988.888888888891</v>
      </c>
      <c r="AO23" s="256">
        <f t="shared" si="53"/>
        <v>35000000</v>
      </c>
      <c r="AP23" s="257">
        <v>4.58E-2</v>
      </c>
      <c r="AQ23" s="241">
        <f t="shared" si="12"/>
        <v>4452.7777777777774</v>
      </c>
      <c r="AR23" s="256"/>
      <c r="AS23" s="257"/>
      <c r="AT23" s="241">
        <f t="shared" si="13"/>
        <v>0</v>
      </c>
      <c r="AW23" s="241">
        <f t="shared" si="14"/>
        <v>0</v>
      </c>
      <c r="AZ23" s="241">
        <f t="shared" si="15"/>
        <v>0</v>
      </c>
      <c r="BC23" s="241">
        <f t="shared" si="16"/>
        <v>0</v>
      </c>
      <c r="BF23" s="241">
        <f t="shared" si="17"/>
        <v>0</v>
      </c>
      <c r="BI23" s="241">
        <f t="shared" si="18"/>
        <v>0</v>
      </c>
      <c r="BL23" s="241">
        <f t="shared" si="19"/>
        <v>0</v>
      </c>
      <c r="BO23" s="241">
        <f t="shared" si="20"/>
        <v>0</v>
      </c>
      <c r="BR23" s="241">
        <f t="shared" si="21"/>
        <v>0</v>
      </c>
      <c r="BU23" s="241">
        <f t="shared" si="22"/>
        <v>0</v>
      </c>
      <c r="BX23" s="241">
        <f t="shared" si="23"/>
        <v>0</v>
      </c>
      <c r="CA23" s="241">
        <f t="shared" si="24"/>
        <v>0</v>
      </c>
      <c r="CD23" s="241">
        <f t="shared" si="25"/>
        <v>0</v>
      </c>
      <c r="CG23" s="241">
        <f t="shared" si="26"/>
        <v>0</v>
      </c>
      <c r="CJ23" s="241">
        <f t="shared" si="27"/>
        <v>0</v>
      </c>
      <c r="CM23" s="241">
        <f t="shared" si="28"/>
        <v>0</v>
      </c>
      <c r="CP23" s="241">
        <f t="shared" si="29"/>
        <v>0</v>
      </c>
      <c r="CS23" s="241">
        <f t="shared" si="30"/>
        <v>0</v>
      </c>
      <c r="CV23" s="241">
        <f t="shared" si="31"/>
        <v>0</v>
      </c>
      <c r="CY23" s="241">
        <f t="shared" si="32"/>
        <v>0</v>
      </c>
      <c r="DB23" s="241">
        <f t="shared" si="33"/>
        <v>0</v>
      </c>
      <c r="DE23" s="241">
        <f t="shared" si="34"/>
        <v>0</v>
      </c>
      <c r="DH23" s="241">
        <f t="shared" si="35"/>
        <v>0</v>
      </c>
      <c r="DK23" s="241">
        <f t="shared" si="36"/>
        <v>0</v>
      </c>
      <c r="DN23" s="241">
        <f t="shared" si="37"/>
        <v>0</v>
      </c>
      <c r="DQ23" s="241">
        <f t="shared" si="38"/>
        <v>0</v>
      </c>
      <c r="DT23" s="241">
        <f t="shared" si="39"/>
        <v>0</v>
      </c>
      <c r="DW23" s="241">
        <f t="shared" si="40"/>
        <v>0</v>
      </c>
      <c r="DZ23" s="241"/>
      <c r="EA23" s="241"/>
      <c r="EB23" s="261">
        <f t="shared" si="41"/>
        <v>330550000</v>
      </c>
      <c r="EC23" s="261">
        <f t="shared" si="42"/>
        <v>0</v>
      </c>
      <c r="ED23" s="241">
        <f t="shared" si="43"/>
        <v>41927.388888888891</v>
      </c>
      <c r="EE23" s="242">
        <f t="shared" si="44"/>
        <v>4.5662864922099526E-2</v>
      </c>
      <c r="EG23" s="261">
        <f t="shared" si="45"/>
        <v>0</v>
      </c>
      <c r="EH23" s="241">
        <f t="shared" si="46"/>
        <v>0</v>
      </c>
      <c r="EI23" s="242">
        <f t="shared" si="47"/>
        <v>0</v>
      </c>
      <c r="EJ23" s="242"/>
      <c r="EK23" s="261">
        <f t="shared" si="48"/>
        <v>330550000</v>
      </c>
      <c r="EL23" s="261">
        <f t="shared" si="49"/>
        <v>0</v>
      </c>
      <c r="EM23" s="261">
        <f t="shared" si="50"/>
        <v>41927.388888888891</v>
      </c>
      <c r="EN23" s="242">
        <f t="shared" si="51"/>
        <v>4.5662864922099526E-2</v>
      </c>
      <c r="EP23" s="241"/>
    </row>
    <row r="24" spans="1:146" x14ac:dyDescent="0.25">
      <c r="A24" s="255">
        <f t="shared" si="52"/>
        <v>45702</v>
      </c>
      <c r="B24" s="241">
        <v>0</v>
      </c>
      <c r="C24" s="242">
        <v>4.5748949999999997E-2</v>
      </c>
      <c r="D24" s="241">
        <f t="shared" si="1"/>
        <v>0</v>
      </c>
      <c r="G24" s="241">
        <f t="shared" si="2"/>
        <v>0</v>
      </c>
      <c r="J24" s="241">
        <f t="shared" si="3"/>
        <v>0</v>
      </c>
      <c r="M24" s="241">
        <f t="shared" si="4"/>
        <v>0</v>
      </c>
      <c r="P24" s="241">
        <f t="shared" si="5"/>
        <v>0</v>
      </c>
      <c r="S24" s="241">
        <f t="shared" si="6"/>
        <v>0</v>
      </c>
      <c r="V24" s="241">
        <f t="shared" si="7"/>
        <v>0</v>
      </c>
      <c r="Y24" s="241">
        <f t="shared" si="8"/>
        <v>0</v>
      </c>
      <c r="AB24" s="241">
        <f t="shared" si="9"/>
        <v>0</v>
      </c>
      <c r="AE24" s="241">
        <v>0</v>
      </c>
      <c r="AH24" s="241">
        <v>0</v>
      </c>
      <c r="AI24" s="256">
        <f>44425000+45000000+40000000</f>
        <v>129425000</v>
      </c>
      <c r="AJ24" s="257">
        <v>4.5199999999999997E-2</v>
      </c>
      <c r="AK24" s="241">
        <f t="shared" si="10"/>
        <v>16250.027777777777</v>
      </c>
      <c r="AL24" s="256">
        <f>50000000+20000000+50000000+55000000</f>
        <v>175000000</v>
      </c>
      <c r="AM24" s="257">
        <v>4.58E-2</v>
      </c>
      <c r="AN24" s="241">
        <f t="shared" si="11"/>
        <v>22263.888888888891</v>
      </c>
      <c r="AO24" s="256">
        <f t="shared" si="53"/>
        <v>35000000</v>
      </c>
      <c r="AP24" s="257">
        <v>4.58E-2</v>
      </c>
      <c r="AQ24" s="241">
        <f t="shared" si="12"/>
        <v>4452.7777777777774</v>
      </c>
      <c r="AR24" s="256"/>
      <c r="AS24" s="257"/>
      <c r="AT24" s="241">
        <f t="shared" si="13"/>
        <v>0</v>
      </c>
      <c r="AW24" s="241">
        <f t="shared" si="14"/>
        <v>0</v>
      </c>
      <c r="AZ24" s="241">
        <f t="shared" si="15"/>
        <v>0</v>
      </c>
      <c r="BC24" s="241">
        <f t="shared" si="16"/>
        <v>0</v>
      </c>
      <c r="BF24" s="241">
        <f t="shared" si="17"/>
        <v>0</v>
      </c>
      <c r="BI24" s="241">
        <f t="shared" si="18"/>
        <v>0</v>
      </c>
      <c r="BL24" s="241">
        <f t="shared" si="19"/>
        <v>0</v>
      </c>
      <c r="BO24" s="241">
        <f t="shared" si="20"/>
        <v>0</v>
      </c>
      <c r="BR24" s="241">
        <f t="shared" si="21"/>
        <v>0</v>
      </c>
      <c r="BU24" s="241">
        <f t="shared" si="22"/>
        <v>0</v>
      </c>
      <c r="BX24" s="241">
        <f t="shared" si="23"/>
        <v>0</v>
      </c>
      <c r="CA24" s="241">
        <f t="shared" si="24"/>
        <v>0</v>
      </c>
      <c r="CD24" s="241">
        <f t="shared" si="25"/>
        <v>0</v>
      </c>
      <c r="CG24" s="241">
        <f t="shared" si="26"/>
        <v>0</v>
      </c>
      <c r="CJ24" s="241">
        <f t="shared" si="27"/>
        <v>0</v>
      </c>
      <c r="CM24" s="241">
        <f t="shared" si="28"/>
        <v>0</v>
      </c>
      <c r="CP24" s="241">
        <f t="shared" si="29"/>
        <v>0</v>
      </c>
      <c r="CS24" s="241">
        <f t="shared" si="30"/>
        <v>0</v>
      </c>
      <c r="CV24" s="241">
        <f t="shared" si="31"/>
        <v>0</v>
      </c>
      <c r="CY24" s="241">
        <f t="shared" si="32"/>
        <v>0</v>
      </c>
      <c r="DB24" s="241">
        <f t="shared" si="33"/>
        <v>0</v>
      </c>
      <c r="DE24" s="241">
        <f t="shared" si="34"/>
        <v>0</v>
      </c>
      <c r="DH24" s="241">
        <f t="shared" si="35"/>
        <v>0</v>
      </c>
      <c r="DK24" s="241">
        <f t="shared" si="36"/>
        <v>0</v>
      </c>
      <c r="DN24" s="241">
        <f t="shared" si="37"/>
        <v>0</v>
      </c>
      <c r="DQ24" s="241">
        <f t="shared" si="38"/>
        <v>0</v>
      </c>
      <c r="DT24" s="241">
        <f t="shared" si="39"/>
        <v>0</v>
      </c>
      <c r="DW24" s="241">
        <f t="shared" si="40"/>
        <v>0</v>
      </c>
      <c r="DZ24" s="241"/>
      <c r="EA24" s="241"/>
      <c r="EB24" s="261">
        <f t="shared" si="41"/>
        <v>339425000</v>
      </c>
      <c r="EC24" s="261">
        <f t="shared" si="42"/>
        <v>0</v>
      </c>
      <c r="ED24" s="241">
        <f t="shared" si="43"/>
        <v>42966.694444444453</v>
      </c>
      <c r="EE24" s="242">
        <f t="shared" si="44"/>
        <v>4.557121602710467E-2</v>
      </c>
      <c r="EG24" s="261">
        <f t="shared" si="45"/>
        <v>0</v>
      </c>
      <c r="EH24" s="241">
        <f t="shared" si="46"/>
        <v>0</v>
      </c>
      <c r="EI24" s="242">
        <f t="shared" si="47"/>
        <v>0</v>
      </c>
      <c r="EJ24" s="242"/>
      <c r="EK24" s="261">
        <f t="shared" si="48"/>
        <v>339425000</v>
      </c>
      <c r="EL24" s="261">
        <f t="shared" si="49"/>
        <v>0</v>
      </c>
      <c r="EM24" s="261">
        <f t="shared" si="50"/>
        <v>42966.694444444445</v>
      </c>
      <c r="EN24" s="242">
        <f t="shared" si="51"/>
        <v>4.557121602710467E-2</v>
      </c>
      <c r="EP24" s="241"/>
    </row>
    <row r="25" spans="1:146" x14ac:dyDescent="0.25">
      <c r="A25" s="255">
        <f t="shared" si="52"/>
        <v>45703</v>
      </c>
      <c r="B25" s="241">
        <v>0</v>
      </c>
      <c r="C25" s="242">
        <v>4.5748949999999997E-2</v>
      </c>
      <c r="D25" s="241">
        <f t="shared" si="1"/>
        <v>0</v>
      </c>
      <c r="G25" s="241">
        <f t="shared" si="2"/>
        <v>0</v>
      </c>
      <c r="J25" s="241">
        <f t="shared" si="3"/>
        <v>0</v>
      </c>
      <c r="M25" s="241">
        <f t="shared" si="4"/>
        <v>0</v>
      </c>
      <c r="P25" s="241">
        <f t="shared" si="5"/>
        <v>0</v>
      </c>
      <c r="S25" s="241">
        <f t="shared" si="6"/>
        <v>0</v>
      </c>
      <c r="V25" s="241">
        <f t="shared" si="7"/>
        <v>0</v>
      </c>
      <c r="Y25" s="241">
        <f t="shared" si="8"/>
        <v>0</v>
      </c>
      <c r="AB25" s="241">
        <f t="shared" si="9"/>
        <v>0</v>
      </c>
      <c r="AE25" s="241">
        <v>0</v>
      </c>
      <c r="AH25" s="241">
        <v>0</v>
      </c>
      <c r="AI25" s="256">
        <f>44425000+45000000+40000000</f>
        <v>129425000</v>
      </c>
      <c r="AJ25" s="257">
        <v>4.5199999999999997E-2</v>
      </c>
      <c r="AK25" s="241">
        <f t="shared" si="10"/>
        <v>16250.027777777777</v>
      </c>
      <c r="AL25" s="256">
        <f>50000000+20000000+50000000+55000000</f>
        <v>175000000</v>
      </c>
      <c r="AM25" s="257">
        <v>4.58E-2</v>
      </c>
      <c r="AN25" s="241">
        <f t="shared" si="11"/>
        <v>22263.888888888891</v>
      </c>
      <c r="AO25" s="256">
        <f t="shared" si="53"/>
        <v>35000000</v>
      </c>
      <c r="AP25" s="257">
        <v>4.58E-2</v>
      </c>
      <c r="AQ25" s="241">
        <f t="shared" si="12"/>
        <v>4452.7777777777774</v>
      </c>
      <c r="AR25" s="256"/>
      <c r="AS25" s="257"/>
      <c r="AT25" s="241">
        <f t="shared" si="13"/>
        <v>0</v>
      </c>
      <c r="AW25" s="241">
        <f t="shared" si="14"/>
        <v>0</v>
      </c>
      <c r="AZ25" s="241">
        <f t="shared" si="15"/>
        <v>0</v>
      </c>
      <c r="BC25" s="241">
        <f t="shared" si="16"/>
        <v>0</v>
      </c>
      <c r="BF25" s="241">
        <f t="shared" si="17"/>
        <v>0</v>
      </c>
      <c r="BI25" s="241">
        <f t="shared" si="18"/>
        <v>0</v>
      </c>
      <c r="BL25" s="241">
        <f t="shared" si="19"/>
        <v>0</v>
      </c>
      <c r="BO25" s="241">
        <f t="shared" si="20"/>
        <v>0</v>
      </c>
      <c r="BR25" s="241">
        <f t="shared" si="21"/>
        <v>0</v>
      </c>
      <c r="BU25" s="241">
        <f t="shared" si="22"/>
        <v>0</v>
      </c>
      <c r="BX25" s="241">
        <f t="shared" si="23"/>
        <v>0</v>
      </c>
      <c r="CA25" s="241">
        <f t="shared" si="24"/>
        <v>0</v>
      </c>
      <c r="CD25" s="241">
        <f t="shared" si="25"/>
        <v>0</v>
      </c>
      <c r="CG25" s="241">
        <f t="shared" si="26"/>
        <v>0</v>
      </c>
      <c r="CJ25" s="241">
        <f t="shared" si="27"/>
        <v>0</v>
      </c>
      <c r="CM25" s="241">
        <f t="shared" si="28"/>
        <v>0</v>
      </c>
      <c r="CP25" s="241">
        <f t="shared" si="29"/>
        <v>0</v>
      </c>
      <c r="CS25" s="241">
        <f t="shared" si="30"/>
        <v>0</v>
      </c>
      <c r="CV25" s="241">
        <f t="shared" si="31"/>
        <v>0</v>
      </c>
      <c r="CY25" s="241">
        <f t="shared" si="32"/>
        <v>0</v>
      </c>
      <c r="DB25" s="241">
        <f t="shared" si="33"/>
        <v>0</v>
      </c>
      <c r="DE25" s="241">
        <f t="shared" si="34"/>
        <v>0</v>
      </c>
      <c r="DH25" s="241">
        <f t="shared" si="35"/>
        <v>0</v>
      </c>
      <c r="DK25" s="241">
        <f t="shared" si="36"/>
        <v>0</v>
      </c>
      <c r="DN25" s="241">
        <f t="shared" si="37"/>
        <v>0</v>
      </c>
      <c r="DQ25" s="241">
        <f t="shared" si="38"/>
        <v>0</v>
      </c>
      <c r="DT25" s="241">
        <f t="shared" si="39"/>
        <v>0</v>
      </c>
      <c r="DW25" s="241">
        <f t="shared" si="40"/>
        <v>0</v>
      </c>
      <c r="DZ25" s="241"/>
      <c r="EA25" s="241"/>
      <c r="EB25" s="261">
        <f t="shared" si="41"/>
        <v>339425000</v>
      </c>
      <c r="EC25" s="261">
        <f t="shared" si="42"/>
        <v>0</v>
      </c>
      <c r="ED25" s="241">
        <f t="shared" si="43"/>
        <v>42966.694444444453</v>
      </c>
      <c r="EE25" s="242">
        <f t="shared" si="44"/>
        <v>4.557121602710467E-2</v>
      </c>
      <c r="EG25" s="261">
        <f t="shared" si="45"/>
        <v>0</v>
      </c>
      <c r="EH25" s="241">
        <f t="shared" si="46"/>
        <v>0</v>
      </c>
      <c r="EI25" s="242">
        <f t="shared" si="47"/>
        <v>0</v>
      </c>
      <c r="EJ25" s="242"/>
      <c r="EK25" s="261">
        <f t="shared" si="48"/>
        <v>339425000</v>
      </c>
      <c r="EL25" s="261">
        <f t="shared" si="49"/>
        <v>0</v>
      </c>
      <c r="EM25" s="261">
        <f t="shared" si="50"/>
        <v>42966.694444444445</v>
      </c>
      <c r="EN25" s="242">
        <f t="shared" si="51"/>
        <v>4.557121602710467E-2</v>
      </c>
      <c r="EP25" s="241"/>
    </row>
    <row r="26" spans="1:146" x14ac:dyDescent="0.25">
      <c r="A26" s="255">
        <f t="shared" si="52"/>
        <v>45704</v>
      </c>
      <c r="B26" s="241">
        <v>0</v>
      </c>
      <c r="C26" s="242">
        <v>4.5748949999999997E-2</v>
      </c>
      <c r="D26" s="241">
        <f t="shared" si="1"/>
        <v>0</v>
      </c>
      <c r="G26" s="241">
        <f t="shared" si="2"/>
        <v>0</v>
      </c>
      <c r="J26" s="241">
        <f t="shared" si="3"/>
        <v>0</v>
      </c>
      <c r="M26" s="241">
        <f t="shared" si="4"/>
        <v>0</v>
      </c>
      <c r="P26" s="241">
        <f t="shared" si="5"/>
        <v>0</v>
      </c>
      <c r="S26" s="241">
        <f t="shared" si="6"/>
        <v>0</v>
      </c>
      <c r="V26" s="241">
        <f t="shared" si="7"/>
        <v>0</v>
      </c>
      <c r="Y26" s="241">
        <f t="shared" si="8"/>
        <v>0</v>
      </c>
      <c r="AB26" s="241">
        <f t="shared" si="9"/>
        <v>0</v>
      </c>
      <c r="AE26" s="241">
        <v>0</v>
      </c>
      <c r="AH26" s="241">
        <v>0</v>
      </c>
      <c r="AI26" s="256">
        <f>44425000+45000000+40000000</f>
        <v>129425000</v>
      </c>
      <c r="AJ26" s="257">
        <v>4.5199999999999997E-2</v>
      </c>
      <c r="AK26" s="241">
        <f t="shared" si="10"/>
        <v>16250.027777777777</v>
      </c>
      <c r="AL26" s="256">
        <f>50000000+20000000+50000000+55000000</f>
        <v>175000000</v>
      </c>
      <c r="AM26" s="257">
        <v>4.58E-2</v>
      </c>
      <c r="AN26" s="241">
        <f t="shared" si="11"/>
        <v>22263.888888888891</v>
      </c>
      <c r="AO26" s="256">
        <f t="shared" si="53"/>
        <v>35000000</v>
      </c>
      <c r="AP26" s="257">
        <v>4.58E-2</v>
      </c>
      <c r="AQ26" s="241">
        <f t="shared" si="12"/>
        <v>4452.7777777777774</v>
      </c>
      <c r="AR26" s="256"/>
      <c r="AS26" s="257"/>
      <c r="AT26" s="241">
        <f t="shared" si="13"/>
        <v>0</v>
      </c>
      <c r="AW26" s="241">
        <f t="shared" si="14"/>
        <v>0</v>
      </c>
      <c r="AZ26" s="241">
        <f t="shared" si="15"/>
        <v>0</v>
      </c>
      <c r="BC26" s="241">
        <f t="shared" si="16"/>
        <v>0</v>
      </c>
      <c r="BF26" s="241">
        <f t="shared" si="17"/>
        <v>0</v>
      </c>
      <c r="BI26" s="241">
        <f t="shared" si="18"/>
        <v>0</v>
      </c>
      <c r="BL26" s="241">
        <f t="shared" si="19"/>
        <v>0</v>
      </c>
      <c r="BO26" s="241">
        <f t="shared" si="20"/>
        <v>0</v>
      </c>
      <c r="BR26" s="241">
        <f t="shared" si="21"/>
        <v>0</v>
      </c>
      <c r="BU26" s="241">
        <f t="shared" si="22"/>
        <v>0</v>
      </c>
      <c r="BX26" s="241">
        <f t="shared" si="23"/>
        <v>0</v>
      </c>
      <c r="CA26" s="241">
        <f t="shared" si="24"/>
        <v>0</v>
      </c>
      <c r="CD26" s="241">
        <f t="shared" si="25"/>
        <v>0</v>
      </c>
      <c r="CG26" s="241">
        <f t="shared" si="26"/>
        <v>0</v>
      </c>
      <c r="CJ26" s="241">
        <f t="shared" si="27"/>
        <v>0</v>
      </c>
      <c r="CM26" s="241">
        <f t="shared" si="28"/>
        <v>0</v>
      </c>
      <c r="CP26" s="241">
        <f t="shared" si="29"/>
        <v>0</v>
      </c>
      <c r="CS26" s="241">
        <f t="shared" si="30"/>
        <v>0</v>
      </c>
      <c r="CV26" s="241">
        <f t="shared" si="31"/>
        <v>0</v>
      </c>
      <c r="CY26" s="241">
        <f t="shared" si="32"/>
        <v>0</v>
      </c>
      <c r="DB26" s="241">
        <f t="shared" si="33"/>
        <v>0</v>
      </c>
      <c r="DE26" s="241">
        <f t="shared" si="34"/>
        <v>0</v>
      </c>
      <c r="DH26" s="241">
        <f t="shared" si="35"/>
        <v>0</v>
      </c>
      <c r="DK26" s="241">
        <f t="shared" si="36"/>
        <v>0</v>
      </c>
      <c r="DN26" s="241">
        <f t="shared" si="37"/>
        <v>0</v>
      </c>
      <c r="DQ26" s="241">
        <f t="shared" si="38"/>
        <v>0</v>
      </c>
      <c r="DT26" s="241">
        <f t="shared" si="39"/>
        <v>0</v>
      </c>
      <c r="DW26" s="241">
        <f t="shared" si="40"/>
        <v>0</v>
      </c>
      <c r="DZ26" s="241"/>
      <c r="EA26" s="241"/>
      <c r="EB26" s="261">
        <f t="shared" si="41"/>
        <v>339425000</v>
      </c>
      <c r="EC26" s="261">
        <f t="shared" si="42"/>
        <v>0</v>
      </c>
      <c r="ED26" s="241">
        <f t="shared" si="43"/>
        <v>42966.694444444453</v>
      </c>
      <c r="EE26" s="242">
        <f t="shared" si="44"/>
        <v>4.557121602710467E-2</v>
      </c>
      <c r="EG26" s="261">
        <f t="shared" si="45"/>
        <v>0</v>
      </c>
      <c r="EH26" s="241">
        <f t="shared" si="46"/>
        <v>0</v>
      </c>
      <c r="EI26" s="242">
        <f t="shared" si="47"/>
        <v>0</v>
      </c>
      <c r="EJ26" s="242"/>
      <c r="EK26" s="261">
        <f t="shared" si="48"/>
        <v>339425000</v>
      </c>
      <c r="EL26" s="261">
        <f t="shared" si="49"/>
        <v>0</v>
      </c>
      <c r="EM26" s="261">
        <f t="shared" si="50"/>
        <v>42966.694444444445</v>
      </c>
      <c r="EN26" s="242">
        <f t="shared" si="51"/>
        <v>4.557121602710467E-2</v>
      </c>
      <c r="EP26" s="241"/>
    </row>
    <row r="27" spans="1:146" x14ac:dyDescent="0.25">
      <c r="A27" s="255">
        <f t="shared" si="52"/>
        <v>45705</v>
      </c>
      <c r="B27" s="241">
        <v>0</v>
      </c>
      <c r="C27" s="242">
        <v>4.5748949999999997E-2</v>
      </c>
      <c r="D27" s="241">
        <f t="shared" si="1"/>
        <v>0</v>
      </c>
      <c r="G27" s="241">
        <f t="shared" si="2"/>
        <v>0</v>
      </c>
      <c r="J27" s="241">
        <f t="shared" si="3"/>
        <v>0</v>
      </c>
      <c r="M27" s="241">
        <f t="shared" si="4"/>
        <v>0</v>
      </c>
      <c r="P27" s="241">
        <f t="shared" si="5"/>
        <v>0</v>
      </c>
      <c r="S27" s="241">
        <f t="shared" si="6"/>
        <v>0</v>
      </c>
      <c r="V27" s="241">
        <f t="shared" si="7"/>
        <v>0</v>
      </c>
      <c r="Y27" s="241">
        <f t="shared" si="8"/>
        <v>0</v>
      </c>
      <c r="AB27" s="241">
        <f t="shared" si="9"/>
        <v>0</v>
      </c>
      <c r="AE27" s="241">
        <v>0</v>
      </c>
      <c r="AH27" s="241">
        <v>0</v>
      </c>
      <c r="AI27" s="256">
        <f>44425000+45000000+40000000</f>
        <v>129425000</v>
      </c>
      <c r="AJ27" s="257">
        <v>4.5199999999999997E-2</v>
      </c>
      <c r="AK27" s="241">
        <f t="shared" si="10"/>
        <v>16250.027777777777</v>
      </c>
      <c r="AL27" s="256">
        <f>50000000+20000000+50000000+55000000</f>
        <v>175000000</v>
      </c>
      <c r="AM27" s="257">
        <v>4.58E-2</v>
      </c>
      <c r="AN27" s="241">
        <f t="shared" si="11"/>
        <v>22263.888888888891</v>
      </c>
      <c r="AO27" s="256">
        <f t="shared" si="53"/>
        <v>35000000</v>
      </c>
      <c r="AP27" s="257">
        <v>4.58E-2</v>
      </c>
      <c r="AQ27" s="241">
        <f t="shared" si="12"/>
        <v>4452.7777777777774</v>
      </c>
      <c r="AR27" s="256"/>
      <c r="AS27" s="257"/>
      <c r="AT27" s="241">
        <f t="shared" si="13"/>
        <v>0</v>
      </c>
      <c r="AW27" s="241">
        <f t="shared" si="14"/>
        <v>0</v>
      </c>
      <c r="AZ27" s="241">
        <f t="shared" si="15"/>
        <v>0</v>
      </c>
      <c r="BC27" s="241">
        <f t="shared" si="16"/>
        <v>0</v>
      </c>
      <c r="BF27" s="241">
        <f t="shared" si="17"/>
        <v>0</v>
      </c>
      <c r="BI27" s="241">
        <f t="shared" si="18"/>
        <v>0</v>
      </c>
      <c r="BL27" s="241">
        <f t="shared" si="19"/>
        <v>0</v>
      </c>
      <c r="BO27" s="241">
        <f t="shared" si="20"/>
        <v>0</v>
      </c>
      <c r="BR27" s="241">
        <f t="shared" si="21"/>
        <v>0</v>
      </c>
      <c r="BU27" s="241">
        <f t="shared" si="22"/>
        <v>0</v>
      </c>
      <c r="BX27" s="241">
        <f t="shared" si="23"/>
        <v>0</v>
      </c>
      <c r="CA27" s="241">
        <f t="shared" si="24"/>
        <v>0</v>
      </c>
      <c r="CD27" s="241">
        <f t="shared" si="25"/>
        <v>0</v>
      </c>
      <c r="CG27" s="241">
        <f t="shared" si="26"/>
        <v>0</v>
      </c>
      <c r="CJ27" s="241">
        <f t="shared" si="27"/>
        <v>0</v>
      </c>
      <c r="CM27" s="241">
        <f t="shared" si="28"/>
        <v>0</v>
      </c>
      <c r="CP27" s="241">
        <f t="shared" si="29"/>
        <v>0</v>
      </c>
      <c r="CS27" s="241">
        <f t="shared" si="30"/>
        <v>0</v>
      </c>
      <c r="CV27" s="241">
        <f t="shared" si="31"/>
        <v>0</v>
      </c>
      <c r="CY27" s="241">
        <f t="shared" si="32"/>
        <v>0</v>
      </c>
      <c r="DB27" s="241">
        <f t="shared" si="33"/>
        <v>0</v>
      </c>
      <c r="DE27" s="241">
        <f t="shared" si="34"/>
        <v>0</v>
      </c>
      <c r="DH27" s="241">
        <f t="shared" si="35"/>
        <v>0</v>
      </c>
      <c r="DK27" s="241">
        <f t="shared" si="36"/>
        <v>0</v>
      </c>
      <c r="DN27" s="241">
        <f t="shared" si="37"/>
        <v>0</v>
      </c>
      <c r="DQ27" s="241">
        <f t="shared" si="38"/>
        <v>0</v>
      </c>
      <c r="DT27" s="241">
        <f t="shared" si="39"/>
        <v>0</v>
      </c>
      <c r="DW27" s="241">
        <f t="shared" si="40"/>
        <v>0</v>
      </c>
      <c r="DZ27" s="241"/>
      <c r="EA27" s="241"/>
      <c r="EB27" s="261">
        <f t="shared" si="41"/>
        <v>339425000</v>
      </c>
      <c r="EC27" s="261">
        <f t="shared" si="42"/>
        <v>0</v>
      </c>
      <c r="ED27" s="241">
        <f t="shared" si="43"/>
        <v>42966.694444444453</v>
      </c>
      <c r="EE27" s="242">
        <f t="shared" si="44"/>
        <v>4.557121602710467E-2</v>
      </c>
      <c r="EG27" s="261">
        <f t="shared" si="45"/>
        <v>0</v>
      </c>
      <c r="EH27" s="241">
        <f t="shared" si="46"/>
        <v>0</v>
      </c>
      <c r="EI27" s="242">
        <f t="shared" si="47"/>
        <v>0</v>
      </c>
      <c r="EJ27" s="242"/>
      <c r="EK27" s="261">
        <f t="shared" si="48"/>
        <v>339425000</v>
      </c>
      <c r="EL27" s="261">
        <f t="shared" si="49"/>
        <v>0</v>
      </c>
      <c r="EM27" s="261">
        <f t="shared" si="50"/>
        <v>42966.694444444445</v>
      </c>
      <c r="EN27" s="242">
        <f t="shared" si="51"/>
        <v>4.557121602710467E-2</v>
      </c>
      <c r="EP27" s="241"/>
    </row>
    <row r="28" spans="1:146" x14ac:dyDescent="0.25">
      <c r="A28" s="255">
        <f t="shared" si="52"/>
        <v>45706</v>
      </c>
      <c r="B28" s="241">
        <v>0</v>
      </c>
      <c r="C28" s="242">
        <v>4.5742539999999998E-2</v>
      </c>
      <c r="D28" s="241">
        <f t="shared" si="1"/>
        <v>0</v>
      </c>
      <c r="G28" s="241">
        <f t="shared" si="2"/>
        <v>0</v>
      </c>
      <c r="J28" s="241">
        <f t="shared" si="3"/>
        <v>0</v>
      </c>
      <c r="M28" s="241">
        <f t="shared" si="4"/>
        <v>0</v>
      </c>
      <c r="P28" s="241">
        <f t="shared" si="5"/>
        <v>0</v>
      </c>
      <c r="S28" s="241">
        <f t="shared" si="6"/>
        <v>0</v>
      </c>
      <c r="V28" s="241">
        <f t="shared" si="7"/>
        <v>0</v>
      </c>
      <c r="Y28" s="241">
        <f t="shared" si="8"/>
        <v>0</v>
      </c>
      <c r="AB28" s="241">
        <f t="shared" si="9"/>
        <v>0</v>
      </c>
      <c r="AE28" s="241">
        <v>0</v>
      </c>
      <c r="AH28" s="241">
        <v>0</v>
      </c>
      <c r="AI28" s="256">
        <f>65000000+36000000+30225000</f>
        <v>131225000</v>
      </c>
      <c r="AJ28" s="257">
        <v>4.5199999999999997E-2</v>
      </c>
      <c r="AK28" s="241">
        <f t="shared" si="10"/>
        <v>16476.027777777777</v>
      </c>
      <c r="AL28" s="256">
        <f>50000000+20000000+50000000+55000000</f>
        <v>175000000</v>
      </c>
      <c r="AM28" s="257">
        <v>4.58E-2</v>
      </c>
      <c r="AN28" s="241">
        <f t="shared" si="11"/>
        <v>22263.888888888891</v>
      </c>
      <c r="AO28" s="256">
        <f t="shared" si="53"/>
        <v>35000000</v>
      </c>
      <c r="AP28" s="257">
        <v>4.58E-2</v>
      </c>
      <c r="AQ28" s="241">
        <f t="shared" si="12"/>
        <v>4452.7777777777774</v>
      </c>
      <c r="AR28" s="256"/>
      <c r="AS28" s="257"/>
      <c r="AT28" s="241">
        <f t="shared" si="13"/>
        <v>0</v>
      </c>
      <c r="AW28" s="241">
        <f t="shared" si="14"/>
        <v>0</v>
      </c>
      <c r="AZ28" s="241">
        <f t="shared" si="15"/>
        <v>0</v>
      </c>
      <c r="BC28" s="241">
        <f t="shared" si="16"/>
        <v>0</v>
      </c>
      <c r="BF28" s="241">
        <f t="shared" si="17"/>
        <v>0</v>
      </c>
      <c r="BI28" s="241">
        <f t="shared" si="18"/>
        <v>0</v>
      </c>
      <c r="BL28" s="241">
        <f t="shared" si="19"/>
        <v>0</v>
      </c>
      <c r="BO28" s="241">
        <f t="shared" si="20"/>
        <v>0</v>
      </c>
      <c r="BR28" s="241">
        <f t="shared" si="21"/>
        <v>0</v>
      </c>
      <c r="BU28" s="241">
        <f t="shared" si="22"/>
        <v>0</v>
      </c>
      <c r="BX28" s="241">
        <f t="shared" si="23"/>
        <v>0</v>
      </c>
      <c r="CA28" s="241">
        <f t="shared" si="24"/>
        <v>0</v>
      </c>
      <c r="CD28" s="241">
        <f t="shared" si="25"/>
        <v>0</v>
      </c>
      <c r="CG28" s="241">
        <f t="shared" si="26"/>
        <v>0</v>
      </c>
      <c r="CJ28" s="241">
        <f t="shared" si="27"/>
        <v>0</v>
      </c>
      <c r="CM28" s="241">
        <f t="shared" si="28"/>
        <v>0</v>
      </c>
      <c r="CP28" s="241">
        <f t="shared" si="29"/>
        <v>0</v>
      </c>
      <c r="CS28" s="241">
        <f t="shared" si="30"/>
        <v>0</v>
      </c>
      <c r="CV28" s="241">
        <f t="shared" si="31"/>
        <v>0</v>
      </c>
      <c r="CY28" s="241">
        <f t="shared" si="32"/>
        <v>0</v>
      </c>
      <c r="DB28" s="241">
        <f t="shared" si="33"/>
        <v>0</v>
      </c>
      <c r="DE28" s="241">
        <f t="shared" si="34"/>
        <v>0</v>
      </c>
      <c r="DH28" s="241">
        <f t="shared" si="35"/>
        <v>0</v>
      </c>
      <c r="DK28" s="241">
        <f t="shared" si="36"/>
        <v>0</v>
      </c>
      <c r="DN28" s="241">
        <f t="shared" si="37"/>
        <v>0</v>
      </c>
      <c r="DQ28" s="241">
        <f t="shared" si="38"/>
        <v>0</v>
      </c>
      <c r="DT28" s="241">
        <f t="shared" si="39"/>
        <v>0</v>
      </c>
      <c r="DW28" s="241">
        <f t="shared" si="40"/>
        <v>0</v>
      </c>
      <c r="DZ28" s="241"/>
      <c r="EA28" s="241"/>
      <c r="EB28" s="261">
        <f t="shared" si="41"/>
        <v>341225000</v>
      </c>
      <c r="EC28" s="261">
        <f t="shared" si="42"/>
        <v>0</v>
      </c>
      <c r="ED28" s="241">
        <f t="shared" si="43"/>
        <v>43192.694444444453</v>
      </c>
      <c r="EE28" s="242">
        <f t="shared" si="44"/>
        <v>4.5569257821085805E-2</v>
      </c>
      <c r="EG28" s="261">
        <f t="shared" si="45"/>
        <v>0</v>
      </c>
      <c r="EH28" s="241">
        <f t="shared" si="46"/>
        <v>0</v>
      </c>
      <c r="EI28" s="242">
        <f t="shared" si="47"/>
        <v>0</v>
      </c>
      <c r="EJ28" s="242"/>
      <c r="EK28" s="261">
        <f t="shared" si="48"/>
        <v>341225000</v>
      </c>
      <c r="EL28" s="261">
        <f t="shared" si="49"/>
        <v>0</v>
      </c>
      <c r="EM28" s="261">
        <f t="shared" si="50"/>
        <v>43192.694444444445</v>
      </c>
      <c r="EN28" s="242">
        <f t="shared" si="51"/>
        <v>4.5569257821085798E-2</v>
      </c>
      <c r="EP28" s="241"/>
    </row>
    <row r="29" spans="1:146" x14ac:dyDescent="0.25">
      <c r="A29" s="255">
        <f t="shared" si="52"/>
        <v>45707</v>
      </c>
      <c r="B29" s="241">
        <v>67700000</v>
      </c>
      <c r="C29" s="242">
        <v>4.5120240000000006E-2</v>
      </c>
      <c r="D29" s="241">
        <f t="shared" si="1"/>
        <v>8485.1118000000024</v>
      </c>
      <c r="G29" s="241">
        <f t="shared" si="2"/>
        <v>0</v>
      </c>
      <c r="J29" s="241">
        <f t="shared" si="3"/>
        <v>0</v>
      </c>
      <c r="M29" s="241">
        <f t="shared" si="4"/>
        <v>0</v>
      </c>
      <c r="P29" s="241">
        <f t="shared" si="5"/>
        <v>0</v>
      </c>
      <c r="S29" s="241">
        <f t="shared" si="6"/>
        <v>0</v>
      </c>
      <c r="V29" s="241">
        <f t="shared" si="7"/>
        <v>0</v>
      </c>
      <c r="Y29" s="241">
        <f t="shared" si="8"/>
        <v>0</v>
      </c>
      <c r="AB29" s="241">
        <f t="shared" si="9"/>
        <v>0</v>
      </c>
      <c r="AE29" s="241">
        <v>0</v>
      </c>
      <c r="AH29" s="241">
        <v>0</v>
      </c>
      <c r="AI29" s="256">
        <f>55000000+45950000</f>
        <v>100950000</v>
      </c>
      <c r="AJ29" s="257">
        <v>4.5199999999999997E-2</v>
      </c>
      <c r="AK29" s="241">
        <f t="shared" si="10"/>
        <v>12674.833333333334</v>
      </c>
      <c r="AL29" s="256">
        <f>50000000+20000000+50000000</f>
        <v>120000000</v>
      </c>
      <c r="AM29" s="257">
        <v>4.58E-2</v>
      </c>
      <c r="AN29" s="241">
        <f t="shared" si="11"/>
        <v>15266.666666666666</v>
      </c>
      <c r="AO29" s="256">
        <f t="shared" si="53"/>
        <v>35000000</v>
      </c>
      <c r="AP29" s="257">
        <v>4.58E-2</v>
      </c>
      <c r="AQ29" s="241">
        <f t="shared" si="12"/>
        <v>4452.7777777777774</v>
      </c>
      <c r="AR29" s="256"/>
      <c r="AS29" s="257"/>
      <c r="AT29" s="241">
        <f t="shared" si="13"/>
        <v>0</v>
      </c>
      <c r="AW29" s="241">
        <f t="shared" si="14"/>
        <v>0</v>
      </c>
      <c r="AZ29" s="241">
        <f t="shared" si="15"/>
        <v>0</v>
      </c>
      <c r="BC29" s="241">
        <f t="shared" si="16"/>
        <v>0</v>
      </c>
      <c r="BF29" s="241">
        <f t="shared" si="17"/>
        <v>0</v>
      </c>
      <c r="BI29" s="241">
        <f t="shared" si="18"/>
        <v>0</v>
      </c>
      <c r="BL29" s="241">
        <f t="shared" si="19"/>
        <v>0</v>
      </c>
      <c r="BO29" s="241">
        <f t="shared" si="20"/>
        <v>0</v>
      </c>
      <c r="BR29" s="241">
        <f t="shared" si="21"/>
        <v>0</v>
      </c>
      <c r="BU29" s="241">
        <f t="shared" si="22"/>
        <v>0</v>
      </c>
      <c r="BX29" s="241">
        <f t="shared" si="23"/>
        <v>0</v>
      </c>
      <c r="CA29" s="241">
        <f t="shared" si="24"/>
        <v>0</v>
      </c>
      <c r="CD29" s="241">
        <f t="shared" si="25"/>
        <v>0</v>
      </c>
      <c r="CG29" s="241">
        <f t="shared" si="26"/>
        <v>0</v>
      </c>
      <c r="CJ29" s="241">
        <f t="shared" si="27"/>
        <v>0</v>
      </c>
      <c r="CM29" s="241">
        <f t="shared" si="28"/>
        <v>0</v>
      </c>
      <c r="CP29" s="241">
        <f t="shared" si="29"/>
        <v>0</v>
      </c>
      <c r="CS29" s="241">
        <f t="shared" si="30"/>
        <v>0</v>
      </c>
      <c r="CV29" s="241">
        <f t="shared" si="31"/>
        <v>0</v>
      </c>
      <c r="CY29" s="241">
        <f t="shared" si="32"/>
        <v>0</v>
      </c>
      <c r="DB29" s="241">
        <f t="shared" si="33"/>
        <v>0</v>
      </c>
      <c r="DE29" s="241">
        <f t="shared" si="34"/>
        <v>0</v>
      </c>
      <c r="DH29" s="241">
        <f t="shared" si="35"/>
        <v>0</v>
      </c>
      <c r="DK29" s="241">
        <f t="shared" si="36"/>
        <v>0</v>
      </c>
      <c r="DN29" s="241">
        <f t="shared" si="37"/>
        <v>0</v>
      </c>
      <c r="DQ29" s="241">
        <f t="shared" si="38"/>
        <v>0</v>
      </c>
      <c r="DT29" s="241">
        <f t="shared" si="39"/>
        <v>0</v>
      </c>
      <c r="DW29" s="241">
        <f t="shared" si="40"/>
        <v>0</v>
      </c>
      <c r="DZ29" s="241"/>
      <c r="EA29" s="241"/>
      <c r="EB29" s="261">
        <f t="shared" si="41"/>
        <v>323650000</v>
      </c>
      <c r="EC29" s="261">
        <f t="shared" si="42"/>
        <v>67700000</v>
      </c>
      <c r="ED29" s="241">
        <f t="shared" si="43"/>
        <v>40879.38957777778</v>
      </c>
      <c r="EE29" s="242">
        <f t="shared" si="44"/>
        <v>4.5470663519233748E-2</v>
      </c>
      <c r="EG29" s="261">
        <f t="shared" si="45"/>
        <v>0</v>
      </c>
      <c r="EH29" s="241">
        <f t="shared" si="46"/>
        <v>0</v>
      </c>
      <c r="EI29" s="242">
        <f t="shared" si="47"/>
        <v>0</v>
      </c>
      <c r="EJ29" s="242"/>
      <c r="EK29" s="261">
        <f t="shared" si="48"/>
        <v>255950000</v>
      </c>
      <c r="EL29" s="261">
        <f t="shared" si="49"/>
        <v>0</v>
      </c>
      <c r="EM29" s="261">
        <f t="shared" si="50"/>
        <v>32394.277777777781</v>
      </c>
      <c r="EN29" s="242">
        <f t="shared" si="51"/>
        <v>4.5563352217229937E-2</v>
      </c>
      <c r="EP29" s="241"/>
    </row>
    <row r="30" spans="1:146" x14ac:dyDescent="0.25">
      <c r="A30" s="255">
        <f t="shared" si="52"/>
        <v>45708</v>
      </c>
      <c r="B30" s="241">
        <v>38950000</v>
      </c>
      <c r="C30" s="242">
        <v>4.5272659999999999E-2</v>
      </c>
      <c r="D30" s="241">
        <f t="shared" si="1"/>
        <v>4898.2502972222228</v>
      </c>
      <c r="G30" s="241">
        <f t="shared" si="2"/>
        <v>0</v>
      </c>
      <c r="J30" s="241">
        <f t="shared" si="3"/>
        <v>0</v>
      </c>
      <c r="M30" s="241">
        <f t="shared" si="4"/>
        <v>0</v>
      </c>
      <c r="P30" s="241">
        <f t="shared" si="5"/>
        <v>0</v>
      </c>
      <c r="S30" s="241">
        <f t="shared" si="6"/>
        <v>0</v>
      </c>
      <c r="V30" s="241">
        <f t="shared" si="7"/>
        <v>0</v>
      </c>
      <c r="Y30" s="241">
        <f t="shared" si="8"/>
        <v>0</v>
      </c>
      <c r="AB30" s="241">
        <f t="shared" si="9"/>
        <v>0</v>
      </c>
      <c r="AE30" s="241">
        <v>0</v>
      </c>
      <c r="AH30" s="241">
        <v>0</v>
      </c>
      <c r="AI30" s="256">
        <f>30050000+50000000+46000000</f>
        <v>126050000</v>
      </c>
      <c r="AJ30" s="257">
        <v>4.5199999999999997E-2</v>
      </c>
      <c r="AK30" s="241">
        <f t="shared" si="10"/>
        <v>15826.277777777777</v>
      </c>
      <c r="AL30" s="256">
        <f>50000000+20000000</f>
        <v>70000000</v>
      </c>
      <c r="AM30" s="257">
        <v>4.58E-2</v>
      </c>
      <c r="AN30" s="241">
        <f t="shared" si="11"/>
        <v>8905.5555555555547</v>
      </c>
      <c r="AO30" s="256">
        <f>35000000+18467000+160000</f>
        <v>53627000</v>
      </c>
      <c r="AP30" s="257">
        <v>4.58E-2</v>
      </c>
      <c r="AQ30" s="241">
        <f t="shared" si="12"/>
        <v>6822.5461111111117</v>
      </c>
      <c r="AR30" s="256">
        <f>31275000+31375000</f>
        <v>62650000</v>
      </c>
      <c r="AS30" s="257">
        <v>4.5400000000000003E-2</v>
      </c>
      <c r="AT30" s="241">
        <f t="shared" si="13"/>
        <v>7900.8611111111113</v>
      </c>
      <c r="AW30" s="241">
        <f t="shared" si="14"/>
        <v>0</v>
      </c>
      <c r="AZ30" s="241">
        <f t="shared" si="15"/>
        <v>0</v>
      </c>
      <c r="BC30" s="241">
        <f t="shared" si="16"/>
        <v>0</v>
      </c>
      <c r="BF30" s="241">
        <f t="shared" si="17"/>
        <v>0</v>
      </c>
      <c r="BI30" s="241">
        <f t="shared" si="18"/>
        <v>0</v>
      </c>
      <c r="BL30" s="241">
        <f t="shared" si="19"/>
        <v>0</v>
      </c>
      <c r="BO30" s="241">
        <f t="shared" si="20"/>
        <v>0</v>
      </c>
      <c r="BR30" s="241">
        <f t="shared" si="21"/>
        <v>0</v>
      </c>
      <c r="BU30" s="241">
        <f t="shared" si="22"/>
        <v>0</v>
      </c>
      <c r="BX30" s="241">
        <f t="shared" si="23"/>
        <v>0</v>
      </c>
      <c r="CA30" s="241">
        <f t="shared" si="24"/>
        <v>0</v>
      </c>
      <c r="CD30" s="241">
        <f t="shared" si="25"/>
        <v>0</v>
      </c>
      <c r="CG30" s="241">
        <f t="shared" si="26"/>
        <v>0</v>
      </c>
      <c r="CJ30" s="241">
        <f t="shared" si="27"/>
        <v>0</v>
      </c>
      <c r="CM30" s="241">
        <f t="shared" si="28"/>
        <v>0</v>
      </c>
      <c r="CP30" s="241">
        <f t="shared" si="29"/>
        <v>0</v>
      </c>
      <c r="CS30" s="241">
        <f t="shared" si="30"/>
        <v>0</v>
      </c>
      <c r="CV30" s="241">
        <f t="shared" si="31"/>
        <v>0</v>
      </c>
      <c r="CY30" s="241">
        <f t="shared" si="32"/>
        <v>0</v>
      </c>
      <c r="DB30" s="241">
        <f t="shared" si="33"/>
        <v>0</v>
      </c>
      <c r="DE30" s="241">
        <f t="shared" si="34"/>
        <v>0</v>
      </c>
      <c r="DH30" s="241">
        <f t="shared" si="35"/>
        <v>0</v>
      </c>
      <c r="DK30" s="241">
        <f t="shared" si="36"/>
        <v>0</v>
      </c>
      <c r="DN30" s="241">
        <f t="shared" si="37"/>
        <v>0</v>
      </c>
      <c r="DQ30" s="241">
        <f t="shared" si="38"/>
        <v>0</v>
      </c>
      <c r="DT30" s="241">
        <f t="shared" si="39"/>
        <v>0</v>
      </c>
      <c r="DW30" s="241">
        <f t="shared" si="40"/>
        <v>0</v>
      </c>
      <c r="DZ30" s="241"/>
      <c r="EA30" s="241"/>
      <c r="EB30" s="261">
        <f t="shared" si="41"/>
        <v>351277000</v>
      </c>
      <c r="EC30" s="261">
        <f t="shared" si="42"/>
        <v>38950000</v>
      </c>
      <c r="ED30" s="241">
        <f t="shared" si="43"/>
        <v>44353.490852777781</v>
      </c>
      <c r="EE30" s="242">
        <f t="shared" si="44"/>
        <v>4.5454888042769669E-2</v>
      </c>
      <c r="EG30" s="261">
        <f t="shared" si="45"/>
        <v>0</v>
      </c>
      <c r="EH30" s="241">
        <f t="shared" si="46"/>
        <v>0</v>
      </c>
      <c r="EI30" s="242">
        <f t="shared" si="47"/>
        <v>0</v>
      </c>
      <c r="EJ30" s="242"/>
      <c r="EK30" s="261">
        <f t="shared" si="48"/>
        <v>312327000</v>
      </c>
      <c r="EL30" s="261">
        <f t="shared" si="49"/>
        <v>0</v>
      </c>
      <c r="EM30" s="261">
        <f t="shared" si="50"/>
        <v>39455.24055555556</v>
      </c>
      <c r="EN30" s="242">
        <f t="shared" si="51"/>
        <v>4.5477613526848461E-2</v>
      </c>
      <c r="EP30" s="241"/>
    </row>
    <row r="31" spans="1:146" x14ac:dyDescent="0.25">
      <c r="A31" s="255">
        <f t="shared" si="52"/>
        <v>45709</v>
      </c>
      <c r="B31" s="241">
        <v>47625000</v>
      </c>
      <c r="C31" s="242">
        <v>4.5404410000000006E-2</v>
      </c>
      <c r="D31" s="241">
        <f t="shared" si="1"/>
        <v>6006.6250729166668</v>
      </c>
      <c r="G31" s="241">
        <f t="shared" si="2"/>
        <v>0</v>
      </c>
      <c r="J31" s="241">
        <f t="shared" si="3"/>
        <v>0</v>
      </c>
      <c r="M31" s="241">
        <f t="shared" si="4"/>
        <v>0</v>
      </c>
      <c r="P31" s="241">
        <f t="shared" si="5"/>
        <v>0</v>
      </c>
      <c r="S31" s="241">
        <f t="shared" si="6"/>
        <v>0</v>
      </c>
      <c r="V31" s="241">
        <f t="shared" si="7"/>
        <v>0</v>
      </c>
      <c r="Y31" s="241">
        <f t="shared" si="8"/>
        <v>0</v>
      </c>
      <c r="AB31" s="241">
        <f t="shared" si="9"/>
        <v>0</v>
      </c>
      <c r="AE31" s="241">
        <v>0</v>
      </c>
      <c r="AH31" s="241">
        <v>0</v>
      </c>
      <c r="AI31" s="256">
        <f>55000000+43075000</f>
        <v>98075000</v>
      </c>
      <c r="AJ31" s="257">
        <v>4.5199999999999997E-2</v>
      </c>
      <c r="AK31" s="241">
        <f t="shared" si="10"/>
        <v>12313.861111111111</v>
      </c>
      <c r="AL31" s="256">
        <f>50000000</f>
        <v>50000000</v>
      </c>
      <c r="AM31" s="257">
        <v>4.58E-2</v>
      </c>
      <c r="AN31" s="241">
        <f t="shared" si="11"/>
        <v>6361.1111111111113</v>
      </c>
      <c r="AO31" s="256">
        <f t="shared" ref="AO31:AO38" si="54">35000000+18467000+160000+37000000+23000000</f>
        <v>113627000</v>
      </c>
      <c r="AP31" s="257">
        <v>4.58E-2</v>
      </c>
      <c r="AQ31" s="241">
        <f t="shared" si="12"/>
        <v>14455.879444444443</v>
      </c>
      <c r="AR31" s="256"/>
      <c r="AS31" s="257"/>
      <c r="AT31" s="241">
        <f t="shared" si="13"/>
        <v>0</v>
      </c>
      <c r="AW31" s="241">
        <f t="shared" si="14"/>
        <v>0</v>
      </c>
      <c r="AZ31" s="241">
        <f t="shared" si="15"/>
        <v>0</v>
      </c>
      <c r="BC31" s="241">
        <f t="shared" si="16"/>
        <v>0</v>
      </c>
      <c r="BF31" s="241">
        <f t="shared" si="17"/>
        <v>0</v>
      </c>
      <c r="BI31" s="241">
        <f t="shared" si="18"/>
        <v>0</v>
      </c>
      <c r="BL31" s="241">
        <f t="shared" si="19"/>
        <v>0</v>
      </c>
      <c r="BO31" s="241">
        <f t="shared" si="20"/>
        <v>0</v>
      </c>
      <c r="BR31" s="241">
        <f t="shared" si="21"/>
        <v>0</v>
      </c>
      <c r="BU31" s="241">
        <f t="shared" si="22"/>
        <v>0</v>
      </c>
      <c r="BX31" s="241">
        <f t="shared" si="23"/>
        <v>0</v>
      </c>
      <c r="CA31" s="241">
        <f t="shared" si="24"/>
        <v>0</v>
      </c>
      <c r="CD31" s="241">
        <f t="shared" si="25"/>
        <v>0</v>
      </c>
      <c r="CG31" s="241">
        <f t="shared" si="26"/>
        <v>0</v>
      </c>
      <c r="CJ31" s="241">
        <f t="shared" si="27"/>
        <v>0</v>
      </c>
      <c r="CM31" s="241">
        <f t="shared" si="28"/>
        <v>0</v>
      </c>
      <c r="CP31" s="241">
        <f t="shared" si="29"/>
        <v>0</v>
      </c>
      <c r="CS31" s="241">
        <f t="shared" si="30"/>
        <v>0</v>
      </c>
      <c r="CV31" s="241">
        <f t="shared" si="31"/>
        <v>0</v>
      </c>
      <c r="CY31" s="241">
        <f t="shared" si="32"/>
        <v>0</v>
      </c>
      <c r="DB31" s="241">
        <f t="shared" si="33"/>
        <v>0</v>
      </c>
      <c r="DE31" s="241">
        <f t="shared" si="34"/>
        <v>0</v>
      </c>
      <c r="DH31" s="241">
        <f t="shared" si="35"/>
        <v>0</v>
      </c>
      <c r="DK31" s="241">
        <f t="shared" si="36"/>
        <v>0</v>
      </c>
      <c r="DN31" s="241">
        <f t="shared" si="37"/>
        <v>0</v>
      </c>
      <c r="DQ31" s="241">
        <f t="shared" si="38"/>
        <v>0</v>
      </c>
      <c r="DT31" s="241">
        <f t="shared" si="39"/>
        <v>0</v>
      </c>
      <c r="DW31" s="241">
        <f t="shared" si="40"/>
        <v>0</v>
      </c>
      <c r="DZ31" s="241"/>
      <c r="EA31" s="241"/>
      <c r="EB31" s="261">
        <f t="shared" si="41"/>
        <v>309327000</v>
      </c>
      <c r="EC31" s="261">
        <f t="shared" si="42"/>
        <v>47625000</v>
      </c>
      <c r="ED31" s="241">
        <f t="shared" si="43"/>
        <v>39137.476739583333</v>
      </c>
      <c r="EE31" s="242">
        <f t="shared" si="44"/>
        <v>4.5548858089497518E-2</v>
      </c>
      <c r="EG31" s="261">
        <f t="shared" si="45"/>
        <v>0</v>
      </c>
      <c r="EH31" s="241">
        <f t="shared" si="46"/>
        <v>0</v>
      </c>
      <c r="EI31" s="242">
        <f t="shared" si="47"/>
        <v>0</v>
      </c>
      <c r="EJ31" s="242"/>
      <c r="EK31" s="261">
        <f t="shared" si="48"/>
        <v>261702000</v>
      </c>
      <c r="EL31" s="261">
        <f t="shared" si="49"/>
        <v>0</v>
      </c>
      <c r="EM31" s="261">
        <f t="shared" si="50"/>
        <v>33130.851666666662</v>
      </c>
      <c r="EN31" s="242">
        <f t="shared" si="51"/>
        <v>4.5575145012265852E-2</v>
      </c>
      <c r="EP31" s="241"/>
    </row>
    <row r="32" spans="1:146" x14ac:dyDescent="0.25">
      <c r="A32" s="255">
        <f t="shared" si="52"/>
        <v>45710</v>
      </c>
      <c r="B32" s="241">
        <v>47625000</v>
      </c>
      <c r="C32" s="242">
        <v>4.5404410000000006E-2</v>
      </c>
      <c r="D32" s="241">
        <f t="shared" si="1"/>
        <v>6006.6250729166668</v>
      </c>
      <c r="G32" s="241">
        <f t="shared" si="2"/>
        <v>0</v>
      </c>
      <c r="J32" s="241">
        <f t="shared" si="3"/>
        <v>0</v>
      </c>
      <c r="M32" s="241">
        <f t="shared" si="4"/>
        <v>0</v>
      </c>
      <c r="P32" s="241">
        <f t="shared" si="5"/>
        <v>0</v>
      </c>
      <c r="S32" s="241">
        <f t="shared" si="6"/>
        <v>0</v>
      </c>
      <c r="V32" s="241">
        <f t="shared" si="7"/>
        <v>0</v>
      </c>
      <c r="Y32" s="241">
        <f t="shared" si="8"/>
        <v>0</v>
      </c>
      <c r="AB32" s="241">
        <f t="shared" si="9"/>
        <v>0</v>
      </c>
      <c r="AE32" s="241">
        <v>0</v>
      </c>
      <c r="AH32" s="241">
        <v>0</v>
      </c>
      <c r="AI32" s="256">
        <f>55000000+43075000</f>
        <v>98075000</v>
      </c>
      <c r="AJ32" s="257">
        <v>4.5199999999999997E-2</v>
      </c>
      <c r="AK32" s="241">
        <f t="shared" si="10"/>
        <v>12313.861111111111</v>
      </c>
      <c r="AL32" s="256">
        <f>50000000</f>
        <v>50000000</v>
      </c>
      <c r="AM32" s="257">
        <v>4.58E-2</v>
      </c>
      <c r="AN32" s="241">
        <f t="shared" si="11"/>
        <v>6361.1111111111113</v>
      </c>
      <c r="AO32" s="256">
        <f t="shared" si="54"/>
        <v>113627000</v>
      </c>
      <c r="AP32" s="257">
        <v>4.58E-2</v>
      </c>
      <c r="AQ32" s="241">
        <f t="shared" si="12"/>
        <v>14455.879444444443</v>
      </c>
      <c r="AR32" s="256"/>
      <c r="AS32" s="257"/>
      <c r="AT32" s="241">
        <f t="shared" si="13"/>
        <v>0</v>
      </c>
      <c r="AW32" s="241">
        <f t="shared" si="14"/>
        <v>0</v>
      </c>
      <c r="AZ32" s="241">
        <f t="shared" si="15"/>
        <v>0</v>
      </c>
      <c r="BC32" s="241">
        <f t="shared" si="16"/>
        <v>0</v>
      </c>
      <c r="BF32" s="241">
        <f t="shared" si="17"/>
        <v>0</v>
      </c>
      <c r="BI32" s="241">
        <f t="shared" si="18"/>
        <v>0</v>
      </c>
      <c r="BL32" s="241">
        <f t="shared" si="19"/>
        <v>0</v>
      </c>
      <c r="BO32" s="241">
        <f t="shared" si="20"/>
        <v>0</v>
      </c>
      <c r="BR32" s="241">
        <f t="shared" si="21"/>
        <v>0</v>
      </c>
      <c r="BU32" s="241">
        <f t="shared" si="22"/>
        <v>0</v>
      </c>
      <c r="BX32" s="241">
        <f t="shared" si="23"/>
        <v>0</v>
      </c>
      <c r="CA32" s="241">
        <f t="shared" si="24"/>
        <v>0</v>
      </c>
      <c r="CD32" s="241">
        <f t="shared" si="25"/>
        <v>0</v>
      </c>
      <c r="CG32" s="241">
        <f t="shared" si="26"/>
        <v>0</v>
      </c>
      <c r="CJ32" s="241">
        <f t="shared" si="27"/>
        <v>0</v>
      </c>
      <c r="CM32" s="241">
        <f t="shared" si="28"/>
        <v>0</v>
      </c>
      <c r="CP32" s="241">
        <f t="shared" si="29"/>
        <v>0</v>
      </c>
      <c r="CS32" s="241">
        <f t="shared" si="30"/>
        <v>0</v>
      </c>
      <c r="CV32" s="241">
        <f t="shared" si="31"/>
        <v>0</v>
      </c>
      <c r="CY32" s="241">
        <f t="shared" si="32"/>
        <v>0</v>
      </c>
      <c r="DB32" s="241">
        <f t="shared" si="33"/>
        <v>0</v>
      </c>
      <c r="DE32" s="241">
        <f t="shared" si="34"/>
        <v>0</v>
      </c>
      <c r="DH32" s="241">
        <f t="shared" si="35"/>
        <v>0</v>
      </c>
      <c r="DK32" s="241">
        <f t="shared" si="36"/>
        <v>0</v>
      </c>
      <c r="DN32" s="241">
        <f t="shared" si="37"/>
        <v>0</v>
      </c>
      <c r="DQ32" s="241">
        <f t="shared" si="38"/>
        <v>0</v>
      </c>
      <c r="DT32" s="241">
        <f t="shared" si="39"/>
        <v>0</v>
      </c>
      <c r="DW32" s="241">
        <f t="shared" si="40"/>
        <v>0</v>
      </c>
      <c r="DZ32" s="241"/>
      <c r="EA32" s="241"/>
      <c r="EB32" s="261">
        <f t="shared" si="41"/>
        <v>309327000</v>
      </c>
      <c r="EC32" s="261">
        <f t="shared" si="42"/>
        <v>47625000</v>
      </c>
      <c r="ED32" s="241">
        <f t="shared" si="43"/>
        <v>39137.476739583333</v>
      </c>
      <c r="EE32" s="242">
        <f t="shared" si="44"/>
        <v>4.5548858089497518E-2</v>
      </c>
      <c r="EG32" s="261">
        <f t="shared" si="45"/>
        <v>0</v>
      </c>
      <c r="EH32" s="241">
        <f t="shared" si="46"/>
        <v>0</v>
      </c>
      <c r="EI32" s="242">
        <f t="shared" si="47"/>
        <v>0</v>
      </c>
      <c r="EJ32" s="242"/>
      <c r="EK32" s="261">
        <f t="shared" si="48"/>
        <v>261702000</v>
      </c>
      <c r="EL32" s="261">
        <f t="shared" si="49"/>
        <v>0</v>
      </c>
      <c r="EM32" s="261">
        <f t="shared" si="50"/>
        <v>33130.851666666662</v>
      </c>
      <c r="EN32" s="242">
        <f t="shared" si="51"/>
        <v>4.5575145012265852E-2</v>
      </c>
      <c r="EP32" s="241"/>
    </row>
    <row r="33" spans="1:146" x14ac:dyDescent="0.25">
      <c r="A33" s="255">
        <f t="shared" si="52"/>
        <v>45711</v>
      </c>
      <c r="B33" s="241">
        <v>47625000</v>
      </c>
      <c r="C33" s="242">
        <v>4.5404410000000006E-2</v>
      </c>
      <c r="D33" s="241">
        <f t="shared" si="1"/>
        <v>6006.6250729166668</v>
      </c>
      <c r="G33" s="241">
        <f t="shared" si="2"/>
        <v>0</v>
      </c>
      <c r="J33" s="241">
        <f t="shared" si="3"/>
        <v>0</v>
      </c>
      <c r="M33" s="241">
        <f t="shared" si="4"/>
        <v>0</v>
      </c>
      <c r="P33" s="241">
        <f t="shared" si="5"/>
        <v>0</v>
      </c>
      <c r="S33" s="241">
        <f t="shared" si="6"/>
        <v>0</v>
      </c>
      <c r="V33" s="241">
        <f t="shared" si="7"/>
        <v>0</v>
      </c>
      <c r="Y33" s="241">
        <f t="shared" si="8"/>
        <v>0</v>
      </c>
      <c r="AB33" s="241">
        <f t="shared" si="9"/>
        <v>0</v>
      </c>
      <c r="AE33" s="241">
        <v>0</v>
      </c>
      <c r="AH33" s="241">
        <v>0</v>
      </c>
      <c r="AI33" s="256">
        <f>55000000+43075000</f>
        <v>98075000</v>
      </c>
      <c r="AJ33" s="257">
        <v>4.5199999999999997E-2</v>
      </c>
      <c r="AK33" s="241">
        <f t="shared" si="10"/>
        <v>12313.861111111111</v>
      </c>
      <c r="AL33" s="256">
        <f>50000000</f>
        <v>50000000</v>
      </c>
      <c r="AM33" s="257">
        <v>4.58E-2</v>
      </c>
      <c r="AN33" s="241">
        <f t="shared" si="11"/>
        <v>6361.1111111111113</v>
      </c>
      <c r="AO33" s="256">
        <f t="shared" si="54"/>
        <v>113627000</v>
      </c>
      <c r="AP33" s="257">
        <v>4.58E-2</v>
      </c>
      <c r="AQ33" s="241">
        <f t="shared" si="12"/>
        <v>14455.879444444443</v>
      </c>
      <c r="AR33" s="256"/>
      <c r="AS33" s="257"/>
      <c r="AT33" s="241">
        <f t="shared" si="13"/>
        <v>0</v>
      </c>
      <c r="AW33" s="241">
        <f t="shared" si="14"/>
        <v>0</v>
      </c>
      <c r="AZ33" s="241">
        <f t="shared" si="15"/>
        <v>0</v>
      </c>
      <c r="BC33" s="241">
        <f t="shared" si="16"/>
        <v>0</v>
      </c>
      <c r="BF33" s="241">
        <f t="shared" si="17"/>
        <v>0</v>
      </c>
      <c r="BI33" s="241">
        <f t="shared" si="18"/>
        <v>0</v>
      </c>
      <c r="BL33" s="241">
        <f t="shared" si="19"/>
        <v>0</v>
      </c>
      <c r="BO33" s="241">
        <f t="shared" si="20"/>
        <v>0</v>
      </c>
      <c r="BR33" s="241">
        <f t="shared" si="21"/>
        <v>0</v>
      </c>
      <c r="BU33" s="241">
        <f t="shared" si="22"/>
        <v>0</v>
      </c>
      <c r="BX33" s="241">
        <f t="shared" si="23"/>
        <v>0</v>
      </c>
      <c r="CA33" s="241">
        <f t="shared" si="24"/>
        <v>0</v>
      </c>
      <c r="CD33" s="241">
        <f t="shared" si="25"/>
        <v>0</v>
      </c>
      <c r="CG33" s="241">
        <f t="shared" si="26"/>
        <v>0</v>
      </c>
      <c r="CJ33" s="241">
        <f t="shared" si="27"/>
        <v>0</v>
      </c>
      <c r="CM33" s="241">
        <f t="shared" si="28"/>
        <v>0</v>
      </c>
      <c r="CP33" s="241">
        <f t="shared" si="29"/>
        <v>0</v>
      </c>
      <c r="CS33" s="241">
        <f t="shared" si="30"/>
        <v>0</v>
      </c>
      <c r="CV33" s="241">
        <f t="shared" si="31"/>
        <v>0</v>
      </c>
      <c r="CY33" s="241">
        <f t="shared" si="32"/>
        <v>0</v>
      </c>
      <c r="DB33" s="241">
        <f t="shared" si="33"/>
        <v>0</v>
      </c>
      <c r="DE33" s="241">
        <f t="shared" si="34"/>
        <v>0</v>
      </c>
      <c r="DH33" s="241">
        <f t="shared" si="35"/>
        <v>0</v>
      </c>
      <c r="DK33" s="241">
        <f t="shared" si="36"/>
        <v>0</v>
      </c>
      <c r="DN33" s="241">
        <f t="shared" si="37"/>
        <v>0</v>
      </c>
      <c r="DQ33" s="241">
        <f t="shared" si="38"/>
        <v>0</v>
      </c>
      <c r="DT33" s="241">
        <f t="shared" si="39"/>
        <v>0</v>
      </c>
      <c r="DW33" s="241">
        <f t="shared" si="40"/>
        <v>0</v>
      </c>
      <c r="DZ33" s="241"/>
      <c r="EA33" s="241"/>
      <c r="EB33" s="261">
        <f t="shared" si="41"/>
        <v>309327000</v>
      </c>
      <c r="EC33" s="261">
        <f t="shared" si="42"/>
        <v>47625000</v>
      </c>
      <c r="ED33" s="241">
        <f t="shared" si="43"/>
        <v>39137.476739583333</v>
      </c>
      <c r="EE33" s="242">
        <f t="shared" si="44"/>
        <v>4.5548858089497518E-2</v>
      </c>
      <c r="EG33" s="261">
        <f t="shared" si="45"/>
        <v>0</v>
      </c>
      <c r="EH33" s="241">
        <f t="shared" si="46"/>
        <v>0</v>
      </c>
      <c r="EI33" s="242">
        <f t="shared" si="47"/>
        <v>0</v>
      </c>
      <c r="EJ33" s="242"/>
      <c r="EK33" s="261">
        <f t="shared" si="48"/>
        <v>261702000</v>
      </c>
      <c r="EL33" s="261">
        <f t="shared" si="49"/>
        <v>0</v>
      </c>
      <c r="EM33" s="261">
        <f t="shared" si="50"/>
        <v>33130.851666666662</v>
      </c>
      <c r="EN33" s="242">
        <f t="shared" si="51"/>
        <v>4.5575145012265852E-2</v>
      </c>
      <c r="EP33" s="241"/>
    </row>
    <row r="34" spans="1:146" x14ac:dyDescent="0.25">
      <c r="A34" s="255">
        <f t="shared" si="52"/>
        <v>45712</v>
      </c>
      <c r="B34" s="241">
        <v>53000000</v>
      </c>
      <c r="C34" s="242">
        <v>4.5434429999999998E-2</v>
      </c>
      <c r="D34" s="241">
        <f t="shared" si="1"/>
        <v>6688.9577500000005</v>
      </c>
      <c r="G34" s="241">
        <f t="shared" si="2"/>
        <v>0</v>
      </c>
      <c r="J34" s="241">
        <f t="shared" si="3"/>
        <v>0</v>
      </c>
      <c r="M34" s="241">
        <f t="shared" si="4"/>
        <v>0</v>
      </c>
      <c r="P34" s="241">
        <f t="shared" si="5"/>
        <v>0</v>
      </c>
      <c r="S34" s="241">
        <f t="shared" si="6"/>
        <v>0</v>
      </c>
      <c r="V34" s="241">
        <f t="shared" si="7"/>
        <v>0</v>
      </c>
      <c r="Y34" s="241">
        <f t="shared" si="8"/>
        <v>0</v>
      </c>
      <c r="AB34" s="241">
        <f t="shared" si="9"/>
        <v>0</v>
      </c>
      <c r="AE34" s="241">
        <v>0</v>
      </c>
      <c r="AH34" s="241">
        <v>0</v>
      </c>
      <c r="AI34" s="256">
        <f>31850000</f>
        <v>31850000</v>
      </c>
      <c r="AJ34" s="257">
        <v>4.5199999999999997E-2</v>
      </c>
      <c r="AK34" s="241">
        <f t="shared" si="10"/>
        <v>3998.9444444444443</v>
      </c>
      <c r="AL34" s="256">
        <f>50000000</f>
        <v>50000000</v>
      </c>
      <c r="AM34" s="257">
        <v>4.58E-2</v>
      </c>
      <c r="AN34" s="241">
        <f t="shared" si="11"/>
        <v>6361.1111111111113</v>
      </c>
      <c r="AO34" s="256">
        <f t="shared" si="54"/>
        <v>113627000</v>
      </c>
      <c r="AP34" s="257">
        <v>4.58E-2</v>
      </c>
      <c r="AQ34" s="241">
        <f t="shared" si="12"/>
        <v>14455.879444444443</v>
      </c>
      <c r="AR34" s="256"/>
      <c r="AS34" s="257"/>
      <c r="AT34" s="241">
        <f t="shared" si="13"/>
        <v>0</v>
      </c>
      <c r="AU34" s="241">
        <f>55000000</f>
        <v>55000000</v>
      </c>
      <c r="AV34" s="242">
        <v>4.5999999999999999E-2</v>
      </c>
      <c r="AW34" s="241">
        <f t="shared" si="14"/>
        <v>7027.7777777777774</v>
      </c>
      <c r="AZ34" s="241">
        <f t="shared" si="15"/>
        <v>0</v>
      </c>
      <c r="BC34" s="241">
        <f t="shared" si="16"/>
        <v>0</v>
      </c>
      <c r="BF34" s="241">
        <f t="shared" si="17"/>
        <v>0</v>
      </c>
      <c r="BI34" s="241">
        <f t="shared" si="18"/>
        <v>0</v>
      </c>
      <c r="BL34" s="241">
        <f t="shared" si="19"/>
        <v>0</v>
      </c>
      <c r="BO34" s="241">
        <f t="shared" si="20"/>
        <v>0</v>
      </c>
      <c r="BR34" s="241">
        <f t="shared" si="21"/>
        <v>0</v>
      </c>
      <c r="BU34" s="241">
        <f t="shared" si="22"/>
        <v>0</v>
      </c>
      <c r="BX34" s="241">
        <f t="shared" si="23"/>
        <v>0</v>
      </c>
      <c r="CA34" s="241">
        <f t="shared" si="24"/>
        <v>0</v>
      </c>
      <c r="CD34" s="241">
        <f t="shared" si="25"/>
        <v>0</v>
      </c>
      <c r="CG34" s="241">
        <f t="shared" si="26"/>
        <v>0</v>
      </c>
      <c r="CJ34" s="241">
        <f t="shared" si="27"/>
        <v>0</v>
      </c>
      <c r="CM34" s="241">
        <f t="shared" si="28"/>
        <v>0</v>
      </c>
      <c r="CP34" s="241">
        <f t="shared" si="29"/>
        <v>0</v>
      </c>
      <c r="CS34" s="241">
        <f t="shared" si="30"/>
        <v>0</v>
      </c>
      <c r="CV34" s="241">
        <f t="shared" si="31"/>
        <v>0</v>
      </c>
      <c r="CY34" s="241">
        <f t="shared" si="32"/>
        <v>0</v>
      </c>
      <c r="DB34" s="241">
        <f t="shared" si="33"/>
        <v>0</v>
      </c>
      <c r="DE34" s="241">
        <f t="shared" si="34"/>
        <v>0</v>
      </c>
      <c r="DH34" s="241">
        <f t="shared" si="35"/>
        <v>0</v>
      </c>
      <c r="DK34" s="241">
        <f t="shared" si="36"/>
        <v>0</v>
      </c>
      <c r="DN34" s="241">
        <f t="shared" si="37"/>
        <v>0</v>
      </c>
      <c r="DQ34" s="241">
        <f t="shared" si="38"/>
        <v>0</v>
      </c>
      <c r="DT34" s="241">
        <f t="shared" si="39"/>
        <v>0</v>
      </c>
      <c r="DW34" s="241">
        <f t="shared" si="40"/>
        <v>0</v>
      </c>
      <c r="DZ34" s="241"/>
      <c r="EA34" s="241"/>
      <c r="EB34" s="261">
        <f t="shared" si="41"/>
        <v>303477000</v>
      </c>
      <c r="EC34" s="261">
        <f t="shared" si="42"/>
        <v>53000000</v>
      </c>
      <c r="ED34" s="241">
        <f t="shared" si="43"/>
        <v>38532.67052777778</v>
      </c>
      <c r="EE34" s="242">
        <f t="shared" si="44"/>
        <v>4.5709432312827661E-2</v>
      </c>
      <c r="EG34" s="261">
        <f t="shared" si="45"/>
        <v>0</v>
      </c>
      <c r="EH34" s="241">
        <f t="shared" si="46"/>
        <v>0</v>
      </c>
      <c r="EI34" s="242">
        <f t="shared" si="47"/>
        <v>0</v>
      </c>
      <c r="EJ34" s="242"/>
      <c r="EK34" s="261">
        <f t="shared" si="48"/>
        <v>250477000</v>
      </c>
      <c r="EL34" s="261">
        <f t="shared" si="49"/>
        <v>0</v>
      </c>
      <c r="EM34" s="261">
        <f t="shared" si="50"/>
        <v>31843.712777777779</v>
      </c>
      <c r="EN34" s="242">
        <f t="shared" si="51"/>
        <v>4.5767621777648246E-2</v>
      </c>
      <c r="EP34" s="241"/>
    </row>
    <row r="35" spans="1:146" x14ac:dyDescent="0.25">
      <c r="A35" s="255">
        <f t="shared" si="52"/>
        <v>45713</v>
      </c>
      <c r="B35" s="241">
        <v>6075000</v>
      </c>
      <c r="C35" s="242">
        <v>4.3299999999999998E-2</v>
      </c>
      <c r="D35" s="241">
        <f t="shared" si="1"/>
        <v>730.6875</v>
      </c>
      <c r="G35" s="241">
        <f t="shared" si="2"/>
        <v>0</v>
      </c>
      <c r="J35" s="241">
        <f t="shared" si="3"/>
        <v>0</v>
      </c>
      <c r="M35" s="241">
        <f t="shared" si="4"/>
        <v>0</v>
      </c>
      <c r="P35" s="241">
        <f t="shared" si="5"/>
        <v>0</v>
      </c>
      <c r="S35" s="241">
        <f t="shared" si="6"/>
        <v>0</v>
      </c>
      <c r="V35" s="241">
        <f t="shared" si="7"/>
        <v>0</v>
      </c>
      <c r="Y35" s="241">
        <f t="shared" si="8"/>
        <v>0</v>
      </c>
      <c r="AB35" s="241">
        <f t="shared" si="9"/>
        <v>0</v>
      </c>
      <c r="AE35" s="241">
        <v>0</v>
      </c>
      <c r="AH35" s="241">
        <v>0</v>
      </c>
      <c r="AI35" s="256">
        <f>50000000+23950000+45000000</f>
        <v>118950000</v>
      </c>
      <c r="AJ35" s="257">
        <v>4.5199999999999997E-2</v>
      </c>
      <c r="AK35" s="241">
        <f t="shared" si="10"/>
        <v>14934.833333333334</v>
      </c>
      <c r="AL35" s="256"/>
      <c r="AM35" s="257"/>
      <c r="AN35" s="241">
        <f t="shared" si="11"/>
        <v>0</v>
      </c>
      <c r="AO35" s="256">
        <f t="shared" si="54"/>
        <v>113627000</v>
      </c>
      <c r="AP35" s="257">
        <v>4.58E-2</v>
      </c>
      <c r="AQ35" s="241">
        <f t="shared" si="12"/>
        <v>14455.879444444443</v>
      </c>
      <c r="AR35" s="256"/>
      <c r="AS35" s="257"/>
      <c r="AT35" s="241">
        <f t="shared" si="13"/>
        <v>0</v>
      </c>
      <c r="AU35" s="241">
        <f>55000000+50000000</f>
        <v>105000000</v>
      </c>
      <c r="AV35" s="242">
        <v>4.5999999999999999E-2</v>
      </c>
      <c r="AW35" s="241">
        <f t="shared" si="14"/>
        <v>13416.666666666666</v>
      </c>
      <c r="AZ35" s="241">
        <f t="shared" si="15"/>
        <v>0</v>
      </c>
      <c r="BC35" s="241">
        <f t="shared" si="16"/>
        <v>0</v>
      </c>
      <c r="BF35" s="241">
        <f t="shared" si="17"/>
        <v>0</v>
      </c>
      <c r="BI35" s="241">
        <f t="shared" si="18"/>
        <v>0</v>
      </c>
      <c r="BL35" s="241">
        <f t="shared" si="19"/>
        <v>0</v>
      </c>
      <c r="BO35" s="241">
        <f t="shared" si="20"/>
        <v>0</v>
      </c>
      <c r="BR35" s="241">
        <f t="shared" si="21"/>
        <v>0</v>
      </c>
      <c r="BU35" s="241">
        <f t="shared" si="22"/>
        <v>0</v>
      </c>
      <c r="BX35" s="241">
        <f t="shared" si="23"/>
        <v>0</v>
      </c>
      <c r="CA35" s="241">
        <f t="shared" si="24"/>
        <v>0</v>
      </c>
      <c r="CD35" s="241">
        <f t="shared" si="25"/>
        <v>0</v>
      </c>
      <c r="CG35" s="241">
        <f t="shared" si="26"/>
        <v>0</v>
      </c>
      <c r="CJ35" s="241">
        <f t="shared" si="27"/>
        <v>0</v>
      </c>
      <c r="CM35" s="241">
        <f t="shared" si="28"/>
        <v>0</v>
      </c>
      <c r="CP35" s="241">
        <f t="shared" si="29"/>
        <v>0</v>
      </c>
      <c r="CS35" s="241">
        <f t="shared" si="30"/>
        <v>0</v>
      </c>
      <c r="CV35" s="241">
        <f t="shared" si="31"/>
        <v>0</v>
      </c>
      <c r="CY35" s="241">
        <f t="shared" si="32"/>
        <v>0</v>
      </c>
      <c r="DB35" s="241">
        <f t="shared" si="33"/>
        <v>0</v>
      </c>
      <c r="DE35" s="241">
        <f t="shared" si="34"/>
        <v>0</v>
      </c>
      <c r="DH35" s="241">
        <f t="shared" si="35"/>
        <v>0</v>
      </c>
      <c r="DK35" s="241">
        <f t="shared" si="36"/>
        <v>0</v>
      </c>
      <c r="DN35" s="241">
        <f t="shared" si="37"/>
        <v>0</v>
      </c>
      <c r="DQ35" s="241">
        <f t="shared" si="38"/>
        <v>0</v>
      </c>
      <c r="DT35" s="241">
        <f t="shared" si="39"/>
        <v>0</v>
      </c>
      <c r="DW35" s="241">
        <f t="shared" si="40"/>
        <v>0</v>
      </c>
      <c r="DZ35" s="241"/>
      <c r="EA35" s="241"/>
      <c r="EB35" s="261">
        <f t="shared" si="41"/>
        <v>343652000</v>
      </c>
      <c r="EC35" s="261">
        <f t="shared" si="42"/>
        <v>6075000</v>
      </c>
      <c r="ED35" s="241">
        <f t="shared" si="43"/>
        <v>43538.066944444443</v>
      </c>
      <c r="EE35" s="242">
        <f t="shared" si="44"/>
        <v>4.5609232886757528E-2</v>
      </c>
      <c r="EG35" s="261">
        <f t="shared" si="45"/>
        <v>0</v>
      </c>
      <c r="EH35" s="241">
        <f t="shared" si="46"/>
        <v>0</v>
      </c>
      <c r="EI35" s="242">
        <f t="shared" si="47"/>
        <v>0</v>
      </c>
      <c r="EJ35" s="242"/>
      <c r="EK35" s="261">
        <f t="shared" si="48"/>
        <v>337577000</v>
      </c>
      <c r="EL35" s="261">
        <f t="shared" si="49"/>
        <v>0</v>
      </c>
      <c r="EM35" s="261">
        <f t="shared" si="50"/>
        <v>42807.379444444443</v>
      </c>
      <c r="EN35" s="242">
        <f t="shared" si="51"/>
        <v>4.5650789597632538E-2</v>
      </c>
      <c r="EP35" s="241"/>
    </row>
    <row r="36" spans="1:146" x14ac:dyDescent="0.25">
      <c r="A36" s="255">
        <f t="shared" si="52"/>
        <v>45714</v>
      </c>
      <c r="B36" s="241">
        <v>5525000</v>
      </c>
      <c r="C36" s="242">
        <v>4.3299999999999998E-2</v>
      </c>
      <c r="D36" s="241">
        <f t="shared" si="1"/>
        <v>664.53472222222217</v>
      </c>
      <c r="G36" s="241">
        <f t="shared" si="2"/>
        <v>0</v>
      </c>
      <c r="J36" s="241">
        <f t="shared" si="3"/>
        <v>0</v>
      </c>
      <c r="M36" s="241">
        <f t="shared" si="4"/>
        <v>0</v>
      </c>
      <c r="P36" s="241">
        <f t="shared" si="5"/>
        <v>0</v>
      </c>
      <c r="S36" s="241">
        <f t="shared" si="6"/>
        <v>0</v>
      </c>
      <c r="V36" s="241">
        <f t="shared" si="7"/>
        <v>0</v>
      </c>
      <c r="Y36" s="241">
        <f t="shared" si="8"/>
        <v>0</v>
      </c>
      <c r="AB36" s="241">
        <f t="shared" si="9"/>
        <v>0</v>
      </c>
      <c r="AE36" s="241">
        <v>0</v>
      </c>
      <c r="AH36" s="241">
        <v>0</v>
      </c>
      <c r="AI36" s="256">
        <f>35000000+45800000</f>
        <v>80800000</v>
      </c>
      <c r="AJ36" s="257">
        <v>4.5199999999999997E-2</v>
      </c>
      <c r="AK36" s="241">
        <f t="shared" si="10"/>
        <v>10144.888888888889</v>
      </c>
      <c r="AL36" s="256">
        <f>35000000</f>
        <v>35000000</v>
      </c>
      <c r="AM36" s="257">
        <v>4.58E-2</v>
      </c>
      <c r="AN36" s="241">
        <f t="shared" si="11"/>
        <v>4452.7777777777774</v>
      </c>
      <c r="AO36" s="256">
        <f t="shared" si="54"/>
        <v>113627000</v>
      </c>
      <c r="AP36" s="257">
        <v>4.58E-2</v>
      </c>
      <c r="AQ36" s="241">
        <f t="shared" si="12"/>
        <v>14455.879444444443</v>
      </c>
      <c r="AR36" s="256"/>
      <c r="AS36" s="257"/>
      <c r="AT36" s="241">
        <f t="shared" si="13"/>
        <v>0</v>
      </c>
      <c r="AU36" s="241">
        <f>55000000+50000000</f>
        <v>105000000</v>
      </c>
      <c r="AV36" s="242">
        <v>4.5999999999999999E-2</v>
      </c>
      <c r="AW36" s="241">
        <f t="shared" si="14"/>
        <v>13416.666666666666</v>
      </c>
      <c r="AZ36" s="241">
        <f t="shared" si="15"/>
        <v>0</v>
      </c>
      <c r="BC36" s="241">
        <f t="shared" si="16"/>
        <v>0</v>
      </c>
      <c r="BF36" s="241">
        <f t="shared" si="17"/>
        <v>0</v>
      </c>
      <c r="BI36" s="241">
        <f t="shared" si="18"/>
        <v>0</v>
      </c>
      <c r="BL36" s="241">
        <f t="shared" si="19"/>
        <v>0</v>
      </c>
      <c r="BO36" s="241">
        <f t="shared" si="20"/>
        <v>0</v>
      </c>
      <c r="BR36" s="241">
        <f t="shared" si="21"/>
        <v>0</v>
      </c>
      <c r="BU36" s="241">
        <f t="shared" si="22"/>
        <v>0</v>
      </c>
      <c r="BX36" s="241">
        <f t="shared" si="23"/>
        <v>0</v>
      </c>
      <c r="CA36" s="241">
        <f t="shared" si="24"/>
        <v>0</v>
      </c>
      <c r="CD36" s="241">
        <f t="shared" si="25"/>
        <v>0</v>
      </c>
      <c r="CG36" s="241">
        <f t="shared" si="26"/>
        <v>0</v>
      </c>
      <c r="CJ36" s="241">
        <f t="shared" si="27"/>
        <v>0</v>
      </c>
      <c r="CM36" s="241">
        <f t="shared" si="28"/>
        <v>0</v>
      </c>
      <c r="CP36" s="241">
        <f t="shared" si="29"/>
        <v>0</v>
      </c>
      <c r="CS36" s="241">
        <f t="shared" si="30"/>
        <v>0</v>
      </c>
      <c r="CV36" s="241">
        <f t="shared" si="31"/>
        <v>0</v>
      </c>
      <c r="CY36" s="241">
        <f t="shared" si="32"/>
        <v>0</v>
      </c>
      <c r="DB36" s="241">
        <f t="shared" si="33"/>
        <v>0</v>
      </c>
      <c r="DE36" s="241">
        <f t="shared" si="34"/>
        <v>0</v>
      </c>
      <c r="DH36" s="241">
        <f t="shared" si="35"/>
        <v>0</v>
      </c>
      <c r="DK36" s="241">
        <f t="shared" si="36"/>
        <v>0</v>
      </c>
      <c r="DN36" s="241">
        <f t="shared" si="37"/>
        <v>0</v>
      </c>
      <c r="DQ36" s="241">
        <f t="shared" si="38"/>
        <v>0</v>
      </c>
      <c r="DT36" s="241">
        <f t="shared" si="39"/>
        <v>0</v>
      </c>
      <c r="DW36" s="241">
        <f t="shared" si="40"/>
        <v>0</v>
      </c>
      <c r="DZ36" s="241"/>
      <c r="EA36" s="241"/>
      <c r="EB36" s="261">
        <f t="shared" si="41"/>
        <v>339952000</v>
      </c>
      <c r="EC36" s="261">
        <f t="shared" si="42"/>
        <v>5525000</v>
      </c>
      <c r="ED36" s="241">
        <f t="shared" si="43"/>
        <v>43134.747499999998</v>
      </c>
      <c r="EE36" s="242">
        <f t="shared" si="44"/>
        <v>4.5678534322492581E-2</v>
      </c>
      <c r="EG36" s="261">
        <f t="shared" si="45"/>
        <v>0</v>
      </c>
      <c r="EH36" s="241">
        <f t="shared" si="46"/>
        <v>0</v>
      </c>
      <c r="EI36" s="242">
        <f t="shared" si="47"/>
        <v>0</v>
      </c>
      <c r="EJ36" s="242"/>
      <c r="EK36" s="261">
        <f t="shared" si="48"/>
        <v>334427000</v>
      </c>
      <c r="EL36" s="261">
        <f t="shared" si="49"/>
        <v>0</v>
      </c>
      <c r="EM36" s="261">
        <f t="shared" si="50"/>
        <v>42470.212777777771</v>
      </c>
      <c r="EN36" s="242">
        <f t="shared" si="51"/>
        <v>4.5717829601078855E-2</v>
      </c>
      <c r="EP36" s="241"/>
    </row>
    <row r="37" spans="1:146" x14ac:dyDescent="0.25">
      <c r="A37" s="255">
        <f t="shared" si="52"/>
        <v>45715</v>
      </c>
      <c r="B37" s="241">
        <v>4925000</v>
      </c>
      <c r="C37" s="242">
        <v>4.2900000000000001E-2</v>
      </c>
      <c r="D37" s="241">
        <f t="shared" si="1"/>
        <v>586.89583333333337</v>
      </c>
      <c r="G37" s="241">
        <f t="shared" si="2"/>
        <v>0</v>
      </c>
      <c r="J37" s="241">
        <f t="shared" si="3"/>
        <v>0</v>
      </c>
      <c r="M37" s="241">
        <f t="shared" si="4"/>
        <v>0</v>
      </c>
      <c r="P37" s="241">
        <f t="shared" si="5"/>
        <v>0</v>
      </c>
      <c r="S37" s="241">
        <f t="shared" si="6"/>
        <v>0</v>
      </c>
      <c r="V37" s="241">
        <f t="shared" si="7"/>
        <v>0</v>
      </c>
      <c r="Y37" s="241">
        <f t="shared" si="8"/>
        <v>0</v>
      </c>
      <c r="AB37" s="241">
        <f t="shared" si="9"/>
        <v>0</v>
      </c>
      <c r="AE37" s="241">
        <v>0</v>
      </c>
      <c r="AH37" s="241">
        <v>0</v>
      </c>
      <c r="AI37" s="256">
        <f>26775000+25000000+45000000</f>
        <v>96775000</v>
      </c>
      <c r="AJ37" s="257">
        <v>4.5199999999999997E-2</v>
      </c>
      <c r="AK37" s="241">
        <f t="shared" si="10"/>
        <v>12150.638888888889</v>
      </c>
      <c r="AL37" s="256">
        <f>35000000</f>
        <v>35000000</v>
      </c>
      <c r="AM37" s="257">
        <v>4.58E-2</v>
      </c>
      <c r="AN37" s="241">
        <f t="shared" si="11"/>
        <v>4452.7777777777774</v>
      </c>
      <c r="AO37" s="256">
        <f t="shared" si="54"/>
        <v>113627000</v>
      </c>
      <c r="AP37" s="257">
        <v>4.58E-2</v>
      </c>
      <c r="AQ37" s="241">
        <f t="shared" si="12"/>
        <v>14455.879444444443</v>
      </c>
      <c r="AR37" s="256"/>
      <c r="AS37" s="257"/>
      <c r="AT37" s="241">
        <f t="shared" si="13"/>
        <v>0</v>
      </c>
      <c r="AU37" s="241">
        <f>55000000+50000000</f>
        <v>105000000</v>
      </c>
      <c r="AV37" s="242">
        <v>4.5999999999999999E-2</v>
      </c>
      <c r="AW37" s="241">
        <f t="shared" si="14"/>
        <v>13416.666666666666</v>
      </c>
      <c r="AZ37" s="241">
        <f t="shared" si="15"/>
        <v>0</v>
      </c>
      <c r="BC37" s="241">
        <f t="shared" si="16"/>
        <v>0</v>
      </c>
      <c r="BF37" s="241">
        <f t="shared" si="17"/>
        <v>0</v>
      </c>
      <c r="BI37" s="241">
        <f t="shared" si="18"/>
        <v>0</v>
      </c>
      <c r="BL37" s="241">
        <f t="shared" si="19"/>
        <v>0</v>
      </c>
      <c r="BO37" s="241">
        <f t="shared" si="20"/>
        <v>0</v>
      </c>
      <c r="BR37" s="241">
        <f t="shared" si="21"/>
        <v>0</v>
      </c>
      <c r="BU37" s="241">
        <f t="shared" si="22"/>
        <v>0</v>
      </c>
      <c r="BX37" s="241">
        <f t="shared" si="23"/>
        <v>0</v>
      </c>
      <c r="CA37" s="241">
        <f t="shared" si="24"/>
        <v>0</v>
      </c>
      <c r="CD37" s="241">
        <f t="shared" si="25"/>
        <v>0</v>
      </c>
      <c r="CG37" s="241">
        <f t="shared" si="26"/>
        <v>0</v>
      </c>
      <c r="CJ37" s="241">
        <f t="shared" si="27"/>
        <v>0</v>
      </c>
      <c r="CM37" s="241">
        <f t="shared" si="28"/>
        <v>0</v>
      </c>
      <c r="CP37" s="241">
        <f t="shared" si="29"/>
        <v>0</v>
      </c>
      <c r="CS37" s="241">
        <f t="shared" si="30"/>
        <v>0</v>
      </c>
      <c r="CV37" s="241">
        <f t="shared" si="31"/>
        <v>0</v>
      </c>
      <c r="CY37" s="241">
        <f t="shared" si="32"/>
        <v>0</v>
      </c>
      <c r="DB37" s="241">
        <f t="shared" si="33"/>
        <v>0</v>
      </c>
      <c r="DE37" s="241">
        <f t="shared" si="34"/>
        <v>0</v>
      </c>
      <c r="DH37" s="241">
        <f t="shared" si="35"/>
        <v>0</v>
      </c>
      <c r="DK37" s="241">
        <f t="shared" si="36"/>
        <v>0</v>
      </c>
      <c r="DN37" s="241">
        <f t="shared" si="37"/>
        <v>0</v>
      </c>
      <c r="DQ37" s="241">
        <f t="shared" si="38"/>
        <v>0</v>
      </c>
      <c r="DT37" s="241">
        <f t="shared" si="39"/>
        <v>0</v>
      </c>
      <c r="DW37" s="241">
        <f t="shared" si="40"/>
        <v>0</v>
      </c>
      <c r="DZ37" s="241"/>
      <c r="EA37" s="241"/>
      <c r="EB37" s="261">
        <f t="shared" si="41"/>
        <v>355327000</v>
      </c>
      <c r="EC37" s="261">
        <f t="shared" si="42"/>
        <v>4925000</v>
      </c>
      <c r="ED37" s="241">
        <f t="shared" si="43"/>
        <v>45062.858611111107</v>
      </c>
      <c r="EE37" s="242">
        <f t="shared" si="44"/>
        <v>4.5655492264871506E-2</v>
      </c>
      <c r="EG37" s="261">
        <f t="shared" si="45"/>
        <v>0</v>
      </c>
      <c r="EH37" s="241">
        <f t="shared" si="46"/>
        <v>0</v>
      </c>
      <c r="EI37" s="242">
        <f t="shared" si="47"/>
        <v>0</v>
      </c>
      <c r="EJ37" s="242"/>
      <c r="EK37" s="261">
        <f t="shared" si="48"/>
        <v>350402000</v>
      </c>
      <c r="EL37" s="261">
        <f t="shared" si="49"/>
        <v>0</v>
      </c>
      <c r="EM37" s="261">
        <f t="shared" si="50"/>
        <v>44475.962777777771</v>
      </c>
      <c r="EN37" s="242">
        <f t="shared" si="51"/>
        <v>4.5694221494169546E-2</v>
      </c>
      <c r="EP37" s="241"/>
    </row>
    <row r="38" spans="1:146" x14ac:dyDescent="0.25">
      <c r="A38" s="255">
        <f t="shared" si="52"/>
        <v>45716</v>
      </c>
      <c r="B38" s="241">
        <v>0</v>
      </c>
      <c r="C38" s="242">
        <v>4.5719419999999997E-2</v>
      </c>
      <c r="D38" s="241">
        <f t="shared" si="1"/>
        <v>0</v>
      </c>
      <c r="G38" s="241">
        <f t="shared" si="2"/>
        <v>0</v>
      </c>
      <c r="J38" s="241">
        <f t="shared" si="3"/>
        <v>0</v>
      </c>
      <c r="M38" s="241">
        <f t="shared" si="4"/>
        <v>0</v>
      </c>
      <c r="P38" s="241">
        <f t="shared" si="5"/>
        <v>0</v>
      </c>
      <c r="S38" s="241">
        <f t="shared" si="6"/>
        <v>0</v>
      </c>
      <c r="V38" s="241">
        <f t="shared" si="7"/>
        <v>0</v>
      </c>
      <c r="Y38" s="241">
        <f t="shared" si="8"/>
        <v>0</v>
      </c>
      <c r="AB38" s="241">
        <f t="shared" si="9"/>
        <v>0</v>
      </c>
      <c r="AE38" s="241">
        <v>0</v>
      </c>
      <c r="AH38" s="241">
        <v>0</v>
      </c>
      <c r="AI38" s="256">
        <f>35000000+50000000+45550000+50000000</f>
        <v>180550000</v>
      </c>
      <c r="AJ38" s="257">
        <v>4.5199999999999997E-2</v>
      </c>
      <c r="AK38" s="241">
        <f t="shared" si="10"/>
        <v>22669.055555555555</v>
      </c>
      <c r="AL38" s="256">
        <f>35000000</f>
        <v>35000000</v>
      </c>
      <c r="AM38" s="257">
        <v>4.58E-2</v>
      </c>
      <c r="AN38" s="241">
        <f t="shared" si="11"/>
        <v>4452.7777777777774</v>
      </c>
      <c r="AO38" s="256">
        <f t="shared" si="54"/>
        <v>113627000</v>
      </c>
      <c r="AP38" s="257">
        <v>4.58E-2</v>
      </c>
      <c r="AQ38" s="241">
        <f t="shared" si="12"/>
        <v>14455.879444444443</v>
      </c>
      <c r="AR38" s="256"/>
      <c r="AS38" s="257"/>
      <c r="AT38" s="241">
        <f t="shared" si="13"/>
        <v>0</v>
      </c>
      <c r="AU38" s="241">
        <f>55000000+50000000</f>
        <v>105000000</v>
      </c>
      <c r="AV38" s="242">
        <v>4.5999999999999999E-2</v>
      </c>
      <c r="AW38" s="241">
        <f t="shared" si="14"/>
        <v>13416.666666666666</v>
      </c>
      <c r="AZ38" s="241">
        <f t="shared" si="15"/>
        <v>0</v>
      </c>
      <c r="BC38" s="241">
        <f t="shared" si="16"/>
        <v>0</v>
      </c>
      <c r="BF38" s="241">
        <f t="shared" si="17"/>
        <v>0</v>
      </c>
      <c r="BI38" s="241">
        <f t="shared" si="18"/>
        <v>0</v>
      </c>
      <c r="BL38" s="241">
        <f t="shared" si="19"/>
        <v>0</v>
      </c>
      <c r="BO38" s="241">
        <f t="shared" si="20"/>
        <v>0</v>
      </c>
      <c r="BR38" s="241">
        <f t="shared" si="21"/>
        <v>0</v>
      </c>
      <c r="BU38" s="241">
        <f t="shared" si="22"/>
        <v>0</v>
      </c>
      <c r="BX38" s="241">
        <f t="shared" si="23"/>
        <v>0</v>
      </c>
      <c r="CA38" s="241">
        <f t="shared" si="24"/>
        <v>0</v>
      </c>
      <c r="CD38" s="241">
        <f t="shared" si="25"/>
        <v>0</v>
      </c>
      <c r="CG38" s="241">
        <f t="shared" si="26"/>
        <v>0</v>
      </c>
      <c r="CJ38" s="241">
        <f t="shared" si="27"/>
        <v>0</v>
      </c>
      <c r="CM38" s="241">
        <f t="shared" si="28"/>
        <v>0</v>
      </c>
      <c r="CP38" s="241">
        <f t="shared" si="29"/>
        <v>0</v>
      </c>
      <c r="CS38" s="241">
        <f t="shared" si="30"/>
        <v>0</v>
      </c>
      <c r="CV38" s="241">
        <f t="shared" si="31"/>
        <v>0</v>
      </c>
      <c r="CY38" s="241">
        <f t="shared" si="32"/>
        <v>0</v>
      </c>
      <c r="DB38" s="241">
        <f t="shared" si="33"/>
        <v>0</v>
      </c>
      <c r="DE38" s="241">
        <f t="shared" si="34"/>
        <v>0</v>
      </c>
      <c r="DH38" s="241">
        <f t="shared" si="35"/>
        <v>0</v>
      </c>
      <c r="DK38" s="241">
        <f t="shared" si="36"/>
        <v>0</v>
      </c>
      <c r="DN38" s="241">
        <f t="shared" si="37"/>
        <v>0</v>
      </c>
      <c r="DQ38" s="241">
        <f t="shared" si="38"/>
        <v>0</v>
      </c>
      <c r="DT38" s="241">
        <f t="shared" si="39"/>
        <v>0</v>
      </c>
      <c r="DW38" s="241">
        <f t="shared" si="40"/>
        <v>0</v>
      </c>
      <c r="DZ38" s="241"/>
      <c r="EA38" s="241"/>
      <c r="EB38" s="261">
        <f t="shared" si="41"/>
        <v>434177000</v>
      </c>
      <c r="EC38" s="261">
        <f t="shared" si="42"/>
        <v>0</v>
      </c>
      <c r="ED38" s="241">
        <f t="shared" si="43"/>
        <v>54994.379444444443</v>
      </c>
      <c r="EE38" s="242">
        <f t="shared" si="44"/>
        <v>4.5598860833254644E-2</v>
      </c>
      <c r="EG38" s="261">
        <f t="shared" si="45"/>
        <v>0</v>
      </c>
      <c r="EH38" s="241">
        <f t="shared" si="46"/>
        <v>0</v>
      </c>
      <c r="EI38" s="242">
        <f t="shared" si="47"/>
        <v>0</v>
      </c>
      <c r="EJ38" s="242"/>
      <c r="EK38" s="261">
        <f t="shared" si="48"/>
        <v>434177000</v>
      </c>
      <c r="EL38" s="261">
        <f t="shared" si="49"/>
        <v>0</v>
      </c>
      <c r="EM38" s="261">
        <f t="shared" si="50"/>
        <v>54994.379444444436</v>
      </c>
      <c r="EN38" s="242">
        <f t="shared" si="51"/>
        <v>4.559886083325463E-2</v>
      </c>
      <c r="EP38" s="241"/>
    </row>
    <row r="39" spans="1:146" x14ac:dyDescent="0.25">
      <c r="A39" s="276" t="s">
        <v>35</v>
      </c>
      <c r="D39" s="258">
        <f>SUM(D11:D38)</f>
        <v>40260.295588194451</v>
      </c>
      <c r="G39" s="258">
        <f>SUM(G11:G38)</f>
        <v>0</v>
      </c>
      <c r="J39" s="258">
        <f>SUM(J11:J38)</f>
        <v>0</v>
      </c>
      <c r="M39" s="258">
        <f>SUM(M11:M38)</f>
        <v>0</v>
      </c>
      <c r="P39" s="258">
        <f>SUM(P11:P38)</f>
        <v>0</v>
      </c>
      <c r="S39" s="258">
        <f>SUM(S11:S38)</f>
        <v>0</v>
      </c>
      <c r="V39" s="258">
        <f>SUM(V11:V38)</f>
        <v>0</v>
      </c>
      <c r="Y39" s="258">
        <f>SUM(Y11:Y38)</f>
        <v>0</v>
      </c>
      <c r="AB39" s="258">
        <f>SUM(AB11:AB38)</f>
        <v>0</v>
      </c>
      <c r="AE39" s="258">
        <f>SUM(AE11:AE38)</f>
        <v>0</v>
      </c>
      <c r="AH39" s="258">
        <f>SUM(AH11:AH38)</f>
        <v>0</v>
      </c>
      <c r="AK39" s="258">
        <f>SUM(AK11:AK38)</f>
        <v>356841.44444444444</v>
      </c>
      <c r="AN39" s="258">
        <f>SUM(AN11:AN38)</f>
        <v>538149.99999999977</v>
      </c>
      <c r="AQ39" s="258">
        <f>SUM(AQ11:AQ38)</f>
        <v>198166.80388888885</v>
      </c>
      <c r="AT39" s="258">
        <f>SUM(AT11:AT38)</f>
        <v>7900.8611111111113</v>
      </c>
      <c r="AW39" s="258">
        <f>SUM(AW11:AW38)</f>
        <v>60694.444444444438</v>
      </c>
      <c r="AZ39" s="258">
        <f>SUM(AZ11:AZ38)</f>
        <v>0</v>
      </c>
      <c r="BC39" s="258">
        <f>SUM(BC11:BC38)</f>
        <v>0</v>
      </c>
      <c r="BF39" s="258">
        <f>SUM(BF11:BF38)</f>
        <v>0</v>
      </c>
      <c r="BI39" s="258">
        <f>SUM(BI11:BI38)</f>
        <v>0</v>
      </c>
      <c r="BL39" s="258">
        <f>SUM(BL11:BL38)</f>
        <v>0</v>
      </c>
      <c r="BO39" s="258">
        <f>SUM(BO11:BO38)</f>
        <v>0</v>
      </c>
      <c r="BR39" s="258">
        <f>SUM(BR11:BR38)</f>
        <v>0</v>
      </c>
      <c r="BU39" s="258">
        <f>SUM(BU11:BU38)</f>
        <v>0</v>
      </c>
      <c r="BX39" s="258">
        <f>SUM(BX11:BX38)</f>
        <v>0</v>
      </c>
      <c r="CA39" s="258">
        <f>SUM(CA11:CA38)</f>
        <v>0</v>
      </c>
      <c r="CD39" s="258">
        <f>SUM(CD11:CD38)</f>
        <v>0</v>
      </c>
      <c r="CG39" s="258">
        <f>SUM(CG11:CG38)</f>
        <v>0</v>
      </c>
      <c r="CJ39" s="258">
        <f>SUM(CJ11:CJ38)</f>
        <v>0</v>
      </c>
      <c r="CM39" s="258">
        <f>SUM(CM11:CM38)</f>
        <v>0</v>
      </c>
      <c r="CP39" s="258">
        <f>SUM(CP11:CP38)</f>
        <v>0</v>
      </c>
      <c r="CS39" s="258">
        <f>SUM(CS11:CS38)</f>
        <v>0</v>
      </c>
      <c r="CV39" s="258">
        <f>SUM(CV11:CV38)</f>
        <v>0</v>
      </c>
      <c r="CY39" s="258">
        <f>SUM(CY11:CY38)</f>
        <v>0</v>
      </c>
      <c r="DB39" s="258">
        <f>SUM(DB11:DB38)</f>
        <v>0</v>
      </c>
      <c r="DE39" s="258">
        <f>SUM(DE11:DE38)</f>
        <v>0</v>
      </c>
      <c r="DH39" s="258">
        <f>SUM(DH11:DH38)</f>
        <v>0</v>
      </c>
      <c r="DK39" s="258">
        <f>SUM(DK11:DK38)</f>
        <v>0</v>
      </c>
      <c r="DN39" s="258">
        <f>SUM(DN11:DN38)</f>
        <v>0</v>
      </c>
      <c r="DQ39" s="258">
        <f>SUM(DQ11:DQ38)</f>
        <v>0</v>
      </c>
      <c r="DT39" s="258">
        <f>SUM(DT11:DT38)</f>
        <v>0</v>
      </c>
      <c r="DW39" s="258">
        <f>SUM(DW11:DW38)</f>
        <v>0</v>
      </c>
      <c r="DZ39" s="241"/>
      <c r="EA39" s="241"/>
      <c r="EB39" s="241"/>
      <c r="EC39" s="241"/>
      <c r="ED39" s="258">
        <f>SUM(ED11:ED38)</f>
        <v>1202013.8494770837</v>
      </c>
      <c r="EE39" s="242"/>
      <c r="EG39" s="241"/>
      <c r="EH39" s="258">
        <f>SUM(EH11:EH38)</f>
        <v>0</v>
      </c>
      <c r="EI39" s="242"/>
      <c r="EJ39" s="242"/>
      <c r="EK39" s="241"/>
      <c r="EL39" s="241"/>
      <c r="EM39" s="258">
        <f>SUM(EM11:EM38)</f>
        <v>1161753.553888889</v>
      </c>
      <c r="EN39" s="242"/>
    </row>
    <row r="40" spans="1:146" x14ac:dyDescent="0.25">
      <c r="EM40" s="277"/>
    </row>
    <row r="41" spans="1:146" x14ac:dyDescent="0.25">
      <c r="EM41" s="277"/>
    </row>
    <row r="42" spans="1:146" x14ac:dyDescent="0.25">
      <c r="EM42" s="277"/>
    </row>
    <row r="43" spans="1:146" x14ac:dyDescent="0.25">
      <c r="EM43" s="277"/>
    </row>
    <row r="45" spans="1:146" x14ac:dyDescent="0.25">
      <c r="EM45" s="241"/>
    </row>
  </sheetData>
  <pageMargins left="0.7" right="0.7" top="0.75" bottom="0.75" header="0.3" footer="0.3"/>
  <pageSetup scale="49" orientation="portrait" r:id="rId1"/>
  <headerFooter>
    <oddFooter>&amp;CSchedule RL-1</oddFooter>
  </headerFooter>
  <colBreaks count="5" manualBreakCount="5">
    <brk id="34" max="1048575" man="1"/>
    <brk id="43" max="1048575" man="1"/>
    <brk id="55" max="1048575" man="1"/>
    <brk id="64" max="1048575" man="1"/>
    <brk id="144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6"/>
  <dimension ref="A1:EQ48"/>
  <sheetViews>
    <sheetView zoomScaleNormal="100" workbookViewId="0">
      <selection activeCell="EO21" sqref="EO21"/>
    </sheetView>
  </sheetViews>
  <sheetFormatPr defaultRowHeight="15" x14ac:dyDescent="0.25"/>
  <cols>
    <col min="1" max="1" width="14.5703125" style="175" bestFit="1" customWidth="1"/>
    <col min="2" max="2" width="15.5703125" style="241" bestFit="1" customWidth="1"/>
    <col min="3" max="3" width="15.42578125" style="242" bestFit="1" customWidth="1"/>
    <col min="4" max="4" width="15.42578125" style="175" bestFit="1" customWidth="1"/>
    <col min="5" max="5" width="15.5703125" style="241" bestFit="1" customWidth="1"/>
    <col min="6" max="6" width="12.28515625" style="242" bestFit="1" customWidth="1"/>
    <col min="7" max="7" width="18.42578125" style="175" bestFit="1" customWidth="1"/>
    <col min="8" max="8" width="15.42578125" style="241" hidden="1" customWidth="1"/>
    <col min="9" max="9" width="10.28515625" style="242" hidden="1" customWidth="1"/>
    <col min="10" max="10" width="13.42578125" style="175" hidden="1" customWidth="1"/>
    <col min="11" max="11" width="14.42578125" style="241" hidden="1" customWidth="1"/>
    <col min="12" max="12" width="10.28515625" style="242" hidden="1" customWidth="1"/>
    <col min="13" max="13" width="11.7109375" style="175" hidden="1" customWidth="1"/>
    <col min="14" max="14" width="14.42578125" style="241" hidden="1" customWidth="1"/>
    <col min="15" max="15" width="10.28515625" style="242" hidden="1" customWidth="1"/>
    <col min="16" max="16" width="11.7109375" style="175" hidden="1" customWidth="1"/>
    <col min="17" max="17" width="15.42578125" style="241" hidden="1" customWidth="1"/>
    <col min="18" max="18" width="10.28515625" style="242" hidden="1" customWidth="1"/>
    <col min="19" max="19" width="11.7109375" style="175" hidden="1" customWidth="1"/>
    <col min="20" max="20" width="15.42578125" style="241" hidden="1" customWidth="1"/>
    <col min="21" max="21" width="10.28515625" style="242" hidden="1" customWidth="1"/>
    <col min="22" max="22" width="11.7109375" style="175" hidden="1" customWidth="1"/>
    <col min="23" max="23" width="15.42578125" style="241" hidden="1" customWidth="1"/>
    <col min="24" max="24" width="10.28515625" style="242" hidden="1" customWidth="1"/>
    <col min="25" max="25" width="11.7109375" style="175" hidden="1" customWidth="1"/>
    <col min="26" max="26" width="15.42578125" style="241" hidden="1" customWidth="1"/>
    <col min="27" max="27" width="10.28515625" style="242" hidden="1" customWidth="1"/>
    <col min="28" max="28" width="11.7109375" style="175" hidden="1" customWidth="1"/>
    <col min="29" max="29" width="15.42578125" style="241" hidden="1" customWidth="1"/>
    <col min="30" max="30" width="10.28515625" style="242" hidden="1" customWidth="1"/>
    <col min="31" max="31" width="11.7109375" style="175" hidden="1" customWidth="1"/>
    <col min="32" max="32" width="14.42578125" style="241" hidden="1" customWidth="1"/>
    <col min="33" max="33" width="10.28515625" style="242" hidden="1" customWidth="1"/>
    <col min="34" max="34" width="10.7109375" style="175" hidden="1" customWidth="1"/>
    <col min="35" max="35" width="14.42578125" style="241" customWidth="1"/>
    <col min="36" max="36" width="12.85546875" style="242" customWidth="1"/>
    <col min="37" max="37" width="13.7109375" style="175" bestFit="1" customWidth="1"/>
    <col min="38" max="38" width="14.42578125" style="241" customWidth="1"/>
    <col min="39" max="39" width="11.7109375" style="242" customWidth="1"/>
    <col min="40" max="40" width="14.140625" style="175" bestFit="1" customWidth="1"/>
    <col min="41" max="41" width="15.42578125" style="241" bestFit="1" customWidth="1"/>
    <col min="42" max="42" width="12.28515625" style="242" bestFit="1" customWidth="1"/>
    <col min="43" max="43" width="13.7109375" style="175" bestFit="1" customWidth="1"/>
    <col min="44" max="44" width="15.42578125" style="241" bestFit="1" customWidth="1"/>
    <col min="45" max="45" width="12.140625" style="242" customWidth="1"/>
    <col min="46" max="46" width="13.7109375" style="175" bestFit="1" customWidth="1"/>
    <col min="47" max="47" width="17.7109375" style="241" customWidth="1"/>
    <col min="48" max="48" width="12.140625" style="242" customWidth="1"/>
    <col min="49" max="49" width="13.7109375" style="175" bestFit="1" customWidth="1"/>
    <col min="50" max="50" width="18.140625" style="241" customWidth="1"/>
    <col min="51" max="51" width="12.140625" style="242" customWidth="1"/>
    <col min="52" max="52" width="14.140625" style="175" bestFit="1" customWidth="1"/>
    <col min="53" max="53" width="17.5703125" style="241" customWidth="1"/>
    <col min="54" max="54" width="12.42578125" style="242" customWidth="1"/>
    <col min="55" max="55" width="13" style="175" bestFit="1" customWidth="1"/>
    <col min="56" max="56" width="14.42578125" style="241" customWidth="1"/>
    <col min="57" max="57" width="10.28515625" style="242" customWidth="1"/>
    <col min="58" max="58" width="10.7109375" style="175" customWidth="1"/>
    <col min="59" max="59" width="14.42578125" style="241" customWidth="1"/>
    <col min="60" max="60" width="10.28515625" style="242" customWidth="1"/>
    <col min="61" max="61" width="10.7109375" style="175" customWidth="1"/>
    <col min="62" max="62" width="14.42578125" style="241" customWidth="1"/>
    <col min="63" max="63" width="10.28515625" style="242" customWidth="1"/>
    <col min="64" max="64" width="10.7109375" style="175" customWidth="1"/>
    <col min="65" max="65" width="14.42578125" style="241" hidden="1" customWidth="1"/>
    <col min="66" max="66" width="10.28515625" style="242" hidden="1" customWidth="1"/>
    <col min="67" max="67" width="10.7109375" style="175" hidden="1" customWidth="1"/>
    <col min="68" max="68" width="14.42578125" style="241" hidden="1" customWidth="1"/>
    <col min="69" max="69" width="10.28515625" style="242" hidden="1" customWidth="1"/>
    <col min="70" max="70" width="10.7109375" style="175" hidden="1" customWidth="1"/>
    <col min="71" max="71" width="14.42578125" style="241" hidden="1" customWidth="1"/>
    <col min="72" max="72" width="10.28515625" style="242" hidden="1" customWidth="1"/>
    <col min="73" max="73" width="10.7109375" style="175" hidden="1" customWidth="1"/>
    <col min="74" max="74" width="14.42578125" style="241" hidden="1" customWidth="1"/>
    <col min="75" max="75" width="10.28515625" style="242" hidden="1" customWidth="1"/>
    <col min="76" max="76" width="10.7109375" style="175" hidden="1" customWidth="1"/>
    <col min="77" max="77" width="14.42578125" style="241" hidden="1" customWidth="1"/>
    <col min="78" max="78" width="10.28515625" style="242" hidden="1" customWidth="1"/>
    <col min="79" max="79" width="10.7109375" style="175" hidden="1" customWidth="1"/>
    <col min="80" max="80" width="14.42578125" style="241" hidden="1" customWidth="1"/>
    <col min="81" max="81" width="10.28515625" style="242" hidden="1" customWidth="1"/>
    <col min="82" max="82" width="10.7109375" style="175" hidden="1" customWidth="1"/>
    <col min="83" max="83" width="14.42578125" style="241" hidden="1" customWidth="1"/>
    <col min="84" max="84" width="10.28515625" style="242" hidden="1" customWidth="1"/>
    <col min="85" max="85" width="10.7109375" style="175" hidden="1" customWidth="1"/>
    <col min="86" max="86" width="14.42578125" style="241" hidden="1" customWidth="1"/>
    <col min="87" max="87" width="10.28515625" style="242" hidden="1" customWidth="1"/>
    <col min="88" max="88" width="10.7109375" style="175" hidden="1" customWidth="1"/>
    <col min="89" max="89" width="14.42578125" style="241" hidden="1" customWidth="1"/>
    <col min="90" max="90" width="10.28515625" style="242" hidden="1" customWidth="1"/>
    <col min="91" max="91" width="10.7109375" style="175" hidden="1" customWidth="1"/>
    <col min="92" max="92" width="14.42578125" style="241" hidden="1" customWidth="1"/>
    <col min="93" max="93" width="10.28515625" style="242" hidden="1" customWidth="1"/>
    <col min="94" max="94" width="10.7109375" style="175" hidden="1" customWidth="1"/>
    <col min="95" max="95" width="14.42578125" style="241" hidden="1" customWidth="1"/>
    <col min="96" max="96" width="10.28515625" style="242" hidden="1" customWidth="1"/>
    <col min="97" max="97" width="10.7109375" style="175" hidden="1" customWidth="1"/>
    <col min="98" max="98" width="14.42578125" style="241" hidden="1" customWidth="1"/>
    <col min="99" max="99" width="10.28515625" style="242" hidden="1" customWidth="1"/>
    <col min="100" max="100" width="10.7109375" style="175" hidden="1" customWidth="1"/>
    <col min="101" max="101" width="14.42578125" style="241" hidden="1" customWidth="1"/>
    <col min="102" max="102" width="10.28515625" style="242" hidden="1" customWidth="1"/>
    <col min="103" max="103" width="10.7109375" style="175" hidden="1" customWidth="1"/>
    <col min="104" max="104" width="14.42578125" style="241" hidden="1" customWidth="1"/>
    <col min="105" max="105" width="10.28515625" style="242" hidden="1" customWidth="1"/>
    <col min="106" max="106" width="10.7109375" style="175" hidden="1" customWidth="1"/>
    <col min="107" max="107" width="14.42578125" style="241" hidden="1" customWidth="1"/>
    <col min="108" max="108" width="10.28515625" style="242" hidden="1" customWidth="1"/>
    <col min="109" max="109" width="10.7109375" style="175" hidden="1" customWidth="1"/>
    <col min="110" max="110" width="14.42578125" style="241" hidden="1" customWidth="1"/>
    <col min="111" max="111" width="10.28515625" style="242" hidden="1" customWidth="1"/>
    <col min="112" max="112" width="10.7109375" style="175" hidden="1" customWidth="1"/>
    <col min="113" max="113" width="14.42578125" style="241" hidden="1" customWidth="1"/>
    <col min="114" max="114" width="10.28515625" style="242" hidden="1" customWidth="1"/>
    <col min="115" max="115" width="10.7109375" style="175" hidden="1" customWidth="1"/>
    <col min="116" max="116" width="14.42578125" style="241" hidden="1" customWidth="1"/>
    <col min="117" max="117" width="10.28515625" style="242" hidden="1" customWidth="1"/>
    <col min="118" max="118" width="10.7109375" style="175" hidden="1" customWidth="1"/>
    <col min="119" max="119" width="14.42578125" style="241" hidden="1" customWidth="1"/>
    <col min="120" max="120" width="10.28515625" style="242" hidden="1" customWidth="1"/>
    <col min="121" max="121" width="10.7109375" style="175" hidden="1" customWidth="1"/>
    <col min="122" max="122" width="14.42578125" style="241" hidden="1" customWidth="1"/>
    <col min="123" max="123" width="10.28515625" style="242" hidden="1" customWidth="1"/>
    <col min="124" max="124" width="10.7109375" style="175" hidden="1" customWidth="1"/>
    <col min="125" max="125" width="14.42578125" style="241" hidden="1" customWidth="1"/>
    <col min="126" max="126" width="10.28515625" style="242" hidden="1" customWidth="1"/>
    <col min="127" max="127" width="10.7109375" style="175" hidden="1" customWidth="1"/>
    <col min="128" max="128" width="14.42578125" style="241" hidden="1" customWidth="1"/>
    <col min="129" max="129" width="10.28515625" style="242" hidden="1" customWidth="1"/>
    <col min="130" max="130" width="10.7109375" style="175" hidden="1" customWidth="1"/>
    <col min="131" max="131" width="2.7109375" style="175" customWidth="1"/>
    <col min="132" max="132" width="19" style="175" customWidth="1"/>
    <col min="133" max="133" width="2.140625" style="175" hidden="1" customWidth="1"/>
    <col min="134" max="134" width="14.42578125" style="175" bestFit="1" customWidth="1"/>
    <col min="135" max="135" width="19.42578125" style="175" customWidth="1"/>
    <col min="136" max="136" width="2.7109375" style="175" customWidth="1"/>
    <col min="137" max="137" width="15.42578125" style="175" hidden="1" customWidth="1"/>
    <col min="138" max="138" width="14.42578125" style="175" hidden="1" customWidth="1"/>
    <col min="139" max="139" width="12.42578125" style="175" hidden="1" customWidth="1"/>
    <col min="140" max="140" width="2.7109375" style="175" hidden="1" customWidth="1"/>
    <col min="141" max="141" width="17.85546875" style="175" customWidth="1"/>
    <col min="142" max="142" width="15.42578125" style="175" hidden="1" customWidth="1"/>
    <col min="143" max="143" width="14.42578125" style="175" bestFit="1" customWidth="1"/>
    <col min="144" max="144" width="18.42578125" style="175" bestFit="1" customWidth="1"/>
    <col min="145" max="145" width="42.85546875" style="175" bestFit="1" customWidth="1"/>
    <col min="146" max="146" width="18.85546875" style="175" customWidth="1"/>
    <col min="147" max="147" width="23.140625" style="175" bestFit="1" customWidth="1"/>
    <col min="148" max="16384" width="9.140625" style="175"/>
  </cols>
  <sheetData>
    <row r="1" spans="1:147" s="202" customFormat="1" x14ac:dyDescent="0.25">
      <c r="A1" s="260" t="s">
        <v>0</v>
      </c>
      <c r="B1" s="261"/>
      <c r="C1" s="262"/>
      <c r="E1" s="261"/>
      <c r="F1" s="262"/>
      <c r="H1" s="261"/>
      <c r="I1" s="262"/>
      <c r="K1" s="261"/>
      <c r="L1" s="262"/>
      <c r="N1" s="261"/>
      <c r="O1" s="262"/>
      <c r="Q1" s="261"/>
      <c r="R1" s="262"/>
      <c r="T1" s="261"/>
      <c r="U1" s="262"/>
      <c r="W1" s="261"/>
      <c r="X1" s="262"/>
      <c r="Z1" s="261"/>
      <c r="AA1" s="262"/>
      <c r="AC1" s="261"/>
      <c r="AD1" s="262"/>
      <c r="AF1" s="261"/>
      <c r="AG1" s="262"/>
      <c r="AI1" s="261"/>
      <c r="AJ1" s="262"/>
      <c r="AL1" s="261"/>
      <c r="AM1" s="262"/>
      <c r="AO1" s="261"/>
      <c r="AP1" s="262"/>
      <c r="AR1" s="261"/>
      <c r="AS1" s="262"/>
      <c r="AU1" s="261"/>
      <c r="AV1" s="262"/>
      <c r="AX1" s="261"/>
      <c r="AY1" s="262"/>
      <c r="BA1" s="261"/>
      <c r="BB1" s="262"/>
      <c r="BD1" s="261"/>
      <c r="BE1" s="262"/>
      <c r="BG1" s="261"/>
      <c r="BH1" s="262"/>
      <c r="BJ1" s="261"/>
      <c r="BK1" s="262"/>
      <c r="BM1" s="261"/>
      <c r="BN1" s="262"/>
      <c r="BP1" s="261"/>
      <c r="BQ1" s="262"/>
      <c r="BS1" s="261"/>
      <c r="BT1" s="262"/>
      <c r="BV1" s="261"/>
      <c r="BW1" s="262"/>
      <c r="BY1" s="261"/>
      <c r="BZ1" s="262"/>
      <c r="CB1" s="261"/>
      <c r="CC1" s="262"/>
      <c r="CE1" s="261"/>
      <c r="CF1" s="262"/>
      <c r="CH1" s="261"/>
      <c r="CI1" s="262"/>
      <c r="CK1" s="261"/>
      <c r="CL1" s="262"/>
      <c r="CN1" s="261"/>
      <c r="CO1" s="262"/>
      <c r="CQ1" s="261"/>
      <c r="CR1" s="262"/>
      <c r="CT1" s="261"/>
      <c r="CU1" s="262"/>
      <c r="CW1" s="261"/>
      <c r="CX1" s="262"/>
      <c r="CZ1" s="261"/>
      <c r="DA1" s="262"/>
      <c r="DC1" s="261"/>
      <c r="DD1" s="262"/>
      <c r="DF1" s="261"/>
      <c r="DG1" s="262"/>
      <c r="DI1" s="261"/>
      <c r="DJ1" s="262"/>
      <c r="DL1" s="261"/>
      <c r="DM1" s="262"/>
      <c r="DO1" s="261"/>
      <c r="DP1" s="262"/>
      <c r="DR1" s="261"/>
      <c r="DS1" s="262"/>
      <c r="DU1" s="261"/>
      <c r="DV1" s="262"/>
      <c r="DX1" s="261"/>
      <c r="DY1" s="262"/>
      <c r="DZ1" s="263"/>
      <c r="ED1" s="191"/>
      <c r="EE1" s="264" t="s">
        <v>37</v>
      </c>
      <c r="EI1" s="191" t="s">
        <v>38</v>
      </c>
      <c r="EM1" s="191"/>
      <c r="EN1" s="191" t="s">
        <v>39</v>
      </c>
      <c r="EO1" s="260" t="s">
        <v>40</v>
      </c>
      <c r="EP1" s="260" t="s">
        <v>41</v>
      </c>
      <c r="EQ1" s="260" t="s">
        <v>42</v>
      </c>
    </row>
    <row r="2" spans="1:147" s="202" customFormat="1" ht="15.75" thickBot="1" x14ac:dyDescent="0.3">
      <c r="A2" s="260" t="s">
        <v>43</v>
      </c>
      <c r="B2" s="261"/>
      <c r="C2" s="262"/>
      <c r="E2" s="263"/>
      <c r="F2" s="262"/>
      <c r="G2" s="191"/>
      <c r="H2" s="261"/>
      <c r="I2" s="262"/>
      <c r="K2" s="261"/>
      <c r="L2" s="262"/>
      <c r="N2" s="261"/>
      <c r="O2" s="262"/>
      <c r="Q2" s="261"/>
      <c r="R2" s="262"/>
      <c r="T2" s="261"/>
      <c r="U2" s="262"/>
      <c r="W2" s="261"/>
      <c r="X2" s="262"/>
      <c r="Z2" s="261"/>
      <c r="AA2" s="262"/>
      <c r="AC2" s="261"/>
      <c r="AD2" s="262"/>
      <c r="AF2" s="261"/>
      <c r="AG2" s="262"/>
      <c r="AI2" s="261"/>
      <c r="AJ2" s="262"/>
      <c r="AL2" s="261"/>
      <c r="AM2" s="262"/>
      <c r="AO2" s="261"/>
      <c r="AP2" s="262"/>
      <c r="AR2" s="261"/>
      <c r="AS2" s="262"/>
      <c r="AU2" s="261"/>
      <c r="AV2" s="262"/>
      <c r="AX2" s="261"/>
      <c r="AY2" s="262"/>
      <c r="BA2" s="261"/>
      <c r="BB2" s="262"/>
      <c r="BD2" s="261"/>
      <c r="BE2" s="262"/>
      <c r="BG2" s="261"/>
      <c r="BH2" s="262"/>
      <c r="BJ2" s="261"/>
      <c r="BK2" s="262"/>
      <c r="BM2" s="261"/>
      <c r="BN2" s="262"/>
      <c r="BP2" s="261"/>
      <c r="BQ2" s="262"/>
      <c r="BS2" s="261"/>
      <c r="BT2" s="262"/>
      <c r="BV2" s="261"/>
      <c r="BW2" s="262"/>
      <c r="BY2" s="261"/>
      <c r="BZ2" s="262"/>
      <c r="CB2" s="261"/>
      <c r="CC2" s="262"/>
      <c r="CE2" s="261"/>
      <c r="CF2" s="262"/>
      <c r="CH2" s="261"/>
      <c r="CI2" s="262"/>
      <c r="CK2" s="261"/>
      <c r="CL2" s="262"/>
      <c r="CN2" s="261"/>
      <c r="CO2" s="262"/>
      <c r="CQ2" s="261"/>
      <c r="CR2" s="262"/>
      <c r="CT2" s="261"/>
      <c r="CU2" s="262"/>
      <c r="CW2" s="261"/>
      <c r="CX2" s="262"/>
      <c r="CZ2" s="261"/>
      <c r="DA2" s="262"/>
      <c r="DC2" s="261"/>
      <c r="DD2" s="262"/>
      <c r="DF2" s="261"/>
      <c r="DG2" s="262"/>
      <c r="DI2" s="261"/>
      <c r="DJ2" s="262"/>
      <c r="DL2" s="261"/>
      <c r="DM2" s="262"/>
      <c r="DO2" s="261"/>
      <c r="DP2" s="262"/>
      <c r="DR2" s="261"/>
      <c r="DS2" s="262"/>
      <c r="DU2" s="261"/>
      <c r="DV2" s="262"/>
      <c r="DX2" s="261"/>
      <c r="DY2" s="262"/>
      <c r="EB2" s="175" t="s">
        <v>44</v>
      </c>
      <c r="EC2" s="175"/>
      <c r="ED2" s="241"/>
      <c r="EE2" s="241">
        <f>EB41</f>
        <v>629550000</v>
      </c>
      <c r="EI2" s="241">
        <f>EG40</f>
        <v>0</v>
      </c>
      <c r="EM2" s="241"/>
      <c r="EN2" s="241">
        <f>EK41</f>
        <v>629550000</v>
      </c>
      <c r="EO2" s="265">
        <v>-187530</v>
      </c>
      <c r="EP2" s="261">
        <f>EN2+EO2</f>
        <v>629362470</v>
      </c>
      <c r="EQ2" s="261">
        <f>EE2+EO2</f>
        <v>629362470</v>
      </c>
    </row>
    <row r="3" spans="1:147" ht="15.75" thickTop="1" x14ac:dyDescent="0.25">
      <c r="A3" s="266" t="s">
        <v>252</v>
      </c>
      <c r="E3" s="267" t="s">
        <v>45</v>
      </c>
      <c r="F3" s="243"/>
      <c r="G3" s="244"/>
      <c r="EB3" s="175" t="s">
        <v>46</v>
      </c>
      <c r="ED3" s="241"/>
      <c r="EE3" s="241">
        <f>AVERAGE(EB11:EB41)</f>
        <v>478133096.77419353</v>
      </c>
      <c r="EI3" s="241">
        <f>AVERAGE(EG11:EG40)</f>
        <v>0</v>
      </c>
      <c r="EM3" s="241"/>
      <c r="EN3" s="241">
        <f>AVERAGE(EK11:EK41)</f>
        <v>477968580.64516127</v>
      </c>
    </row>
    <row r="4" spans="1:147" x14ac:dyDescent="0.25">
      <c r="E4" s="245" t="s">
        <v>44</v>
      </c>
      <c r="F4" s="241"/>
      <c r="G4" s="246">
        <f>EQ2</f>
        <v>629362470</v>
      </c>
      <c r="AI4" s="260" t="s">
        <v>47</v>
      </c>
      <c r="EB4" s="175" t="s">
        <v>48</v>
      </c>
      <c r="ED4" s="242"/>
      <c r="EE4" s="242">
        <f>IF(EE3=0,0,360*(AVERAGE(ED11:ED41)/EE3))</f>
        <v>4.6190125677989774E-2</v>
      </c>
      <c r="EI4" s="242">
        <f>IF(EI3=0,0,360*(AVERAGE(EH11:EH40)/EI3))</f>
        <v>0</v>
      </c>
      <c r="EM4" s="242"/>
      <c r="EN4" s="242">
        <f>IF(EN3=0,0,360*(AVERAGE(EM11:EM41)/EN3))</f>
        <v>4.6190104363723179E-2</v>
      </c>
      <c r="EO4" s="202" t="s">
        <v>241</v>
      </c>
      <c r="EQ4" s="191" t="s">
        <v>47</v>
      </c>
    </row>
    <row r="5" spans="1:147" x14ac:dyDescent="0.25">
      <c r="E5" s="245" t="s">
        <v>46</v>
      </c>
      <c r="F5" s="241"/>
      <c r="G5" s="246">
        <f>EE3</f>
        <v>478133096.77419353</v>
      </c>
      <c r="AI5" s="268" t="s">
        <v>39</v>
      </c>
      <c r="EB5" s="175" t="s">
        <v>49</v>
      </c>
      <c r="ED5" s="241"/>
      <c r="EE5" s="241">
        <f>MAX(EB11:EB41)</f>
        <v>629550000</v>
      </c>
      <c r="EI5" s="241">
        <f>MAX(EG11:EG40)</f>
        <v>0</v>
      </c>
      <c r="EM5" s="241"/>
      <c r="EN5" s="241">
        <f>MAX(EK11:EK41)</f>
        <v>629550000</v>
      </c>
      <c r="EO5" s="175" t="s">
        <v>242</v>
      </c>
    </row>
    <row r="6" spans="1:147" x14ac:dyDescent="0.25">
      <c r="E6" s="245" t="s">
        <v>48</v>
      </c>
      <c r="F6" s="241"/>
      <c r="G6" s="247">
        <f>EE4</f>
        <v>4.6190125677989774E-2</v>
      </c>
    </row>
    <row r="7" spans="1:147" ht="15.75" thickBot="1" x14ac:dyDescent="0.3">
      <c r="E7" s="248" t="s">
        <v>49</v>
      </c>
      <c r="F7" s="249"/>
      <c r="G7" s="250">
        <f>EE5</f>
        <v>629550000</v>
      </c>
      <c r="AI7" s="268" t="s">
        <v>39</v>
      </c>
      <c r="EB7" s="269" t="s">
        <v>50</v>
      </c>
      <c r="EC7" s="269"/>
      <c r="ED7" s="251"/>
      <c r="EE7" s="251"/>
      <c r="EG7" s="269" t="s">
        <v>51</v>
      </c>
      <c r="EH7" s="251"/>
      <c r="EI7" s="251"/>
      <c r="EJ7" s="174"/>
      <c r="EK7" s="269" t="s">
        <v>52</v>
      </c>
      <c r="EL7" s="269"/>
      <c r="EM7" s="251"/>
      <c r="EN7" s="251"/>
    </row>
    <row r="8" spans="1:147" ht="15.75" thickTop="1" x14ac:dyDescent="0.25">
      <c r="AI8" s="263" t="s">
        <v>53</v>
      </c>
      <c r="AL8" s="263" t="s">
        <v>53</v>
      </c>
      <c r="AO8" s="263" t="s">
        <v>53</v>
      </c>
      <c r="AR8" s="263" t="s">
        <v>53</v>
      </c>
      <c r="AU8" s="263" t="s">
        <v>53</v>
      </c>
      <c r="AX8" s="263" t="s">
        <v>53</v>
      </c>
      <c r="BA8" s="263" t="s">
        <v>53</v>
      </c>
      <c r="BD8" s="263" t="s">
        <v>53</v>
      </c>
      <c r="BG8" s="263" t="s">
        <v>53</v>
      </c>
      <c r="BJ8" s="263" t="s">
        <v>53</v>
      </c>
      <c r="BM8" s="263" t="s">
        <v>53</v>
      </c>
      <c r="BP8" s="263" t="s">
        <v>53</v>
      </c>
      <c r="BS8" s="263" t="s">
        <v>53</v>
      </c>
      <c r="BV8" s="263" t="s">
        <v>53</v>
      </c>
      <c r="BY8" s="263" t="s">
        <v>53</v>
      </c>
      <c r="CB8" s="263" t="s">
        <v>53</v>
      </c>
      <c r="CE8" s="263" t="s">
        <v>53</v>
      </c>
      <c r="CH8" s="263" t="s">
        <v>53</v>
      </c>
      <c r="CK8" s="263" t="s">
        <v>53</v>
      </c>
      <c r="CN8" s="263" t="s">
        <v>53</v>
      </c>
      <c r="CQ8" s="263" t="s">
        <v>53</v>
      </c>
      <c r="CT8" s="263" t="s">
        <v>53</v>
      </c>
      <c r="CW8" s="263" t="s">
        <v>53</v>
      </c>
      <c r="CZ8" s="263" t="s">
        <v>53</v>
      </c>
      <c r="DC8" s="263" t="s">
        <v>53</v>
      </c>
      <c r="DF8" s="263" t="s">
        <v>53</v>
      </c>
      <c r="DI8" s="263" t="s">
        <v>53</v>
      </c>
      <c r="DL8" s="263" t="s">
        <v>53</v>
      </c>
      <c r="DO8" s="263" t="s">
        <v>53</v>
      </c>
      <c r="DR8" s="263" t="s">
        <v>53</v>
      </c>
      <c r="EB8" s="252"/>
      <c r="EC8" s="252"/>
      <c r="ED8" s="252"/>
      <c r="EE8" s="252" t="s">
        <v>54</v>
      </c>
      <c r="EG8" s="252"/>
      <c r="EH8" s="270" t="s">
        <v>38</v>
      </c>
      <c r="EI8" s="252" t="s">
        <v>54</v>
      </c>
      <c r="EJ8" s="252"/>
      <c r="EK8" s="191" t="s">
        <v>55</v>
      </c>
      <c r="EL8" s="191" t="s">
        <v>56</v>
      </c>
      <c r="EM8" s="270" t="s">
        <v>57</v>
      </c>
      <c r="EN8" s="252" t="s">
        <v>54</v>
      </c>
    </row>
    <row r="9" spans="1:147" x14ac:dyDescent="0.25">
      <c r="B9" s="253" t="s">
        <v>58</v>
      </c>
      <c r="C9" s="254"/>
      <c r="D9" s="251"/>
      <c r="E9" s="253" t="s">
        <v>59</v>
      </c>
      <c r="F9" s="254"/>
      <c r="G9" s="251"/>
      <c r="H9" s="253" t="s">
        <v>60</v>
      </c>
      <c r="I9" s="254"/>
      <c r="J9" s="251"/>
      <c r="K9" s="253" t="s">
        <v>61</v>
      </c>
      <c r="L9" s="254"/>
      <c r="M9" s="251"/>
      <c r="N9" s="253" t="s">
        <v>62</v>
      </c>
      <c r="O9" s="254"/>
      <c r="P9" s="251"/>
      <c r="Q9" s="253" t="s">
        <v>63</v>
      </c>
      <c r="R9" s="254"/>
      <c r="S9" s="251"/>
      <c r="T9" s="253" t="s">
        <v>64</v>
      </c>
      <c r="U9" s="254"/>
      <c r="V9" s="251"/>
      <c r="W9" s="253" t="s">
        <v>65</v>
      </c>
      <c r="X9" s="254"/>
      <c r="Y9" s="251"/>
      <c r="Z9" s="253" t="s">
        <v>66</v>
      </c>
      <c r="AA9" s="254"/>
      <c r="AB9" s="251"/>
      <c r="AC9" s="271" t="s">
        <v>67</v>
      </c>
      <c r="AD9" s="254"/>
      <c r="AE9" s="251"/>
      <c r="AF9" s="271" t="s">
        <v>68</v>
      </c>
      <c r="AG9" s="254"/>
      <c r="AH9" s="251"/>
      <c r="AI9" s="253" t="s">
        <v>69</v>
      </c>
      <c r="AJ9" s="254"/>
      <c r="AK9" s="251"/>
      <c r="AL9" s="253" t="s">
        <v>70</v>
      </c>
      <c r="AM9" s="254"/>
      <c r="AN9" s="251"/>
      <c r="AO9" s="253" t="s">
        <v>71</v>
      </c>
      <c r="AP9" s="254"/>
      <c r="AQ9" s="251"/>
      <c r="AR9" s="253" t="s">
        <v>72</v>
      </c>
      <c r="AS9" s="254"/>
      <c r="AT9" s="251"/>
      <c r="AU9" s="253" t="s">
        <v>73</v>
      </c>
      <c r="AV9" s="254"/>
      <c r="AW9" s="251"/>
      <c r="AX9" s="253" t="s">
        <v>74</v>
      </c>
      <c r="AY9" s="254"/>
      <c r="AZ9" s="251"/>
      <c r="BA9" s="253" t="s">
        <v>75</v>
      </c>
      <c r="BB9" s="254"/>
      <c r="BC9" s="251"/>
      <c r="BD9" s="253" t="s">
        <v>76</v>
      </c>
      <c r="BE9" s="254"/>
      <c r="BF9" s="251"/>
      <c r="BG9" s="253" t="s">
        <v>77</v>
      </c>
      <c r="BH9" s="254"/>
      <c r="BI9" s="251"/>
      <c r="BJ9" s="253" t="s">
        <v>78</v>
      </c>
      <c r="BK9" s="254"/>
      <c r="BL9" s="251"/>
      <c r="BM9" s="253" t="s">
        <v>79</v>
      </c>
      <c r="BN9" s="254"/>
      <c r="BO9" s="251"/>
      <c r="BP9" s="253" t="s">
        <v>80</v>
      </c>
      <c r="BQ9" s="254"/>
      <c r="BR9" s="251"/>
      <c r="BS9" s="253" t="s">
        <v>81</v>
      </c>
      <c r="BT9" s="254"/>
      <c r="BU9" s="251"/>
      <c r="BV9" s="253" t="s">
        <v>82</v>
      </c>
      <c r="BW9" s="254"/>
      <c r="BX9" s="251"/>
      <c r="BY9" s="253" t="s">
        <v>83</v>
      </c>
      <c r="BZ9" s="254"/>
      <c r="CA9" s="251"/>
      <c r="CB9" s="253" t="s">
        <v>84</v>
      </c>
      <c r="CC9" s="254"/>
      <c r="CD9" s="251"/>
      <c r="CE9" s="253" t="s">
        <v>85</v>
      </c>
      <c r="CF9" s="254"/>
      <c r="CG9" s="251"/>
      <c r="CH9" s="253" t="s">
        <v>86</v>
      </c>
      <c r="CI9" s="254"/>
      <c r="CJ9" s="251"/>
      <c r="CK9" s="253" t="s">
        <v>87</v>
      </c>
      <c r="CL9" s="254"/>
      <c r="CM9" s="251"/>
      <c r="CN9" s="253" t="s">
        <v>88</v>
      </c>
      <c r="CO9" s="254"/>
      <c r="CP9" s="251"/>
      <c r="CQ9" s="253" t="s">
        <v>89</v>
      </c>
      <c r="CR9" s="254"/>
      <c r="CS9" s="251"/>
      <c r="CT9" s="253" t="s">
        <v>90</v>
      </c>
      <c r="CU9" s="254"/>
      <c r="CV9" s="251"/>
      <c r="CW9" s="253" t="s">
        <v>91</v>
      </c>
      <c r="CX9" s="254"/>
      <c r="CY9" s="251"/>
      <c r="CZ9" s="253" t="s">
        <v>92</v>
      </c>
      <c r="DA9" s="254"/>
      <c r="DB9" s="251"/>
      <c r="DC9" s="253" t="s">
        <v>93</v>
      </c>
      <c r="DD9" s="254"/>
      <c r="DE9" s="251"/>
      <c r="DF9" s="253" t="s">
        <v>94</v>
      </c>
      <c r="DG9" s="254"/>
      <c r="DH9" s="251"/>
      <c r="DI9" s="253" t="s">
        <v>95</v>
      </c>
      <c r="DJ9" s="254"/>
      <c r="DK9" s="251"/>
      <c r="DL9" s="253" t="s">
        <v>96</v>
      </c>
      <c r="DM9" s="254"/>
      <c r="DN9" s="251"/>
      <c r="DO9" s="253" t="s">
        <v>97</v>
      </c>
      <c r="DP9" s="254"/>
      <c r="DQ9" s="251"/>
      <c r="DR9" s="253" t="s">
        <v>98</v>
      </c>
      <c r="DS9" s="254"/>
      <c r="DT9" s="251"/>
      <c r="DU9" s="253" t="s">
        <v>99</v>
      </c>
      <c r="DV9" s="254"/>
      <c r="DW9" s="251"/>
      <c r="DX9" s="272" t="s">
        <v>100</v>
      </c>
      <c r="DY9" s="254"/>
      <c r="DZ9" s="251"/>
      <c r="EA9" s="174"/>
      <c r="EB9" s="191" t="s">
        <v>101</v>
      </c>
      <c r="EC9" s="191" t="s">
        <v>102</v>
      </c>
      <c r="ED9" s="252" t="s">
        <v>103</v>
      </c>
      <c r="EE9" s="252" t="s">
        <v>104</v>
      </c>
      <c r="EG9" s="270" t="s">
        <v>105</v>
      </c>
      <c r="EH9" s="252" t="s">
        <v>103</v>
      </c>
      <c r="EI9" s="252" t="s">
        <v>104</v>
      </c>
      <c r="EJ9" s="252"/>
      <c r="EK9" s="270" t="s">
        <v>57</v>
      </c>
      <c r="EL9" s="270" t="s">
        <v>57</v>
      </c>
      <c r="EM9" s="252" t="s">
        <v>103</v>
      </c>
      <c r="EN9" s="252" t="s">
        <v>104</v>
      </c>
    </row>
    <row r="10" spans="1:147" x14ac:dyDescent="0.25">
      <c r="A10" s="252" t="s">
        <v>106</v>
      </c>
      <c r="B10" s="273" t="s">
        <v>107</v>
      </c>
      <c r="C10" s="274" t="s">
        <v>108</v>
      </c>
      <c r="D10" s="275" t="s">
        <v>12</v>
      </c>
      <c r="E10" s="273" t="s">
        <v>107</v>
      </c>
      <c r="F10" s="274" t="s">
        <v>108</v>
      </c>
      <c r="G10" s="275" t="s">
        <v>12</v>
      </c>
      <c r="H10" s="273" t="s">
        <v>107</v>
      </c>
      <c r="I10" s="274" t="s">
        <v>108</v>
      </c>
      <c r="J10" s="275" t="s">
        <v>12</v>
      </c>
      <c r="K10" s="273" t="s">
        <v>107</v>
      </c>
      <c r="L10" s="274" t="s">
        <v>108</v>
      </c>
      <c r="M10" s="275" t="s">
        <v>12</v>
      </c>
      <c r="N10" s="273" t="s">
        <v>107</v>
      </c>
      <c r="O10" s="274" t="s">
        <v>108</v>
      </c>
      <c r="P10" s="275" t="s">
        <v>12</v>
      </c>
      <c r="Q10" s="273" t="s">
        <v>107</v>
      </c>
      <c r="R10" s="274" t="s">
        <v>108</v>
      </c>
      <c r="S10" s="275" t="s">
        <v>12</v>
      </c>
      <c r="T10" s="273" t="s">
        <v>107</v>
      </c>
      <c r="U10" s="274" t="s">
        <v>108</v>
      </c>
      <c r="V10" s="275" t="s">
        <v>12</v>
      </c>
      <c r="W10" s="273" t="s">
        <v>107</v>
      </c>
      <c r="X10" s="274" t="s">
        <v>108</v>
      </c>
      <c r="Y10" s="275" t="s">
        <v>12</v>
      </c>
      <c r="Z10" s="273" t="s">
        <v>107</v>
      </c>
      <c r="AA10" s="274" t="s">
        <v>108</v>
      </c>
      <c r="AB10" s="275" t="s">
        <v>12</v>
      </c>
      <c r="AC10" s="273" t="s">
        <v>107</v>
      </c>
      <c r="AD10" s="274" t="s">
        <v>108</v>
      </c>
      <c r="AE10" s="275" t="s">
        <v>12</v>
      </c>
      <c r="AF10" s="273" t="s">
        <v>107</v>
      </c>
      <c r="AG10" s="274" t="s">
        <v>108</v>
      </c>
      <c r="AH10" s="275" t="s">
        <v>12</v>
      </c>
      <c r="AI10" s="273" t="s">
        <v>107</v>
      </c>
      <c r="AJ10" s="274" t="s">
        <v>108</v>
      </c>
      <c r="AK10" s="275" t="s">
        <v>12</v>
      </c>
      <c r="AL10" s="273" t="s">
        <v>107</v>
      </c>
      <c r="AM10" s="274" t="s">
        <v>108</v>
      </c>
      <c r="AN10" s="275" t="s">
        <v>12</v>
      </c>
      <c r="AO10" s="273" t="s">
        <v>107</v>
      </c>
      <c r="AP10" s="274" t="s">
        <v>108</v>
      </c>
      <c r="AQ10" s="275" t="s">
        <v>12</v>
      </c>
      <c r="AR10" s="273" t="s">
        <v>107</v>
      </c>
      <c r="AS10" s="274" t="s">
        <v>108</v>
      </c>
      <c r="AT10" s="275" t="s">
        <v>12</v>
      </c>
      <c r="AU10" s="273" t="s">
        <v>107</v>
      </c>
      <c r="AV10" s="274" t="s">
        <v>108</v>
      </c>
      <c r="AW10" s="275" t="s">
        <v>12</v>
      </c>
      <c r="AX10" s="273" t="s">
        <v>107</v>
      </c>
      <c r="AY10" s="274" t="s">
        <v>108</v>
      </c>
      <c r="AZ10" s="275" t="s">
        <v>12</v>
      </c>
      <c r="BA10" s="273" t="s">
        <v>107</v>
      </c>
      <c r="BB10" s="274" t="s">
        <v>108</v>
      </c>
      <c r="BC10" s="275" t="s">
        <v>12</v>
      </c>
      <c r="BD10" s="273" t="s">
        <v>107</v>
      </c>
      <c r="BE10" s="274" t="s">
        <v>108</v>
      </c>
      <c r="BF10" s="275" t="s">
        <v>12</v>
      </c>
      <c r="BG10" s="273" t="s">
        <v>107</v>
      </c>
      <c r="BH10" s="274" t="s">
        <v>108</v>
      </c>
      <c r="BI10" s="275" t="s">
        <v>12</v>
      </c>
      <c r="BJ10" s="273" t="s">
        <v>107</v>
      </c>
      <c r="BK10" s="274" t="s">
        <v>108</v>
      </c>
      <c r="BL10" s="275" t="s">
        <v>12</v>
      </c>
      <c r="BM10" s="273" t="s">
        <v>107</v>
      </c>
      <c r="BN10" s="274" t="s">
        <v>108</v>
      </c>
      <c r="BO10" s="275" t="s">
        <v>12</v>
      </c>
      <c r="BP10" s="273" t="s">
        <v>107</v>
      </c>
      <c r="BQ10" s="274" t="s">
        <v>108</v>
      </c>
      <c r="BR10" s="275" t="s">
        <v>12</v>
      </c>
      <c r="BS10" s="273" t="s">
        <v>107</v>
      </c>
      <c r="BT10" s="274" t="s">
        <v>108</v>
      </c>
      <c r="BU10" s="275" t="s">
        <v>12</v>
      </c>
      <c r="BV10" s="273" t="s">
        <v>107</v>
      </c>
      <c r="BW10" s="274" t="s">
        <v>108</v>
      </c>
      <c r="BX10" s="275" t="s">
        <v>12</v>
      </c>
      <c r="BY10" s="273" t="s">
        <v>107</v>
      </c>
      <c r="BZ10" s="274" t="s">
        <v>108</v>
      </c>
      <c r="CA10" s="275" t="s">
        <v>12</v>
      </c>
      <c r="CB10" s="273" t="s">
        <v>107</v>
      </c>
      <c r="CC10" s="274" t="s">
        <v>108</v>
      </c>
      <c r="CD10" s="275" t="s">
        <v>12</v>
      </c>
      <c r="CE10" s="273" t="s">
        <v>107</v>
      </c>
      <c r="CF10" s="274" t="s">
        <v>108</v>
      </c>
      <c r="CG10" s="275" t="s">
        <v>12</v>
      </c>
      <c r="CH10" s="273" t="s">
        <v>107</v>
      </c>
      <c r="CI10" s="274" t="s">
        <v>108</v>
      </c>
      <c r="CJ10" s="275" t="s">
        <v>12</v>
      </c>
      <c r="CK10" s="273" t="s">
        <v>107</v>
      </c>
      <c r="CL10" s="274" t="s">
        <v>108</v>
      </c>
      <c r="CM10" s="275" t="s">
        <v>12</v>
      </c>
      <c r="CN10" s="273" t="s">
        <v>107</v>
      </c>
      <c r="CO10" s="274" t="s">
        <v>108</v>
      </c>
      <c r="CP10" s="275" t="s">
        <v>12</v>
      </c>
      <c r="CQ10" s="273" t="s">
        <v>107</v>
      </c>
      <c r="CR10" s="274" t="s">
        <v>108</v>
      </c>
      <c r="CS10" s="275" t="s">
        <v>12</v>
      </c>
      <c r="CT10" s="273" t="s">
        <v>107</v>
      </c>
      <c r="CU10" s="274" t="s">
        <v>108</v>
      </c>
      <c r="CV10" s="275" t="s">
        <v>12</v>
      </c>
      <c r="CW10" s="273" t="s">
        <v>107</v>
      </c>
      <c r="CX10" s="274" t="s">
        <v>108</v>
      </c>
      <c r="CY10" s="275" t="s">
        <v>12</v>
      </c>
      <c r="CZ10" s="273" t="s">
        <v>107</v>
      </c>
      <c r="DA10" s="274" t="s">
        <v>108</v>
      </c>
      <c r="DB10" s="275" t="s">
        <v>12</v>
      </c>
      <c r="DC10" s="273" t="s">
        <v>107</v>
      </c>
      <c r="DD10" s="274" t="s">
        <v>108</v>
      </c>
      <c r="DE10" s="275" t="s">
        <v>12</v>
      </c>
      <c r="DF10" s="273" t="s">
        <v>107</v>
      </c>
      <c r="DG10" s="274" t="s">
        <v>108</v>
      </c>
      <c r="DH10" s="275" t="s">
        <v>12</v>
      </c>
      <c r="DI10" s="273" t="s">
        <v>107</v>
      </c>
      <c r="DJ10" s="274" t="s">
        <v>108</v>
      </c>
      <c r="DK10" s="275" t="s">
        <v>12</v>
      </c>
      <c r="DL10" s="273" t="s">
        <v>107</v>
      </c>
      <c r="DM10" s="274" t="s">
        <v>108</v>
      </c>
      <c r="DN10" s="275" t="s">
        <v>12</v>
      </c>
      <c r="DO10" s="273" t="s">
        <v>107</v>
      </c>
      <c r="DP10" s="274" t="s">
        <v>108</v>
      </c>
      <c r="DQ10" s="275" t="s">
        <v>12</v>
      </c>
      <c r="DR10" s="273" t="s">
        <v>107</v>
      </c>
      <c r="DS10" s="274" t="s">
        <v>108</v>
      </c>
      <c r="DT10" s="275" t="s">
        <v>12</v>
      </c>
      <c r="DU10" s="273" t="s">
        <v>107</v>
      </c>
      <c r="DV10" s="274" t="s">
        <v>108</v>
      </c>
      <c r="DW10" s="275" t="s">
        <v>12</v>
      </c>
      <c r="DX10" s="273" t="s">
        <v>107</v>
      </c>
      <c r="DY10" s="274"/>
      <c r="DZ10" s="275"/>
      <c r="EA10" s="275"/>
      <c r="EB10" s="275" t="s">
        <v>109</v>
      </c>
      <c r="EC10" s="275" t="s">
        <v>109</v>
      </c>
      <c r="ED10" s="275" t="s">
        <v>12</v>
      </c>
      <c r="EE10" s="275" t="s">
        <v>108</v>
      </c>
      <c r="EG10" s="275" t="s">
        <v>109</v>
      </c>
      <c r="EH10" s="275" t="s">
        <v>12</v>
      </c>
      <c r="EI10" s="275" t="s">
        <v>108</v>
      </c>
      <c r="EJ10" s="275"/>
      <c r="EK10" s="275" t="s">
        <v>109</v>
      </c>
      <c r="EL10" s="275" t="s">
        <v>109</v>
      </c>
      <c r="EM10" s="275" t="s">
        <v>12</v>
      </c>
      <c r="EN10" s="275" t="s">
        <v>108</v>
      </c>
    </row>
    <row r="11" spans="1:147" x14ac:dyDescent="0.25">
      <c r="A11" s="255">
        <v>45717</v>
      </c>
      <c r="B11" s="241">
        <v>0</v>
      </c>
      <c r="C11" s="242">
        <v>4.5719419999999997E-2</v>
      </c>
      <c r="D11" s="241">
        <f>(B11*C11)/360</f>
        <v>0</v>
      </c>
      <c r="G11" s="241">
        <f>(E11*F11)/360</f>
        <v>0</v>
      </c>
      <c r="J11" s="241">
        <f>(H11*I11)/360</f>
        <v>0</v>
      </c>
      <c r="M11" s="241">
        <f>(K11*L11)/360</f>
        <v>0</v>
      </c>
      <c r="P11" s="241">
        <f>(N11*O11)/360</f>
        <v>0</v>
      </c>
      <c r="S11" s="241">
        <f>(Q11*R11)/360</f>
        <v>0</v>
      </c>
      <c r="V11" s="241">
        <f>(T11*U11)/360</f>
        <v>0</v>
      </c>
      <c r="Y11" s="241">
        <f>(W11*X11)/360</f>
        <v>0</v>
      </c>
      <c r="AB11" s="241">
        <f>(Z11*AA11)/360</f>
        <v>0</v>
      </c>
      <c r="AE11" s="241">
        <v>0</v>
      </c>
      <c r="AH11" s="241">
        <v>0</v>
      </c>
      <c r="AI11" s="256">
        <f>35000000+50000000+50000000+45550000</f>
        <v>180550000</v>
      </c>
      <c r="AJ11" s="257">
        <v>4.5199999999999997E-2</v>
      </c>
      <c r="AK11" s="241">
        <f>(AI11*AJ11)/360</f>
        <v>22669.055555555555</v>
      </c>
      <c r="AL11" s="256">
        <f>35000000+23000000+37000000+160000+18467000+35000000</f>
        <v>148627000</v>
      </c>
      <c r="AM11" s="257">
        <v>4.58E-2</v>
      </c>
      <c r="AN11" s="241">
        <f>(AL11*AM11)/360</f>
        <v>18908.65722222222</v>
      </c>
      <c r="AO11" s="256">
        <f t="shared" ref="AO11:AO23" si="0">55000000+50000000</f>
        <v>105000000</v>
      </c>
      <c r="AP11" s="257">
        <v>4.5999999999999999E-2</v>
      </c>
      <c r="AQ11" s="241">
        <f>(AO11*AP11)/360</f>
        <v>13416.666666666666</v>
      </c>
      <c r="AR11" s="256"/>
      <c r="AS11" s="257"/>
      <c r="AT11" s="241">
        <f>(AR11*AS11)/360</f>
        <v>0</v>
      </c>
      <c r="AW11" s="241">
        <f>(AU11*AV11)/360</f>
        <v>0</v>
      </c>
      <c r="AZ11" s="241">
        <f>(AX11*AY11)/360</f>
        <v>0</v>
      </c>
      <c r="BC11" s="241">
        <f>(BA11*BB11)/360</f>
        <v>0</v>
      </c>
      <c r="BF11" s="241">
        <f>(BD11*BE11)/360</f>
        <v>0</v>
      </c>
      <c r="BI11" s="241">
        <f>(BG11*BH11)/360</f>
        <v>0</v>
      </c>
      <c r="BL11" s="241">
        <f>(BJ11*BK11)/360</f>
        <v>0</v>
      </c>
      <c r="BO11" s="241">
        <f>(BM11*BN11)/360</f>
        <v>0</v>
      </c>
      <c r="BR11" s="241">
        <f>(BP11*BQ11)/360</f>
        <v>0</v>
      </c>
      <c r="BU11" s="241">
        <f>(BS11*BT11)/360</f>
        <v>0</v>
      </c>
      <c r="BX11" s="241">
        <f>(BV11*BW11)/360</f>
        <v>0</v>
      </c>
      <c r="CA11" s="241">
        <f>(BY11*BZ11)/360</f>
        <v>0</v>
      </c>
      <c r="CD11" s="241">
        <f>(CB11*CC11)/360</f>
        <v>0</v>
      </c>
      <c r="CG11" s="241">
        <f>(CE11*CF11)/360</f>
        <v>0</v>
      </c>
      <c r="CJ11" s="241">
        <f>(CH11*CI11)/360</f>
        <v>0</v>
      </c>
      <c r="CM11" s="241">
        <f>(CK11*CL11)/360</f>
        <v>0</v>
      </c>
      <c r="CP11" s="241">
        <f>(CN11*CO11)/360</f>
        <v>0</v>
      </c>
      <c r="CS11" s="241">
        <f>(CQ11*CR11)/360</f>
        <v>0</v>
      </c>
      <c r="CV11" s="241">
        <f>(CT11*CU11)/360</f>
        <v>0</v>
      </c>
      <c r="CY11" s="241">
        <f>(CW11*CX11)/360</f>
        <v>0</v>
      </c>
      <c r="DB11" s="241">
        <f>(CZ11*DA11)/360</f>
        <v>0</v>
      </c>
      <c r="DE11" s="241">
        <f>(DC11*DD11)/360</f>
        <v>0</v>
      </c>
      <c r="DH11" s="241">
        <f>(DF11*DG11)/360</f>
        <v>0</v>
      </c>
      <c r="DK11" s="241">
        <f>(DI11*DJ11)/360</f>
        <v>0</v>
      </c>
      <c r="DN11" s="241">
        <f>(DL11*DM11)/360</f>
        <v>0</v>
      </c>
      <c r="DQ11" s="241">
        <f>(DO11*DP11)/360</f>
        <v>0</v>
      </c>
      <c r="DT11" s="241">
        <f>(DR11*DS11)/360</f>
        <v>0</v>
      </c>
      <c r="DW11" s="241">
        <f>(DU11*DV11)/360</f>
        <v>0</v>
      </c>
      <c r="DZ11" s="241"/>
      <c r="EA11" s="241"/>
      <c r="EB11" s="261">
        <f>B11+E11+H11+K11+N11+Q11+T11+W11+Z11+AC11+AF11+AL11+AO11+AR11+AU11+AX11+BA11+BD11+BG11+DU11+AI11+DR11+DO11+DL11+DI11+DF11+DC11+CZ11+CW11+CT11+CQ11+CN11+CK11+CH11+CE11+CB11+BY11+BV11+BS11+BP11+BM11+BJ11</f>
        <v>434177000</v>
      </c>
      <c r="EC11" s="261">
        <f>EB11-EK11+EL11</f>
        <v>0</v>
      </c>
      <c r="ED11" s="241">
        <f>D11+G11+J11+M11+P11+S11+V11+Y11+AB11+AE11+AH11+AK11+AN11+AQ11+AT11+AW11+AZ11+BC11+BF11+BI11+DW11+DT11+DQ11+DN11+DK11+DH11+DE11+DB11+CY11+CV11+CS11+CP11+CM11+CJ11+CG11+CD11+CA11+BX11+BU11+BR11+BO11+BL11</f>
        <v>54994.379444444443</v>
      </c>
      <c r="EE11" s="242">
        <f>IF(EB11&lt;&gt;0,((ED11/EB11)*360),0)</f>
        <v>4.5598860833254644E-2</v>
      </c>
      <c r="EG11" s="261">
        <f>Q11+T11+W11+Z11+AC11+AF11</f>
        <v>0</v>
      </c>
      <c r="EH11" s="241">
        <f>S11+V11+Y11+AB11+AE11+AH11</f>
        <v>0</v>
      </c>
      <c r="EI11" s="242">
        <f>IF(EG11&lt;&gt;0,((EH11/EG11)*360),0)</f>
        <v>0</v>
      </c>
      <c r="EJ11" s="242"/>
      <c r="EK11" s="261">
        <f>DR11+DL11+DI11+DF11+DC11+CZ11+CW11+CT11+CQ11+CN11+CK11+CH11+CE11+CB11+BY11+BV11+BS11+BP11+BM11+BJ11+BG11+BD11+BA11+AX11+AU11+AR11+AO11+AL11+AI11+DO11</f>
        <v>434177000</v>
      </c>
      <c r="EL11" s="261">
        <f>DX11</f>
        <v>0</v>
      </c>
      <c r="EM11" s="261">
        <f>DT11+DQ11+DN11+DK11+DH11+DE11+DB11+CY11+CV11+CS11+CP11+CM11+CJ11+CG11+CD11+CA11+BX11+BU11+BR11+BO11+BL11+BI11+BF11+BC11+AZ11+AW11+AT11+AQ11+AN11+AK11</f>
        <v>54994.379444444443</v>
      </c>
      <c r="EN11" s="242">
        <f>IF(EK11&lt;&gt;0,((EM11/EK11)*360),0)</f>
        <v>4.5598860833254644E-2</v>
      </c>
      <c r="EP11" s="241"/>
    </row>
    <row r="12" spans="1:147" x14ac:dyDescent="0.25">
      <c r="A12" s="255">
        <f>1+A11</f>
        <v>45718</v>
      </c>
      <c r="B12" s="241">
        <v>0</v>
      </c>
      <c r="C12" s="242">
        <v>4.5719419999999997E-2</v>
      </c>
      <c r="D12" s="241">
        <f t="shared" ref="D12:D41" si="1">(B12*C12)/360</f>
        <v>0</v>
      </c>
      <c r="G12" s="241">
        <f t="shared" ref="G12:G41" si="2">(E12*F12)/360</f>
        <v>0</v>
      </c>
      <c r="J12" s="241">
        <f t="shared" ref="J12:J41" si="3">(H12*I12)/360</f>
        <v>0</v>
      </c>
      <c r="M12" s="241">
        <f t="shared" ref="M12:M41" si="4">(K12*L12)/360</f>
        <v>0</v>
      </c>
      <c r="P12" s="241">
        <f t="shared" ref="P12:P41" si="5">(N12*O12)/360</f>
        <v>0</v>
      </c>
      <c r="S12" s="241">
        <f t="shared" ref="S12:S41" si="6">(Q12*R12)/360</f>
        <v>0</v>
      </c>
      <c r="V12" s="241">
        <f t="shared" ref="V12:V41" si="7">(T12*U12)/360</f>
        <v>0</v>
      </c>
      <c r="Y12" s="241">
        <f t="shared" ref="Y12:Y41" si="8">(W12*X12)/360</f>
        <v>0</v>
      </c>
      <c r="AB12" s="241">
        <f t="shared" ref="AB12:AB41" si="9">(Z12*AA12)/360</f>
        <v>0</v>
      </c>
      <c r="AE12" s="241">
        <v>0</v>
      </c>
      <c r="AH12" s="241">
        <v>0</v>
      </c>
      <c r="AI12" s="256">
        <f>35000000+50000000+50000000+45550000</f>
        <v>180550000</v>
      </c>
      <c r="AJ12" s="257">
        <v>4.5199999999999997E-2</v>
      </c>
      <c r="AK12" s="241">
        <f t="shared" ref="AK12:AK41" si="10">(AI12*AJ12)/360</f>
        <v>22669.055555555555</v>
      </c>
      <c r="AL12" s="256">
        <f>35000000+23000000+37000000+160000+18467000+35000000</f>
        <v>148627000</v>
      </c>
      <c r="AM12" s="257">
        <v>4.58E-2</v>
      </c>
      <c r="AN12" s="241">
        <f t="shared" ref="AN12:AN41" si="11">(AL12*AM12)/360</f>
        <v>18908.65722222222</v>
      </c>
      <c r="AO12" s="256">
        <f t="shared" si="0"/>
        <v>105000000</v>
      </c>
      <c r="AP12" s="257">
        <v>4.5999999999999999E-2</v>
      </c>
      <c r="AQ12" s="241">
        <f t="shared" ref="AQ12:AQ41" si="12">(AO12*AP12)/360</f>
        <v>13416.666666666666</v>
      </c>
      <c r="AR12" s="256"/>
      <c r="AS12" s="257"/>
      <c r="AT12" s="241">
        <f t="shared" ref="AT12:AT41" si="13">(AR12*AS12)/360</f>
        <v>0</v>
      </c>
      <c r="AW12" s="241">
        <f t="shared" ref="AW12:AW41" si="14">(AU12*AV12)/360</f>
        <v>0</v>
      </c>
      <c r="AZ12" s="241">
        <f t="shared" ref="AZ12:AZ41" si="15">(AX12*AY12)/360</f>
        <v>0</v>
      </c>
      <c r="BC12" s="241">
        <f t="shared" ref="BC12:BC41" si="16">(BA12*BB12)/360</f>
        <v>0</v>
      </c>
      <c r="BF12" s="241">
        <f t="shared" ref="BF12:BF41" si="17">(BD12*BE12)/360</f>
        <v>0</v>
      </c>
      <c r="BI12" s="241">
        <f t="shared" ref="BI12:BI41" si="18">(BG12*BH12)/360</f>
        <v>0</v>
      </c>
      <c r="BL12" s="241">
        <f t="shared" ref="BL12:BL41" si="19">(BJ12*BK12)/360</f>
        <v>0</v>
      </c>
      <c r="BO12" s="241">
        <f t="shared" ref="BO12:BO41" si="20">(BM12*BN12)/360</f>
        <v>0</v>
      </c>
      <c r="BR12" s="241">
        <f t="shared" ref="BR12:BR41" si="21">(BP12*BQ12)/360</f>
        <v>0</v>
      </c>
      <c r="BU12" s="241">
        <f t="shared" ref="BU12:BU41" si="22">(BS12*BT12)/360</f>
        <v>0</v>
      </c>
      <c r="BX12" s="241">
        <f t="shared" ref="BX12:BX41" si="23">(BV12*BW12)/360</f>
        <v>0</v>
      </c>
      <c r="CA12" s="241">
        <f t="shared" ref="CA12:CA41" si="24">(BY12*BZ12)/360</f>
        <v>0</v>
      </c>
      <c r="CD12" s="241">
        <f t="shared" ref="CD12:CD41" si="25">(CB12*CC12)/360</f>
        <v>0</v>
      </c>
      <c r="CG12" s="241">
        <f t="shared" ref="CG12:CG41" si="26">(CE12*CF12)/360</f>
        <v>0</v>
      </c>
      <c r="CJ12" s="241">
        <f t="shared" ref="CJ12:CJ41" si="27">(CH12*CI12)/360</f>
        <v>0</v>
      </c>
      <c r="CM12" s="241">
        <f t="shared" ref="CM12:CM41" si="28">(CK12*CL12)/360</f>
        <v>0</v>
      </c>
      <c r="CP12" s="241">
        <f t="shared" ref="CP12:CP41" si="29">(CN12*CO12)/360</f>
        <v>0</v>
      </c>
      <c r="CS12" s="241">
        <f t="shared" ref="CS12:CS41" si="30">(CQ12*CR12)/360</f>
        <v>0</v>
      </c>
      <c r="CV12" s="241">
        <f t="shared" ref="CV12:CV41" si="31">(CT12*CU12)/360</f>
        <v>0</v>
      </c>
      <c r="CY12" s="241">
        <f t="shared" ref="CY12:CY41" si="32">(CW12*CX12)/360</f>
        <v>0</v>
      </c>
      <c r="DB12" s="241">
        <f t="shared" ref="DB12:DB41" si="33">(CZ12*DA12)/360</f>
        <v>0</v>
      </c>
      <c r="DE12" s="241">
        <f t="shared" ref="DE12:DE41" si="34">(DC12*DD12)/360</f>
        <v>0</v>
      </c>
      <c r="DH12" s="241">
        <f t="shared" ref="DH12:DH41" si="35">(DF12*DG12)/360</f>
        <v>0</v>
      </c>
      <c r="DK12" s="241">
        <f t="shared" ref="DK12:DK41" si="36">(DI12*DJ12)/360</f>
        <v>0</v>
      </c>
      <c r="DN12" s="241">
        <f t="shared" ref="DN12:DN41" si="37">(DL12*DM12)/360</f>
        <v>0</v>
      </c>
      <c r="DQ12" s="241">
        <f t="shared" ref="DQ12:DQ41" si="38">(DO12*DP12)/360</f>
        <v>0</v>
      </c>
      <c r="DT12" s="241">
        <f t="shared" ref="DT12:DT41" si="39">(DR12*DS12)/360</f>
        <v>0</v>
      </c>
      <c r="DW12" s="241">
        <f t="shared" ref="DW12:DW41" si="40">(DU12*DV12)/360</f>
        <v>0</v>
      </c>
      <c r="DZ12" s="241"/>
      <c r="EA12" s="241"/>
      <c r="EB12" s="261">
        <f t="shared" ref="EB12:EB41" si="41">B12+E12+H12+K12+N12+Q12+T12+W12+Z12+AC12+AF12+AL12+AO12+AR12+AU12+AX12+BA12+BD12+BG12+DU12+AI12+DR12+DO12+DL12+DI12+DF12+DC12+CZ12+CW12+CT12+CQ12+CN12+CK12+CH12+CE12+CB12+BY12+BV12+BS12+BP12+BM12+BJ12</f>
        <v>434177000</v>
      </c>
      <c r="EC12" s="261">
        <f t="shared" ref="EC12:EC41" si="42">EB12-EK12+EL12</f>
        <v>0</v>
      </c>
      <c r="ED12" s="241">
        <f t="shared" ref="ED12:ED41" si="43">D12+G12+J12+M12+P12+S12+V12+Y12+AB12+AE12+AH12+AK12+AN12+AQ12+AT12+AW12+AZ12+BC12+BF12+BI12+DW12+DT12+DQ12+DN12+DK12+DH12+DE12+DB12+CY12+CV12+CS12+CP12+CM12+CJ12+CG12+CD12+CA12+BX12+BU12+BR12+BO12+BL12</f>
        <v>54994.379444444443</v>
      </c>
      <c r="EE12" s="242">
        <f t="shared" ref="EE12:EE41" si="44">IF(EB12&lt;&gt;0,((ED12/EB12)*360),0)</f>
        <v>4.5598860833254644E-2</v>
      </c>
      <c r="EG12" s="261">
        <f t="shared" ref="EG12:EG41" si="45">Q12+T12+W12+Z12+AC12+AF12</f>
        <v>0</v>
      </c>
      <c r="EH12" s="241">
        <f t="shared" ref="EH12:EH41" si="46">S12+V12+Y12+AB12+AE12+AH12</f>
        <v>0</v>
      </c>
      <c r="EI12" s="242">
        <f t="shared" ref="EI12:EI41" si="47">IF(EG12&lt;&gt;0,((EH12/EG12)*360),0)</f>
        <v>0</v>
      </c>
      <c r="EJ12" s="242"/>
      <c r="EK12" s="261">
        <f t="shared" ref="EK12:EK41" si="48">DR12+DL12+DI12+DF12+DC12+CZ12+CW12+CT12+CQ12+CN12+CK12+CH12+CE12+CB12+BY12+BV12+BS12+BP12+BM12+BJ12+BG12+BD12+BA12+AX12+AU12+AR12+AO12+AL12+AI12+DO12</f>
        <v>434177000</v>
      </c>
      <c r="EL12" s="261">
        <f t="shared" ref="EL12:EL41" si="49">DX12</f>
        <v>0</v>
      </c>
      <c r="EM12" s="261">
        <f t="shared" ref="EM12:EM41" si="50">DT12+DQ12+DN12+DK12+DH12+DE12+DB12+CY12+CV12+CS12+CP12+CM12+CJ12+CG12+CD12+CA12+BX12+BU12+BR12+BO12+BL12+BI12+BF12+BC12+AZ12+AW12+AT12+AQ12+AN12+AK12</f>
        <v>54994.379444444443</v>
      </c>
      <c r="EN12" s="242">
        <f t="shared" ref="EN12:EN41" si="51">IF(EK12&lt;&gt;0,((EM12/EK12)*360),0)</f>
        <v>4.5598860833254644E-2</v>
      </c>
      <c r="EP12" s="241"/>
    </row>
    <row r="13" spans="1:147" x14ac:dyDescent="0.25">
      <c r="A13" s="255">
        <f t="shared" ref="A13:A41" si="52">1+A12</f>
        <v>45719</v>
      </c>
      <c r="B13" s="241">
        <v>0</v>
      </c>
      <c r="C13" s="242">
        <v>4.5713480000000001E-2</v>
      </c>
      <c r="D13" s="241">
        <f t="shared" si="1"/>
        <v>0</v>
      </c>
      <c r="G13" s="241">
        <f t="shared" si="2"/>
        <v>0</v>
      </c>
      <c r="J13" s="241">
        <f t="shared" si="3"/>
        <v>0</v>
      </c>
      <c r="M13" s="241">
        <f t="shared" si="4"/>
        <v>0</v>
      </c>
      <c r="P13" s="241">
        <f t="shared" si="5"/>
        <v>0</v>
      </c>
      <c r="S13" s="241">
        <f t="shared" si="6"/>
        <v>0</v>
      </c>
      <c r="V13" s="241">
        <f t="shared" si="7"/>
        <v>0</v>
      </c>
      <c r="Y13" s="241">
        <f t="shared" si="8"/>
        <v>0</v>
      </c>
      <c r="AB13" s="241">
        <f t="shared" si="9"/>
        <v>0</v>
      </c>
      <c r="AE13" s="241">
        <v>0</v>
      </c>
      <c r="AH13" s="241">
        <v>0</v>
      </c>
      <c r="AI13" s="256">
        <f>45000000+50000000+25000000+25350000</f>
        <v>145350000</v>
      </c>
      <c r="AJ13" s="257">
        <v>4.5199999999999997E-2</v>
      </c>
      <c r="AK13" s="241">
        <f t="shared" si="10"/>
        <v>18249.5</v>
      </c>
      <c r="AL13" s="256">
        <f t="shared" ref="AL13:AL23" si="53">35000000+23000000+37000000+160000+18467000</f>
        <v>113627000</v>
      </c>
      <c r="AM13" s="257">
        <v>4.58E-2</v>
      </c>
      <c r="AN13" s="241">
        <f t="shared" si="11"/>
        <v>14455.879444444443</v>
      </c>
      <c r="AO13" s="256">
        <f t="shared" si="0"/>
        <v>105000000</v>
      </c>
      <c r="AP13" s="257">
        <v>4.5999999999999999E-2</v>
      </c>
      <c r="AQ13" s="241">
        <f t="shared" si="12"/>
        <v>13416.666666666666</v>
      </c>
      <c r="AR13" s="256">
        <f t="shared" ref="AR13:AR23" si="54">50000000+40000000</f>
        <v>90000000</v>
      </c>
      <c r="AS13" s="257">
        <v>4.58E-2</v>
      </c>
      <c r="AT13" s="241">
        <f t="shared" si="13"/>
        <v>11450</v>
      </c>
      <c r="AW13" s="241">
        <f t="shared" si="14"/>
        <v>0</v>
      </c>
      <c r="AZ13" s="241">
        <f t="shared" si="15"/>
        <v>0</v>
      </c>
      <c r="BC13" s="241">
        <f t="shared" si="16"/>
        <v>0</v>
      </c>
      <c r="BF13" s="241">
        <f t="shared" si="17"/>
        <v>0</v>
      </c>
      <c r="BI13" s="241">
        <f t="shared" si="18"/>
        <v>0</v>
      </c>
      <c r="BL13" s="241">
        <f t="shared" si="19"/>
        <v>0</v>
      </c>
      <c r="BO13" s="241">
        <f t="shared" si="20"/>
        <v>0</v>
      </c>
      <c r="BR13" s="241">
        <f t="shared" si="21"/>
        <v>0</v>
      </c>
      <c r="BU13" s="241">
        <f t="shared" si="22"/>
        <v>0</v>
      </c>
      <c r="BX13" s="241">
        <f t="shared" si="23"/>
        <v>0</v>
      </c>
      <c r="CA13" s="241">
        <f t="shared" si="24"/>
        <v>0</v>
      </c>
      <c r="CD13" s="241">
        <f t="shared" si="25"/>
        <v>0</v>
      </c>
      <c r="CG13" s="241">
        <f t="shared" si="26"/>
        <v>0</v>
      </c>
      <c r="CJ13" s="241">
        <f t="shared" si="27"/>
        <v>0</v>
      </c>
      <c r="CM13" s="241">
        <f t="shared" si="28"/>
        <v>0</v>
      </c>
      <c r="CP13" s="241">
        <f t="shared" si="29"/>
        <v>0</v>
      </c>
      <c r="CS13" s="241">
        <f t="shared" si="30"/>
        <v>0</v>
      </c>
      <c r="CV13" s="241">
        <f t="shared" si="31"/>
        <v>0</v>
      </c>
      <c r="CY13" s="241">
        <f t="shared" si="32"/>
        <v>0</v>
      </c>
      <c r="DB13" s="241">
        <f t="shared" si="33"/>
        <v>0</v>
      </c>
      <c r="DE13" s="241">
        <f t="shared" si="34"/>
        <v>0</v>
      </c>
      <c r="DH13" s="241">
        <f t="shared" si="35"/>
        <v>0</v>
      </c>
      <c r="DK13" s="241">
        <f t="shared" si="36"/>
        <v>0</v>
      </c>
      <c r="DN13" s="241">
        <f t="shared" si="37"/>
        <v>0</v>
      </c>
      <c r="DQ13" s="241">
        <f t="shared" si="38"/>
        <v>0</v>
      </c>
      <c r="DT13" s="241">
        <f t="shared" si="39"/>
        <v>0</v>
      </c>
      <c r="DW13" s="241">
        <f t="shared" si="40"/>
        <v>0</v>
      </c>
      <c r="DZ13" s="241"/>
      <c r="EA13" s="241"/>
      <c r="EB13" s="261">
        <f t="shared" si="41"/>
        <v>453977000</v>
      </c>
      <c r="EC13" s="261">
        <f t="shared" si="42"/>
        <v>0</v>
      </c>
      <c r="ED13" s="241">
        <f t="shared" si="43"/>
        <v>57572.046111111107</v>
      </c>
      <c r="EE13" s="242">
        <f t="shared" si="44"/>
        <v>4.5654155607002117E-2</v>
      </c>
      <c r="EG13" s="261">
        <f t="shared" si="45"/>
        <v>0</v>
      </c>
      <c r="EH13" s="241">
        <f t="shared" si="46"/>
        <v>0</v>
      </c>
      <c r="EI13" s="242">
        <f t="shared" si="47"/>
        <v>0</v>
      </c>
      <c r="EJ13" s="242"/>
      <c r="EK13" s="261">
        <f t="shared" si="48"/>
        <v>453977000</v>
      </c>
      <c r="EL13" s="261">
        <f t="shared" si="49"/>
        <v>0</v>
      </c>
      <c r="EM13" s="261">
        <f t="shared" si="50"/>
        <v>57572.046111111107</v>
      </c>
      <c r="EN13" s="242">
        <f t="shared" si="51"/>
        <v>4.5654155607002117E-2</v>
      </c>
      <c r="EP13" s="241"/>
    </row>
    <row r="14" spans="1:147" x14ac:dyDescent="0.25">
      <c r="A14" s="255">
        <f t="shared" si="52"/>
        <v>45720</v>
      </c>
      <c r="B14" s="241">
        <v>0</v>
      </c>
      <c r="C14" s="242">
        <v>4.5710959999999995E-2</v>
      </c>
      <c r="D14" s="241">
        <f t="shared" si="1"/>
        <v>0</v>
      </c>
      <c r="G14" s="241">
        <f t="shared" si="2"/>
        <v>0</v>
      </c>
      <c r="J14" s="241">
        <f t="shared" si="3"/>
        <v>0</v>
      </c>
      <c r="M14" s="241">
        <f t="shared" si="4"/>
        <v>0</v>
      </c>
      <c r="P14" s="241">
        <f t="shared" si="5"/>
        <v>0</v>
      </c>
      <c r="S14" s="241">
        <f t="shared" si="6"/>
        <v>0</v>
      </c>
      <c r="V14" s="241">
        <f t="shared" si="7"/>
        <v>0</v>
      </c>
      <c r="Y14" s="241">
        <f t="shared" si="8"/>
        <v>0</v>
      </c>
      <c r="AB14" s="241">
        <f t="shared" si="9"/>
        <v>0</v>
      </c>
      <c r="AE14" s="241">
        <v>0</v>
      </c>
      <c r="AH14" s="241">
        <v>0</v>
      </c>
      <c r="AI14" s="256">
        <f>45000000+25000000+10000000+52300000</f>
        <v>132300000</v>
      </c>
      <c r="AJ14" s="257">
        <v>4.5199999999999997E-2</v>
      </c>
      <c r="AK14" s="241">
        <f t="shared" si="10"/>
        <v>16611</v>
      </c>
      <c r="AL14" s="256">
        <f t="shared" si="53"/>
        <v>113627000</v>
      </c>
      <c r="AM14" s="257">
        <v>4.58E-2</v>
      </c>
      <c r="AN14" s="241">
        <f t="shared" si="11"/>
        <v>14455.879444444443</v>
      </c>
      <c r="AO14" s="256">
        <f t="shared" si="0"/>
        <v>105000000</v>
      </c>
      <c r="AP14" s="257">
        <v>4.5999999999999999E-2</v>
      </c>
      <c r="AQ14" s="241">
        <f t="shared" si="12"/>
        <v>13416.666666666666</v>
      </c>
      <c r="AR14" s="256">
        <f t="shared" si="54"/>
        <v>90000000</v>
      </c>
      <c r="AS14" s="257">
        <v>4.58E-2</v>
      </c>
      <c r="AT14" s="241">
        <f t="shared" si="13"/>
        <v>11450</v>
      </c>
      <c r="AW14" s="241">
        <f t="shared" si="14"/>
        <v>0</v>
      </c>
      <c r="AZ14" s="241">
        <f t="shared" si="15"/>
        <v>0</v>
      </c>
      <c r="BC14" s="241">
        <f t="shared" si="16"/>
        <v>0</v>
      </c>
      <c r="BF14" s="241">
        <f t="shared" si="17"/>
        <v>0</v>
      </c>
      <c r="BI14" s="241">
        <f t="shared" si="18"/>
        <v>0</v>
      </c>
      <c r="BL14" s="241">
        <f t="shared" si="19"/>
        <v>0</v>
      </c>
      <c r="BO14" s="241">
        <f t="shared" si="20"/>
        <v>0</v>
      </c>
      <c r="BR14" s="241">
        <f t="shared" si="21"/>
        <v>0</v>
      </c>
      <c r="BU14" s="241">
        <f t="shared" si="22"/>
        <v>0</v>
      </c>
      <c r="BX14" s="241">
        <f t="shared" si="23"/>
        <v>0</v>
      </c>
      <c r="CA14" s="241">
        <f t="shared" si="24"/>
        <v>0</v>
      </c>
      <c r="CD14" s="241">
        <f t="shared" si="25"/>
        <v>0</v>
      </c>
      <c r="CG14" s="241">
        <f t="shared" si="26"/>
        <v>0</v>
      </c>
      <c r="CJ14" s="241">
        <f t="shared" si="27"/>
        <v>0</v>
      </c>
      <c r="CM14" s="241">
        <f t="shared" si="28"/>
        <v>0</v>
      </c>
      <c r="CP14" s="241">
        <f t="shared" si="29"/>
        <v>0</v>
      </c>
      <c r="CS14" s="241">
        <f t="shared" si="30"/>
        <v>0</v>
      </c>
      <c r="CV14" s="241">
        <f t="shared" si="31"/>
        <v>0</v>
      </c>
      <c r="CY14" s="241">
        <f t="shared" si="32"/>
        <v>0</v>
      </c>
      <c r="DB14" s="241">
        <f t="shared" si="33"/>
        <v>0</v>
      </c>
      <c r="DE14" s="241">
        <f t="shared" si="34"/>
        <v>0</v>
      </c>
      <c r="DH14" s="241">
        <f t="shared" si="35"/>
        <v>0</v>
      </c>
      <c r="DK14" s="241">
        <f t="shared" si="36"/>
        <v>0</v>
      </c>
      <c r="DN14" s="241">
        <f t="shared" si="37"/>
        <v>0</v>
      </c>
      <c r="DQ14" s="241">
        <f t="shared" si="38"/>
        <v>0</v>
      </c>
      <c r="DT14" s="241">
        <f t="shared" si="39"/>
        <v>0</v>
      </c>
      <c r="DW14" s="241">
        <f t="shared" si="40"/>
        <v>0</v>
      </c>
      <c r="DZ14" s="241"/>
      <c r="EA14" s="241"/>
      <c r="EB14" s="261">
        <f t="shared" si="41"/>
        <v>440927000</v>
      </c>
      <c r="EC14" s="261">
        <f t="shared" si="42"/>
        <v>0</v>
      </c>
      <c r="ED14" s="241">
        <f t="shared" si="43"/>
        <v>55933.546111111107</v>
      </c>
      <c r="EE14" s="242">
        <f t="shared" si="44"/>
        <v>4.5667597130590779E-2</v>
      </c>
      <c r="EG14" s="261">
        <f t="shared" si="45"/>
        <v>0</v>
      </c>
      <c r="EH14" s="241">
        <f t="shared" si="46"/>
        <v>0</v>
      </c>
      <c r="EI14" s="242">
        <f t="shared" si="47"/>
        <v>0</v>
      </c>
      <c r="EJ14" s="242"/>
      <c r="EK14" s="261">
        <f t="shared" si="48"/>
        <v>440927000</v>
      </c>
      <c r="EL14" s="261">
        <f t="shared" si="49"/>
        <v>0</v>
      </c>
      <c r="EM14" s="261">
        <f t="shared" si="50"/>
        <v>55933.546111111107</v>
      </c>
      <c r="EN14" s="242">
        <f t="shared" si="51"/>
        <v>4.5667597130590779E-2</v>
      </c>
      <c r="EP14" s="241"/>
    </row>
    <row r="15" spans="1:147" x14ac:dyDescent="0.25">
      <c r="A15" s="255">
        <f t="shared" si="52"/>
        <v>45721</v>
      </c>
      <c r="B15" s="241">
        <v>0</v>
      </c>
      <c r="C15" s="242">
        <v>4.5702569999999998E-2</v>
      </c>
      <c r="D15" s="241">
        <f t="shared" si="1"/>
        <v>0</v>
      </c>
      <c r="G15" s="241">
        <f t="shared" si="2"/>
        <v>0</v>
      </c>
      <c r="J15" s="241">
        <f t="shared" si="3"/>
        <v>0</v>
      </c>
      <c r="M15" s="241">
        <f t="shared" si="4"/>
        <v>0</v>
      </c>
      <c r="P15" s="241">
        <f t="shared" si="5"/>
        <v>0</v>
      </c>
      <c r="S15" s="241">
        <f t="shared" si="6"/>
        <v>0</v>
      </c>
      <c r="V15" s="241">
        <f t="shared" si="7"/>
        <v>0</v>
      </c>
      <c r="Y15" s="241">
        <f t="shared" si="8"/>
        <v>0</v>
      </c>
      <c r="AB15" s="241">
        <f t="shared" si="9"/>
        <v>0</v>
      </c>
      <c r="AE15" s="241">
        <v>0</v>
      </c>
      <c r="AH15" s="241">
        <v>0</v>
      </c>
      <c r="AI15" s="256">
        <f>25000000+45000000+23550000</f>
        <v>93550000</v>
      </c>
      <c r="AJ15" s="257">
        <v>4.5199999999999997E-2</v>
      </c>
      <c r="AK15" s="241">
        <f t="shared" si="10"/>
        <v>11745.722222222223</v>
      </c>
      <c r="AL15" s="256">
        <f t="shared" si="53"/>
        <v>113627000</v>
      </c>
      <c r="AM15" s="257">
        <v>4.58E-2</v>
      </c>
      <c r="AN15" s="241">
        <f t="shared" si="11"/>
        <v>14455.879444444443</v>
      </c>
      <c r="AO15" s="256">
        <f t="shared" si="0"/>
        <v>105000000</v>
      </c>
      <c r="AP15" s="257">
        <v>4.5999999999999999E-2</v>
      </c>
      <c r="AQ15" s="241">
        <f t="shared" si="12"/>
        <v>13416.666666666666</v>
      </c>
      <c r="AR15" s="256">
        <f t="shared" si="54"/>
        <v>90000000</v>
      </c>
      <c r="AS15" s="257">
        <v>4.58E-2</v>
      </c>
      <c r="AT15" s="241">
        <f t="shared" si="13"/>
        <v>11450</v>
      </c>
      <c r="AW15" s="241">
        <f t="shared" si="14"/>
        <v>0</v>
      </c>
      <c r="AX15" s="241">
        <f t="shared" ref="AX15:AX23" si="55">25000000</f>
        <v>25000000</v>
      </c>
      <c r="AY15" s="242">
        <v>4.5600000000000002E-2</v>
      </c>
      <c r="AZ15" s="241">
        <f t="shared" si="15"/>
        <v>3166.6666666666665</v>
      </c>
      <c r="BC15" s="241">
        <f t="shared" si="16"/>
        <v>0</v>
      </c>
      <c r="BF15" s="241">
        <f t="shared" si="17"/>
        <v>0</v>
      </c>
      <c r="BI15" s="241">
        <f t="shared" si="18"/>
        <v>0</v>
      </c>
      <c r="BL15" s="241">
        <f t="shared" si="19"/>
        <v>0</v>
      </c>
      <c r="BO15" s="241">
        <f t="shared" si="20"/>
        <v>0</v>
      </c>
      <c r="BR15" s="241">
        <f t="shared" si="21"/>
        <v>0</v>
      </c>
      <c r="BU15" s="241">
        <f t="shared" si="22"/>
        <v>0</v>
      </c>
      <c r="BX15" s="241">
        <f t="shared" si="23"/>
        <v>0</v>
      </c>
      <c r="CA15" s="241">
        <f t="shared" si="24"/>
        <v>0</v>
      </c>
      <c r="CD15" s="241">
        <f t="shared" si="25"/>
        <v>0</v>
      </c>
      <c r="CG15" s="241">
        <f t="shared" si="26"/>
        <v>0</v>
      </c>
      <c r="CJ15" s="241">
        <f t="shared" si="27"/>
        <v>0</v>
      </c>
      <c r="CM15" s="241">
        <f t="shared" si="28"/>
        <v>0</v>
      </c>
      <c r="CP15" s="241">
        <f t="shared" si="29"/>
        <v>0</v>
      </c>
      <c r="CS15" s="241">
        <f t="shared" si="30"/>
        <v>0</v>
      </c>
      <c r="CV15" s="241">
        <f t="shared" si="31"/>
        <v>0</v>
      </c>
      <c r="CY15" s="241">
        <f t="shared" si="32"/>
        <v>0</v>
      </c>
      <c r="DB15" s="241">
        <f t="shared" si="33"/>
        <v>0</v>
      </c>
      <c r="DE15" s="241">
        <f t="shared" si="34"/>
        <v>0</v>
      </c>
      <c r="DH15" s="241">
        <f t="shared" si="35"/>
        <v>0</v>
      </c>
      <c r="DK15" s="241">
        <f t="shared" si="36"/>
        <v>0</v>
      </c>
      <c r="DN15" s="241">
        <f t="shared" si="37"/>
        <v>0</v>
      </c>
      <c r="DQ15" s="241">
        <f t="shared" si="38"/>
        <v>0</v>
      </c>
      <c r="DT15" s="241">
        <f t="shared" si="39"/>
        <v>0</v>
      </c>
      <c r="DW15" s="241">
        <f t="shared" si="40"/>
        <v>0</v>
      </c>
      <c r="DZ15" s="241"/>
      <c r="EA15" s="241"/>
      <c r="EB15" s="261">
        <f t="shared" si="41"/>
        <v>427177000</v>
      </c>
      <c r="EC15" s="261">
        <f t="shared" si="42"/>
        <v>0</v>
      </c>
      <c r="ED15" s="241">
        <f t="shared" si="43"/>
        <v>54234.934999999998</v>
      </c>
      <c r="EE15" s="242">
        <f t="shared" si="44"/>
        <v>4.5706057676326212E-2</v>
      </c>
      <c r="EG15" s="261">
        <f t="shared" si="45"/>
        <v>0</v>
      </c>
      <c r="EH15" s="241">
        <f t="shared" si="46"/>
        <v>0</v>
      </c>
      <c r="EI15" s="242">
        <f t="shared" si="47"/>
        <v>0</v>
      </c>
      <c r="EJ15" s="242"/>
      <c r="EK15" s="261">
        <f t="shared" si="48"/>
        <v>427177000</v>
      </c>
      <c r="EL15" s="261">
        <f t="shared" si="49"/>
        <v>0</v>
      </c>
      <c r="EM15" s="261">
        <f t="shared" si="50"/>
        <v>54234.934999999998</v>
      </c>
      <c r="EN15" s="242">
        <f t="shared" si="51"/>
        <v>4.5706057676326212E-2</v>
      </c>
      <c r="EP15" s="241"/>
    </row>
    <row r="16" spans="1:147" x14ac:dyDescent="0.25">
      <c r="A16" s="255">
        <f t="shared" si="52"/>
        <v>45722</v>
      </c>
      <c r="B16" s="241">
        <v>0</v>
      </c>
      <c r="C16" s="242">
        <v>4.578583E-2</v>
      </c>
      <c r="D16" s="241">
        <f t="shared" si="1"/>
        <v>0</v>
      </c>
      <c r="G16" s="241">
        <f t="shared" si="2"/>
        <v>0</v>
      </c>
      <c r="J16" s="241">
        <f t="shared" si="3"/>
        <v>0</v>
      </c>
      <c r="M16" s="241">
        <f t="shared" si="4"/>
        <v>0</v>
      </c>
      <c r="P16" s="241">
        <f t="shared" si="5"/>
        <v>0</v>
      </c>
      <c r="S16" s="241">
        <f t="shared" si="6"/>
        <v>0</v>
      </c>
      <c r="V16" s="241">
        <f t="shared" si="7"/>
        <v>0</v>
      </c>
      <c r="Y16" s="241">
        <f t="shared" si="8"/>
        <v>0</v>
      </c>
      <c r="AB16" s="241">
        <f t="shared" si="9"/>
        <v>0</v>
      </c>
      <c r="AE16" s="241">
        <v>0</v>
      </c>
      <c r="AH16" s="241">
        <v>0</v>
      </c>
      <c r="AI16" s="256">
        <f>8775000+100000</f>
        <v>8875000</v>
      </c>
      <c r="AJ16" s="257">
        <v>4.5199999999999997E-2</v>
      </c>
      <c r="AK16" s="241">
        <f t="shared" si="10"/>
        <v>1114.3055555555557</v>
      </c>
      <c r="AL16" s="256">
        <f t="shared" si="53"/>
        <v>113627000</v>
      </c>
      <c r="AM16" s="257">
        <v>4.58E-2</v>
      </c>
      <c r="AN16" s="241">
        <f t="shared" si="11"/>
        <v>14455.879444444443</v>
      </c>
      <c r="AO16" s="256">
        <f t="shared" si="0"/>
        <v>105000000</v>
      </c>
      <c r="AP16" s="257">
        <v>4.5999999999999999E-2</v>
      </c>
      <c r="AQ16" s="241">
        <f t="shared" si="12"/>
        <v>13416.666666666666</v>
      </c>
      <c r="AR16" s="256">
        <f t="shared" si="54"/>
        <v>90000000</v>
      </c>
      <c r="AS16" s="257">
        <v>4.58E-2</v>
      </c>
      <c r="AT16" s="241">
        <f t="shared" si="13"/>
        <v>11450</v>
      </c>
      <c r="AU16" s="241">
        <f t="shared" ref="AU16:AU38" si="56">35000000+20000000</f>
        <v>55000000</v>
      </c>
      <c r="AV16" s="242">
        <v>4.5999999999999999E-2</v>
      </c>
      <c r="AW16" s="241">
        <f t="shared" si="14"/>
        <v>7027.7777777777774</v>
      </c>
      <c r="AX16" s="241">
        <f t="shared" si="55"/>
        <v>25000000</v>
      </c>
      <c r="AY16" s="242">
        <v>4.5600000000000002E-2</v>
      </c>
      <c r="AZ16" s="241">
        <f t="shared" si="15"/>
        <v>3166.6666666666665</v>
      </c>
      <c r="BC16" s="241">
        <f t="shared" si="16"/>
        <v>0</v>
      </c>
      <c r="BF16" s="241">
        <f t="shared" si="17"/>
        <v>0</v>
      </c>
      <c r="BI16" s="241">
        <f t="shared" si="18"/>
        <v>0</v>
      </c>
      <c r="BL16" s="241">
        <f t="shared" si="19"/>
        <v>0</v>
      </c>
      <c r="BO16" s="241">
        <f t="shared" si="20"/>
        <v>0</v>
      </c>
      <c r="BR16" s="241">
        <f t="shared" si="21"/>
        <v>0</v>
      </c>
      <c r="BU16" s="241">
        <f t="shared" si="22"/>
        <v>0</v>
      </c>
      <c r="BX16" s="241">
        <f t="shared" si="23"/>
        <v>0</v>
      </c>
      <c r="CA16" s="241">
        <f t="shared" si="24"/>
        <v>0</v>
      </c>
      <c r="CD16" s="241">
        <f t="shared" si="25"/>
        <v>0</v>
      </c>
      <c r="CG16" s="241">
        <f t="shared" si="26"/>
        <v>0</v>
      </c>
      <c r="CJ16" s="241">
        <f t="shared" si="27"/>
        <v>0</v>
      </c>
      <c r="CM16" s="241">
        <f t="shared" si="28"/>
        <v>0</v>
      </c>
      <c r="CP16" s="241">
        <f t="shared" si="29"/>
        <v>0</v>
      </c>
      <c r="CS16" s="241">
        <f t="shared" si="30"/>
        <v>0</v>
      </c>
      <c r="CV16" s="241">
        <f t="shared" si="31"/>
        <v>0</v>
      </c>
      <c r="CY16" s="241">
        <f t="shared" si="32"/>
        <v>0</v>
      </c>
      <c r="DB16" s="241">
        <f t="shared" si="33"/>
        <v>0</v>
      </c>
      <c r="DE16" s="241">
        <f t="shared" si="34"/>
        <v>0</v>
      </c>
      <c r="DH16" s="241">
        <f t="shared" si="35"/>
        <v>0</v>
      </c>
      <c r="DK16" s="241">
        <f t="shared" si="36"/>
        <v>0</v>
      </c>
      <c r="DN16" s="241">
        <f t="shared" si="37"/>
        <v>0</v>
      </c>
      <c r="DQ16" s="241">
        <f t="shared" si="38"/>
        <v>0</v>
      </c>
      <c r="DT16" s="241">
        <f t="shared" si="39"/>
        <v>0</v>
      </c>
      <c r="DW16" s="241">
        <f t="shared" si="40"/>
        <v>0</v>
      </c>
      <c r="DZ16" s="241"/>
      <c r="EA16" s="241"/>
      <c r="EB16" s="261">
        <f t="shared" si="41"/>
        <v>397502000</v>
      </c>
      <c r="EC16" s="261">
        <f t="shared" si="42"/>
        <v>0</v>
      </c>
      <c r="ED16" s="241">
        <f t="shared" si="43"/>
        <v>50631.2961111111</v>
      </c>
      <c r="EE16" s="242">
        <f t="shared" si="44"/>
        <v>4.5854528027531927E-2</v>
      </c>
      <c r="EG16" s="261">
        <f t="shared" si="45"/>
        <v>0</v>
      </c>
      <c r="EH16" s="241">
        <f t="shared" si="46"/>
        <v>0</v>
      </c>
      <c r="EI16" s="242">
        <f t="shared" si="47"/>
        <v>0</v>
      </c>
      <c r="EJ16" s="242"/>
      <c r="EK16" s="261">
        <f t="shared" si="48"/>
        <v>397502000</v>
      </c>
      <c r="EL16" s="261">
        <f t="shared" si="49"/>
        <v>0</v>
      </c>
      <c r="EM16" s="261">
        <f t="shared" si="50"/>
        <v>50631.296111111107</v>
      </c>
      <c r="EN16" s="242">
        <f t="shared" si="51"/>
        <v>4.5854528027531934E-2</v>
      </c>
      <c r="EP16" s="241"/>
    </row>
    <row r="17" spans="1:146" x14ac:dyDescent="0.25">
      <c r="A17" s="255">
        <f t="shared" si="52"/>
        <v>45723</v>
      </c>
      <c r="B17" s="241">
        <v>0</v>
      </c>
      <c r="C17" s="242">
        <v>4.5860070000000003E-2</v>
      </c>
      <c r="D17" s="241">
        <f t="shared" si="1"/>
        <v>0</v>
      </c>
      <c r="G17" s="241">
        <f t="shared" si="2"/>
        <v>0</v>
      </c>
      <c r="J17" s="241">
        <f t="shared" si="3"/>
        <v>0</v>
      </c>
      <c r="M17" s="241">
        <f t="shared" si="4"/>
        <v>0</v>
      </c>
      <c r="P17" s="241">
        <f t="shared" si="5"/>
        <v>0</v>
      </c>
      <c r="S17" s="241">
        <f t="shared" si="6"/>
        <v>0</v>
      </c>
      <c r="V17" s="241">
        <f t="shared" si="7"/>
        <v>0</v>
      </c>
      <c r="Y17" s="241">
        <f t="shared" si="8"/>
        <v>0</v>
      </c>
      <c r="AB17" s="241">
        <f t="shared" si="9"/>
        <v>0</v>
      </c>
      <c r="AE17" s="241">
        <v>0</v>
      </c>
      <c r="AH17" s="241">
        <v>0</v>
      </c>
      <c r="AI17" s="256">
        <f>275000</f>
        <v>275000</v>
      </c>
      <c r="AJ17" s="257">
        <v>4.5199999999999997E-2</v>
      </c>
      <c r="AK17" s="241">
        <f t="shared" si="10"/>
        <v>34.527777777777779</v>
      </c>
      <c r="AL17" s="256">
        <f t="shared" si="53"/>
        <v>113627000</v>
      </c>
      <c r="AM17" s="257">
        <v>4.58E-2</v>
      </c>
      <c r="AN17" s="241">
        <f t="shared" si="11"/>
        <v>14455.879444444443</v>
      </c>
      <c r="AO17" s="256">
        <f t="shared" si="0"/>
        <v>105000000</v>
      </c>
      <c r="AP17" s="257">
        <v>4.5999999999999999E-2</v>
      </c>
      <c r="AQ17" s="241">
        <f t="shared" si="12"/>
        <v>13416.666666666666</v>
      </c>
      <c r="AR17" s="256">
        <f t="shared" si="54"/>
        <v>90000000</v>
      </c>
      <c r="AS17" s="257">
        <v>4.58E-2</v>
      </c>
      <c r="AT17" s="241">
        <f t="shared" si="13"/>
        <v>11450</v>
      </c>
      <c r="AU17" s="241">
        <f t="shared" si="56"/>
        <v>55000000</v>
      </c>
      <c r="AV17" s="242">
        <v>4.5999999999999999E-2</v>
      </c>
      <c r="AW17" s="241">
        <f t="shared" si="14"/>
        <v>7027.7777777777774</v>
      </c>
      <c r="AX17" s="241">
        <f t="shared" si="55"/>
        <v>25000000</v>
      </c>
      <c r="AY17" s="242">
        <v>4.5600000000000002E-2</v>
      </c>
      <c r="AZ17" s="241">
        <f t="shared" si="15"/>
        <v>3166.6666666666665</v>
      </c>
      <c r="BC17" s="241">
        <f t="shared" si="16"/>
        <v>0</v>
      </c>
      <c r="BF17" s="241">
        <f t="shared" si="17"/>
        <v>0</v>
      </c>
      <c r="BI17" s="241">
        <f t="shared" si="18"/>
        <v>0</v>
      </c>
      <c r="BL17" s="241">
        <f t="shared" si="19"/>
        <v>0</v>
      </c>
      <c r="BO17" s="241">
        <f t="shared" si="20"/>
        <v>0</v>
      </c>
      <c r="BR17" s="241">
        <f t="shared" si="21"/>
        <v>0</v>
      </c>
      <c r="BU17" s="241">
        <f t="shared" si="22"/>
        <v>0</v>
      </c>
      <c r="BX17" s="241">
        <f t="shared" si="23"/>
        <v>0</v>
      </c>
      <c r="CA17" s="241">
        <f t="shared" si="24"/>
        <v>0</v>
      </c>
      <c r="CD17" s="241">
        <f t="shared" si="25"/>
        <v>0</v>
      </c>
      <c r="CG17" s="241">
        <f t="shared" si="26"/>
        <v>0</v>
      </c>
      <c r="CJ17" s="241">
        <f t="shared" si="27"/>
        <v>0</v>
      </c>
      <c r="CM17" s="241">
        <f t="shared" si="28"/>
        <v>0</v>
      </c>
      <c r="CP17" s="241">
        <f t="shared" si="29"/>
        <v>0</v>
      </c>
      <c r="CS17" s="241">
        <f t="shared" si="30"/>
        <v>0</v>
      </c>
      <c r="CV17" s="241">
        <f t="shared" si="31"/>
        <v>0</v>
      </c>
      <c r="CY17" s="241">
        <f t="shared" si="32"/>
        <v>0</v>
      </c>
      <c r="DB17" s="241">
        <f t="shared" si="33"/>
        <v>0</v>
      </c>
      <c r="DE17" s="241">
        <f t="shared" si="34"/>
        <v>0</v>
      </c>
      <c r="DH17" s="241">
        <f t="shared" si="35"/>
        <v>0</v>
      </c>
      <c r="DK17" s="241">
        <f t="shared" si="36"/>
        <v>0</v>
      </c>
      <c r="DN17" s="241">
        <f t="shared" si="37"/>
        <v>0</v>
      </c>
      <c r="DQ17" s="241">
        <f t="shared" si="38"/>
        <v>0</v>
      </c>
      <c r="DT17" s="241">
        <f t="shared" si="39"/>
        <v>0</v>
      </c>
      <c r="DW17" s="241">
        <f t="shared" si="40"/>
        <v>0</v>
      </c>
      <c r="DZ17" s="241"/>
      <c r="EA17" s="241"/>
      <c r="EB17" s="261">
        <f t="shared" si="41"/>
        <v>388902000</v>
      </c>
      <c r="EC17" s="261">
        <f t="shared" si="42"/>
        <v>0</v>
      </c>
      <c r="ED17" s="241">
        <f t="shared" si="43"/>
        <v>49551.518333333333</v>
      </c>
      <c r="EE17" s="242">
        <f t="shared" si="44"/>
        <v>4.5869001959362506E-2</v>
      </c>
      <c r="EG17" s="261">
        <f t="shared" si="45"/>
        <v>0</v>
      </c>
      <c r="EH17" s="241">
        <f t="shared" si="46"/>
        <v>0</v>
      </c>
      <c r="EI17" s="242">
        <f t="shared" si="47"/>
        <v>0</v>
      </c>
      <c r="EJ17" s="242"/>
      <c r="EK17" s="261">
        <f t="shared" si="48"/>
        <v>388902000</v>
      </c>
      <c r="EL17" s="261">
        <f t="shared" si="49"/>
        <v>0</v>
      </c>
      <c r="EM17" s="261">
        <f t="shared" si="50"/>
        <v>49551.518333333333</v>
      </c>
      <c r="EN17" s="242">
        <f t="shared" si="51"/>
        <v>4.5869001959362506E-2</v>
      </c>
      <c r="EP17" s="241"/>
    </row>
    <row r="18" spans="1:146" x14ac:dyDescent="0.25">
      <c r="A18" s="255">
        <f t="shared" si="52"/>
        <v>45724</v>
      </c>
      <c r="B18" s="241">
        <v>0</v>
      </c>
      <c r="C18" s="242">
        <v>4.5860070000000003E-2</v>
      </c>
      <c r="D18" s="241">
        <f t="shared" si="1"/>
        <v>0</v>
      </c>
      <c r="G18" s="241">
        <f t="shared" si="2"/>
        <v>0</v>
      </c>
      <c r="J18" s="241">
        <f t="shared" si="3"/>
        <v>0</v>
      </c>
      <c r="M18" s="241">
        <f t="shared" si="4"/>
        <v>0</v>
      </c>
      <c r="P18" s="241">
        <f t="shared" si="5"/>
        <v>0</v>
      </c>
      <c r="S18" s="241">
        <f t="shared" si="6"/>
        <v>0</v>
      </c>
      <c r="V18" s="241">
        <f t="shared" si="7"/>
        <v>0</v>
      </c>
      <c r="Y18" s="241">
        <f t="shared" si="8"/>
        <v>0</v>
      </c>
      <c r="AB18" s="241">
        <f t="shared" si="9"/>
        <v>0</v>
      </c>
      <c r="AE18" s="241">
        <v>0</v>
      </c>
      <c r="AH18" s="241">
        <v>0</v>
      </c>
      <c r="AI18" s="256">
        <f>275000</f>
        <v>275000</v>
      </c>
      <c r="AJ18" s="257">
        <v>4.5199999999999997E-2</v>
      </c>
      <c r="AK18" s="241">
        <f t="shared" si="10"/>
        <v>34.527777777777779</v>
      </c>
      <c r="AL18" s="256">
        <f t="shared" si="53"/>
        <v>113627000</v>
      </c>
      <c r="AM18" s="257">
        <v>4.58E-2</v>
      </c>
      <c r="AN18" s="241">
        <f t="shared" si="11"/>
        <v>14455.879444444443</v>
      </c>
      <c r="AO18" s="256">
        <f t="shared" si="0"/>
        <v>105000000</v>
      </c>
      <c r="AP18" s="257">
        <v>4.5999999999999999E-2</v>
      </c>
      <c r="AQ18" s="241">
        <f t="shared" si="12"/>
        <v>13416.666666666666</v>
      </c>
      <c r="AR18" s="256">
        <f t="shared" si="54"/>
        <v>90000000</v>
      </c>
      <c r="AS18" s="257">
        <v>4.58E-2</v>
      </c>
      <c r="AT18" s="241">
        <f t="shared" si="13"/>
        <v>11450</v>
      </c>
      <c r="AU18" s="241">
        <f t="shared" si="56"/>
        <v>55000000</v>
      </c>
      <c r="AV18" s="242">
        <v>4.5999999999999999E-2</v>
      </c>
      <c r="AW18" s="241">
        <f t="shared" si="14"/>
        <v>7027.7777777777774</v>
      </c>
      <c r="AX18" s="241">
        <f t="shared" si="55"/>
        <v>25000000</v>
      </c>
      <c r="AY18" s="242">
        <v>4.5600000000000002E-2</v>
      </c>
      <c r="AZ18" s="241">
        <f t="shared" si="15"/>
        <v>3166.6666666666665</v>
      </c>
      <c r="BC18" s="241">
        <f t="shared" si="16"/>
        <v>0</v>
      </c>
      <c r="BF18" s="241">
        <f t="shared" si="17"/>
        <v>0</v>
      </c>
      <c r="BI18" s="241">
        <f t="shared" si="18"/>
        <v>0</v>
      </c>
      <c r="BL18" s="241">
        <f t="shared" si="19"/>
        <v>0</v>
      </c>
      <c r="BO18" s="241">
        <f t="shared" si="20"/>
        <v>0</v>
      </c>
      <c r="BR18" s="241">
        <f t="shared" si="21"/>
        <v>0</v>
      </c>
      <c r="BU18" s="241">
        <f t="shared" si="22"/>
        <v>0</v>
      </c>
      <c r="BX18" s="241">
        <f t="shared" si="23"/>
        <v>0</v>
      </c>
      <c r="CA18" s="241">
        <f t="shared" si="24"/>
        <v>0</v>
      </c>
      <c r="CD18" s="241">
        <f t="shared" si="25"/>
        <v>0</v>
      </c>
      <c r="CG18" s="241">
        <f t="shared" si="26"/>
        <v>0</v>
      </c>
      <c r="CJ18" s="241">
        <f t="shared" si="27"/>
        <v>0</v>
      </c>
      <c r="CM18" s="241">
        <f t="shared" si="28"/>
        <v>0</v>
      </c>
      <c r="CP18" s="241">
        <f t="shared" si="29"/>
        <v>0</v>
      </c>
      <c r="CS18" s="241">
        <f t="shared" si="30"/>
        <v>0</v>
      </c>
      <c r="CV18" s="241">
        <f t="shared" si="31"/>
        <v>0</v>
      </c>
      <c r="CY18" s="241">
        <f t="shared" si="32"/>
        <v>0</v>
      </c>
      <c r="DB18" s="241">
        <f t="shared" si="33"/>
        <v>0</v>
      </c>
      <c r="DE18" s="241">
        <f t="shared" si="34"/>
        <v>0</v>
      </c>
      <c r="DH18" s="241">
        <f t="shared" si="35"/>
        <v>0</v>
      </c>
      <c r="DK18" s="241">
        <f t="shared" si="36"/>
        <v>0</v>
      </c>
      <c r="DN18" s="241">
        <f t="shared" si="37"/>
        <v>0</v>
      </c>
      <c r="DQ18" s="241">
        <f t="shared" si="38"/>
        <v>0</v>
      </c>
      <c r="DT18" s="241">
        <f t="shared" si="39"/>
        <v>0</v>
      </c>
      <c r="DW18" s="241">
        <f t="shared" si="40"/>
        <v>0</v>
      </c>
      <c r="DZ18" s="241"/>
      <c r="EA18" s="241"/>
      <c r="EB18" s="261">
        <f t="shared" si="41"/>
        <v>388902000</v>
      </c>
      <c r="EC18" s="261">
        <f t="shared" si="42"/>
        <v>0</v>
      </c>
      <c r="ED18" s="241">
        <f t="shared" si="43"/>
        <v>49551.518333333333</v>
      </c>
      <c r="EE18" s="242">
        <f t="shared" si="44"/>
        <v>4.5869001959362506E-2</v>
      </c>
      <c r="EG18" s="261">
        <f t="shared" si="45"/>
        <v>0</v>
      </c>
      <c r="EH18" s="241">
        <f t="shared" si="46"/>
        <v>0</v>
      </c>
      <c r="EI18" s="242">
        <f t="shared" si="47"/>
        <v>0</v>
      </c>
      <c r="EJ18" s="242"/>
      <c r="EK18" s="261">
        <f t="shared" si="48"/>
        <v>388902000</v>
      </c>
      <c r="EL18" s="261">
        <f t="shared" si="49"/>
        <v>0</v>
      </c>
      <c r="EM18" s="261">
        <f t="shared" si="50"/>
        <v>49551.518333333333</v>
      </c>
      <c r="EN18" s="242">
        <f t="shared" si="51"/>
        <v>4.5869001959362506E-2</v>
      </c>
      <c r="EP18" s="241"/>
    </row>
    <row r="19" spans="1:146" x14ac:dyDescent="0.25">
      <c r="A19" s="255">
        <f t="shared" si="52"/>
        <v>45725</v>
      </c>
      <c r="B19" s="241">
        <v>0</v>
      </c>
      <c r="C19" s="242">
        <v>4.5860070000000003E-2</v>
      </c>
      <c r="D19" s="241">
        <f t="shared" si="1"/>
        <v>0</v>
      </c>
      <c r="G19" s="241">
        <f t="shared" si="2"/>
        <v>0</v>
      </c>
      <c r="J19" s="241">
        <f t="shared" si="3"/>
        <v>0</v>
      </c>
      <c r="M19" s="241">
        <f t="shared" si="4"/>
        <v>0</v>
      </c>
      <c r="P19" s="241">
        <f t="shared" si="5"/>
        <v>0</v>
      </c>
      <c r="S19" s="241">
        <f t="shared" si="6"/>
        <v>0</v>
      </c>
      <c r="V19" s="241">
        <f t="shared" si="7"/>
        <v>0</v>
      </c>
      <c r="Y19" s="241">
        <f t="shared" si="8"/>
        <v>0</v>
      </c>
      <c r="AB19" s="241">
        <f t="shared" si="9"/>
        <v>0</v>
      </c>
      <c r="AE19" s="241">
        <v>0</v>
      </c>
      <c r="AH19" s="241">
        <v>0</v>
      </c>
      <c r="AI19" s="256">
        <f>275000</f>
        <v>275000</v>
      </c>
      <c r="AJ19" s="257">
        <v>4.5199999999999997E-2</v>
      </c>
      <c r="AK19" s="241">
        <f t="shared" si="10"/>
        <v>34.527777777777779</v>
      </c>
      <c r="AL19" s="256">
        <f t="shared" si="53"/>
        <v>113627000</v>
      </c>
      <c r="AM19" s="257">
        <v>4.58E-2</v>
      </c>
      <c r="AN19" s="241">
        <f t="shared" si="11"/>
        <v>14455.879444444443</v>
      </c>
      <c r="AO19" s="256">
        <f t="shared" si="0"/>
        <v>105000000</v>
      </c>
      <c r="AP19" s="257">
        <v>4.5999999999999999E-2</v>
      </c>
      <c r="AQ19" s="241">
        <f t="shared" si="12"/>
        <v>13416.666666666666</v>
      </c>
      <c r="AR19" s="256">
        <f t="shared" si="54"/>
        <v>90000000</v>
      </c>
      <c r="AS19" s="257">
        <v>4.58E-2</v>
      </c>
      <c r="AT19" s="241">
        <f t="shared" si="13"/>
        <v>11450</v>
      </c>
      <c r="AU19" s="241">
        <f t="shared" si="56"/>
        <v>55000000</v>
      </c>
      <c r="AV19" s="242">
        <v>4.5999999999999999E-2</v>
      </c>
      <c r="AW19" s="241">
        <f t="shared" si="14"/>
        <v>7027.7777777777774</v>
      </c>
      <c r="AX19" s="241">
        <f t="shared" si="55"/>
        <v>25000000</v>
      </c>
      <c r="AY19" s="242">
        <v>4.5600000000000002E-2</v>
      </c>
      <c r="AZ19" s="241">
        <f t="shared" si="15"/>
        <v>3166.6666666666665</v>
      </c>
      <c r="BC19" s="241">
        <f t="shared" si="16"/>
        <v>0</v>
      </c>
      <c r="BF19" s="241">
        <f t="shared" si="17"/>
        <v>0</v>
      </c>
      <c r="BI19" s="241">
        <f t="shared" si="18"/>
        <v>0</v>
      </c>
      <c r="BL19" s="241">
        <f t="shared" si="19"/>
        <v>0</v>
      </c>
      <c r="BO19" s="241">
        <f t="shared" si="20"/>
        <v>0</v>
      </c>
      <c r="BR19" s="241">
        <f t="shared" si="21"/>
        <v>0</v>
      </c>
      <c r="BU19" s="241">
        <f t="shared" si="22"/>
        <v>0</v>
      </c>
      <c r="BX19" s="241">
        <f t="shared" si="23"/>
        <v>0</v>
      </c>
      <c r="CA19" s="241">
        <f t="shared" si="24"/>
        <v>0</v>
      </c>
      <c r="CD19" s="241">
        <f t="shared" si="25"/>
        <v>0</v>
      </c>
      <c r="CG19" s="241">
        <f t="shared" si="26"/>
        <v>0</v>
      </c>
      <c r="CJ19" s="241">
        <f t="shared" si="27"/>
        <v>0</v>
      </c>
      <c r="CM19" s="241">
        <f t="shared" si="28"/>
        <v>0</v>
      </c>
      <c r="CP19" s="241">
        <f t="shared" si="29"/>
        <v>0</v>
      </c>
      <c r="CS19" s="241">
        <f t="shared" si="30"/>
        <v>0</v>
      </c>
      <c r="CV19" s="241">
        <f t="shared" si="31"/>
        <v>0</v>
      </c>
      <c r="CY19" s="241">
        <f t="shared" si="32"/>
        <v>0</v>
      </c>
      <c r="DB19" s="241">
        <f t="shared" si="33"/>
        <v>0</v>
      </c>
      <c r="DE19" s="241">
        <f t="shared" si="34"/>
        <v>0</v>
      </c>
      <c r="DH19" s="241">
        <f t="shared" si="35"/>
        <v>0</v>
      </c>
      <c r="DK19" s="241">
        <f t="shared" si="36"/>
        <v>0</v>
      </c>
      <c r="DN19" s="241">
        <f t="shared" si="37"/>
        <v>0</v>
      </c>
      <c r="DQ19" s="241">
        <f t="shared" si="38"/>
        <v>0</v>
      </c>
      <c r="DT19" s="241">
        <f t="shared" si="39"/>
        <v>0</v>
      </c>
      <c r="DW19" s="241">
        <f t="shared" si="40"/>
        <v>0</v>
      </c>
      <c r="DZ19" s="241"/>
      <c r="EA19" s="241"/>
      <c r="EB19" s="261">
        <f t="shared" si="41"/>
        <v>388902000</v>
      </c>
      <c r="EC19" s="261">
        <f t="shared" si="42"/>
        <v>0</v>
      </c>
      <c r="ED19" s="241">
        <f t="shared" si="43"/>
        <v>49551.518333333333</v>
      </c>
      <c r="EE19" s="242">
        <f t="shared" si="44"/>
        <v>4.5869001959362506E-2</v>
      </c>
      <c r="EG19" s="261">
        <f t="shared" si="45"/>
        <v>0</v>
      </c>
      <c r="EH19" s="241">
        <f t="shared" si="46"/>
        <v>0</v>
      </c>
      <c r="EI19" s="242">
        <f t="shared" si="47"/>
        <v>0</v>
      </c>
      <c r="EJ19" s="242"/>
      <c r="EK19" s="261">
        <f t="shared" si="48"/>
        <v>388902000</v>
      </c>
      <c r="EL19" s="261">
        <f t="shared" si="49"/>
        <v>0</v>
      </c>
      <c r="EM19" s="261">
        <f t="shared" si="50"/>
        <v>49551.518333333333</v>
      </c>
      <c r="EN19" s="242">
        <f t="shared" si="51"/>
        <v>4.5869001959362506E-2</v>
      </c>
      <c r="EP19" s="241"/>
    </row>
    <row r="20" spans="1:146" x14ac:dyDescent="0.25">
      <c r="A20" s="255">
        <f t="shared" si="52"/>
        <v>45726</v>
      </c>
      <c r="B20" s="241">
        <v>0</v>
      </c>
      <c r="C20" s="242">
        <v>4.5893780000000002E-2</v>
      </c>
      <c r="D20" s="241">
        <f t="shared" si="1"/>
        <v>0</v>
      </c>
      <c r="G20" s="241">
        <f t="shared" si="2"/>
        <v>0</v>
      </c>
      <c r="J20" s="241">
        <f t="shared" si="3"/>
        <v>0</v>
      </c>
      <c r="M20" s="241">
        <f t="shared" si="4"/>
        <v>0</v>
      </c>
      <c r="P20" s="241">
        <f t="shared" si="5"/>
        <v>0</v>
      </c>
      <c r="S20" s="241">
        <f t="shared" si="6"/>
        <v>0</v>
      </c>
      <c r="V20" s="241">
        <f t="shared" si="7"/>
        <v>0</v>
      </c>
      <c r="Y20" s="241">
        <f t="shared" si="8"/>
        <v>0</v>
      </c>
      <c r="AB20" s="241">
        <f t="shared" si="9"/>
        <v>0</v>
      </c>
      <c r="AE20" s="241">
        <v>0</v>
      </c>
      <c r="AH20" s="241">
        <v>0</v>
      </c>
      <c r="AI20" s="256">
        <v>6125000</v>
      </c>
      <c r="AJ20" s="257">
        <v>4.5199999999999997E-2</v>
      </c>
      <c r="AK20" s="241">
        <f t="shared" si="10"/>
        <v>769.02777777777783</v>
      </c>
      <c r="AL20" s="256">
        <f t="shared" si="53"/>
        <v>113627000</v>
      </c>
      <c r="AM20" s="257">
        <v>4.58E-2</v>
      </c>
      <c r="AN20" s="241">
        <f t="shared" si="11"/>
        <v>14455.879444444443</v>
      </c>
      <c r="AO20" s="256">
        <f t="shared" si="0"/>
        <v>105000000</v>
      </c>
      <c r="AP20" s="257">
        <v>4.5999999999999999E-2</v>
      </c>
      <c r="AQ20" s="241">
        <f t="shared" si="12"/>
        <v>13416.666666666666</v>
      </c>
      <c r="AR20" s="256">
        <f t="shared" si="54"/>
        <v>90000000</v>
      </c>
      <c r="AS20" s="257">
        <v>4.58E-2</v>
      </c>
      <c r="AT20" s="241">
        <f t="shared" si="13"/>
        <v>11450</v>
      </c>
      <c r="AU20" s="241">
        <f t="shared" si="56"/>
        <v>55000000</v>
      </c>
      <c r="AV20" s="242">
        <v>4.5999999999999999E-2</v>
      </c>
      <c r="AW20" s="241">
        <f t="shared" si="14"/>
        <v>7027.7777777777774</v>
      </c>
      <c r="AX20" s="241">
        <f t="shared" si="55"/>
        <v>25000000</v>
      </c>
      <c r="AY20" s="242">
        <v>4.5600000000000002E-2</v>
      </c>
      <c r="AZ20" s="241">
        <f t="shared" si="15"/>
        <v>3166.6666666666665</v>
      </c>
      <c r="BC20" s="241">
        <f t="shared" si="16"/>
        <v>0</v>
      </c>
      <c r="BF20" s="241">
        <f t="shared" si="17"/>
        <v>0</v>
      </c>
      <c r="BI20" s="241">
        <f t="shared" si="18"/>
        <v>0</v>
      </c>
      <c r="BL20" s="241">
        <f t="shared" si="19"/>
        <v>0</v>
      </c>
      <c r="BO20" s="241">
        <f t="shared" si="20"/>
        <v>0</v>
      </c>
      <c r="BR20" s="241">
        <f t="shared" si="21"/>
        <v>0</v>
      </c>
      <c r="BU20" s="241">
        <f t="shared" si="22"/>
        <v>0</v>
      </c>
      <c r="BX20" s="241">
        <f t="shared" si="23"/>
        <v>0</v>
      </c>
      <c r="CA20" s="241">
        <f t="shared" si="24"/>
        <v>0</v>
      </c>
      <c r="CD20" s="241">
        <f t="shared" si="25"/>
        <v>0</v>
      </c>
      <c r="CG20" s="241">
        <f t="shared" si="26"/>
        <v>0</v>
      </c>
      <c r="CJ20" s="241">
        <f t="shared" si="27"/>
        <v>0</v>
      </c>
      <c r="CM20" s="241">
        <f t="shared" si="28"/>
        <v>0</v>
      </c>
      <c r="CP20" s="241">
        <f t="shared" si="29"/>
        <v>0</v>
      </c>
      <c r="CS20" s="241">
        <f t="shared" si="30"/>
        <v>0</v>
      </c>
      <c r="CV20" s="241">
        <f t="shared" si="31"/>
        <v>0</v>
      </c>
      <c r="CY20" s="241">
        <f t="shared" si="32"/>
        <v>0</v>
      </c>
      <c r="DB20" s="241">
        <f t="shared" si="33"/>
        <v>0</v>
      </c>
      <c r="DE20" s="241">
        <f t="shared" si="34"/>
        <v>0</v>
      </c>
      <c r="DH20" s="241">
        <f t="shared" si="35"/>
        <v>0</v>
      </c>
      <c r="DK20" s="241">
        <f t="shared" si="36"/>
        <v>0</v>
      </c>
      <c r="DN20" s="241">
        <f t="shared" si="37"/>
        <v>0</v>
      </c>
      <c r="DQ20" s="241">
        <f t="shared" si="38"/>
        <v>0</v>
      </c>
      <c r="DT20" s="241">
        <f t="shared" si="39"/>
        <v>0</v>
      </c>
      <c r="DW20" s="241">
        <f t="shared" si="40"/>
        <v>0</v>
      </c>
      <c r="DZ20" s="241"/>
      <c r="EA20" s="241"/>
      <c r="EB20" s="261">
        <f t="shared" si="41"/>
        <v>394752000</v>
      </c>
      <c r="EC20" s="261">
        <f t="shared" si="42"/>
        <v>0</v>
      </c>
      <c r="ED20" s="241">
        <f t="shared" si="43"/>
        <v>50286.018333333333</v>
      </c>
      <c r="EE20" s="242">
        <f t="shared" si="44"/>
        <v>4.5859087731031124E-2</v>
      </c>
      <c r="EG20" s="261">
        <f t="shared" si="45"/>
        <v>0</v>
      </c>
      <c r="EH20" s="241">
        <f t="shared" si="46"/>
        <v>0</v>
      </c>
      <c r="EI20" s="242">
        <f t="shared" si="47"/>
        <v>0</v>
      </c>
      <c r="EJ20" s="242"/>
      <c r="EK20" s="261">
        <f t="shared" si="48"/>
        <v>394752000</v>
      </c>
      <c r="EL20" s="261">
        <f t="shared" si="49"/>
        <v>0</v>
      </c>
      <c r="EM20" s="261">
        <f t="shared" si="50"/>
        <v>50286.018333333333</v>
      </c>
      <c r="EN20" s="242">
        <f t="shared" si="51"/>
        <v>4.5859087731031124E-2</v>
      </c>
      <c r="EP20" s="241"/>
    </row>
    <row r="21" spans="1:146" x14ac:dyDescent="0.25">
      <c r="A21" s="255">
        <f t="shared" si="52"/>
        <v>45727</v>
      </c>
      <c r="B21" s="241">
        <v>0</v>
      </c>
      <c r="C21" s="242">
        <v>4.5905639999999998E-2</v>
      </c>
      <c r="D21" s="241">
        <f t="shared" si="1"/>
        <v>0</v>
      </c>
      <c r="G21" s="241">
        <f t="shared" si="2"/>
        <v>0</v>
      </c>
      <c r="J21" s="241">
        <f t="shared" si="3"/>
        <v>0</v>
      </c>
      <c r="M21" s="241">
        <f t="shared" si="4"/>
        <v>0</v>
      </c>
      <c r="P21" s="241">
        <f t="shared" si="5"/>
        <v>0</v>
      </c>
      <c r="S21" s="241">
        <f t="shared" si="6"/>
        <v>0</v>
      </c>
      <c r="V21" s="241">
        <f t="shared" si="7"/>
        <v>0</v>
      </c>
      <c r="Y21" s="241">
        <f t="shared" si="8"/>
        <v>0</v>
      </c>
      <c r="AB21" s="241">
        <f t="shared" si="9"/>
        <v>0</v>
      </c>
      <c r="AE21" s="241">
        <v>0</v>
      </c>
      <c r="AH21" s="241">
        <v>0</v>
      </c>
      <c r="AI21" s="256">
        <f>13275000+20000000</f>
        <v>33275000</v>
      </c>
      <c r="AJ21" s="257">
        <v>4.5199999999999997E-2</v>
      </c>
      <c r="AK21" s="241">
        <f t="shared" si="10"/>
        <v>4177.8611111111113</v>
      </c>
      <c r="AL21" s="256">
        <f t="shared" si="53"/>
        <v>113627000</v>
      </c>
      <c r="AM21" s="257">
        <v>4.58E-2</v>
      </c>
      <c r="AN21" s="241">
        <f t="shared" si="11"/>
        <v>14455.879444444443</v>
      </c>
      <c r="AO21" s="256">
        <f t="shared" si="0"/>
        <v>105000000</v>
      </c>
      <c r="AP21" s="257">
        <v>4.5999999999999999E-2</v>
      </c>
      <c r="AQ21" s="241">
        <f t="shared" si="12"/>
        <v>13416.666666666666</v>
      </c>
      <c r="AR21" s="256">
        <f t="shared" si="54"/>
        <v>90000000</v>
      </c>
      <c r="AS21" s="257">
        <v>4.58E-2</v>
      </c>
      <c r="AT21" s="241">
        <f t="shared" si="13"/>
        <v>11450</v>
      </c>
      <c r="AU21" s="241">
        <f t="shared" si="56"/>
        <v>55000000</v>
      </c>
      <c r="AV21" s="242">
        <v>4.5999999999999999E-2</v>
      </c>
      <c r="AW21" s="241">
        <f t="shared" si="14"/>
        <v>7027.7777777777774</v>
      </c>
      <c r="AX21" s="241">
        <f t="shared" si="55"/>
        <v>25000000</v>
      </c>
      <c r="AY21" s="242">
        <v>4.5600000000000002E-2</v>
      </c>
      <c r="AZ21" s="241">
        <f t="shared" si="15"/>
        <v>3166.6666666666665</v>
      </c>
      <c r="BC21" s="241">
        <f t="shared" si="16"/>
        <v>0</v>
      </c>
      <c r="BF21" s="241">
        <f t="shared" si="17"/>
        <v>0</v>
      </c>
      <c r="BI21" s="241">
        <f t="shared" si="18"/>
        <v>0</v>
      </c>
      <c r="BL21" s="241">
        <f t="shared" si="19"/>
        <v>0</v>
      </c>
      <c r="BO21" s="241">
        <f t="shared" si="20"/>
        <v>0</v>
      </c>
      <c r="BR21" s="241">
        <f t="shared" si="21"/>
        <v>0</v>
      </c>
      <c r="BU21" s="241">
        <f t="shared" si="22"/>
        <v>0</v>
      </c>
      <c r="BX21" s="241">
        <f t="shared" si="23"/>
        <v>0</v>
      </c>
      <c r="CA21" s="241">
        <f t="shared" si="24"/>
        <v>0</v>
      </c>
      <c r="CD21" s="241">
        <f t="shared" si="25"/>
        <v>0</v>
      </c>
      <c r="CG21" s="241">
        <f t="shared" si="26"/>
        <v>0</v>
      </c>
      <c r="CJ21" s="241">
        <f t="shared" si="27"/>
        <v>0</v>
      </c>
      <c r="CM21" s="241">
        <f t="shared" si="28"/>
        <v>0</v>
      </c>
      <c r="CP21" s="241">
        <f t="shared" si="29"/>
        <v>0</v>
      </c>
      <c r="CS21" s="241">
        <f t="shared" si="30"/>
        <v>0</v>
      </c>
      <c r="CV21" s="241">
        <f t="shared" si="31"/>
        <v>0</v>
      </c>
      <c r="CY21" s="241">
        <f t="shared" si="32"/>
        <v>0</v>
      </c>
      <c r="DB21" s="241">
        <f t="shared" si="33"/>
        <v>0</v>
      </c>
      <c r="DE21" s="241">
        <f t="shared" si="34"/>
        <v>0</v>
      </c>
      <c r="DH21" s="241">
        <f t="shared" si="35"/>
        <v>0</v>
      </c>
      <c r="DK21" s="241">
        <f t="shared" si="36"/>
        <v>0</v>
      </c>
      <c r="DN21" s="241">
        <f t="shared" si="37"/>
        <v>0</v>
      </c>
      <c r="DQ21" s="241">
        <f t="shared" si="38"/>
        <v>0</v>
      </c>
      <c r="DT21" s="241">
        <f t="shared" si="39"/>
        <v>0</v>
      </c>
      <c r="DW21" s="241">
        <f t="shared" si="40"/>
        <v>0</v>
      </c>
      <c r="DZ21" s="241"/>
      <c r="EA21" s="241"/>
      <c r="EB21" s="261">
        <f t="shared" si="41"/>
        <v>421902000</v>
      </c>
      <c r="EC21" s="261">
        <f t="shared" si="42"/>
        <v>0</v>
      </c>
      <c r="ED21" s="241">
        <f t="shared" si="43"/>
        <v>53694.851666666662</v>
      </c>
      <c r="EE21" s="242">
        <f t="shared" si="44"/>
        <v>4.581667448838829E-2</v>
      </c>
      <c r="EG21" s="261">
        <f t="shared" si="45"/>
        <v>0</v>
      </c>
      <c r="EH21" s="241">
        <f t="shared" si="46"/>
        <v>0</v>
      </c>
      <c r="EI21" s="242">
        <f t="shared" si="47"/>
        <v>0</v>
      </c>
      <c r="EJ21" s="242"/>
      <c r="EK21" s="261">
        <f t="shared" si="48"/>
        <v>421902000</v>
      </c>
      <c r="EL21" s="261">
        <f t="shared" si="49"/>
        <v>0</v>
      </c>
      <c r="EM21" s="261">
        <f t="shared" si="50"/>
        <v>53694.851666666662</v>
      </c>
      <c r="EN21" s="242">
        <f t="shared" si="51"/>
        <v>4.581667448838829E-2</v>
      </c>
      <c r="EP21" s="241"/>
    </row>
    <row r="22" spans="1:146" x14ac:dyDescent="0.25">
      <c r="A22" s="255">
        <f t="shared" si="52"/>
        <v>45728</v>
      </c>
      <c r="B22" s="241">
        <v>0</v>
      </c>
      <c r="C22" s="242">
        <v>4.5884640000000004E-2</v>
      </c>
      <c r="D22" s="241">
        <f t="shared" si="1"/>
        <v>0</v>
      </c>
      <c r="G22" s="241">
        <f t="shared" si="2"/>
        <v>0</v>
      </c>
      <c r="J22" s="241">
        <f t="shared" si="3"/>
        <v>0</v>
      </c>
      <c r="M22" s="241">
        <f t="shared" si="4"/>
        <v>0</v>
      </c>
      <c r="P22" s="241">
        <f t="shared" si="5"/>
        <v>0</v>
      </c>
      <c r="S22" s="241">
        <f t="shared" si="6"/>
        <v>0</v>
      </c>
      <c r="V22" s="241">
        <f t="shared" si="7"/>
        <v>0</v>
      </c>
      <c r="Y22" s="241">
        <f t="shared" si="8"/>
        <v>0</v>
      </c>
      <c r="AB22" s="241">
        <f t="shared" si="9"/>
        <v>0</v>
      </c>
      <c r="AE22" s="241">
        <v>0</v>
      </c>
      <c r="AH22" s="241">
        <v>0</v>
      </c>
      <c r="AI22" s="256">
        <v>17675000</v>
      </c>
      <c r="AJ22" s="257">
        <v>4.5199999999999997E-2</v>
      </c>
      <c r="AK22" s="241">
        <f t="shared" si="10"/>
        <v>2219.1944444444443</v>
      </c>
      <c r="AL22" s="256">
        <f t="shared" si="53"/>
        <v>113627000</v>
      </c>
      <c r="AM22" s="257">
        <v>4.58E-2</v>
      </c>
      <c r="AN22" s="241">
        <f t="shared" si="11"/>
        <v>14455.879444444443</v>
      </c>
      <c r="AO22" s="256">
        <f t="shared" si="0"/>
        <v>105000000</v>
      </c>
      <c r="AP22" s="257">
        <v>4.5999999999999999E-2</v>
      </c>
      <c r="AQ22" s="241">
        <f t="shared" si="12"/>
        <v>13416.666666666666</v>
      </c>
      <c r="AR22" s="256">
        <f t="shared" si="54"/>
        <v>90000000</v>
      </c>
      <c r="AS22" s="257">
        <v>4.58E-2</v>
      </c>
      <c r="AT22" s="241">
        <f t="shared" si="13"/>
        <v>11450</v>
      </c>
      <c r="AU22" s="241">
        <f t="shared" si="56"/>
        <v>55000000</v>
      </c>
      <c r="AV22" s="242">
        <v>4.5999999999999999E-2</v>
      </c>
      <c r="AW22" s="241">
        <f t="shared" si="14"/>
        <v>7027.7777777777774</v>
      </c>
      <c r="AX22" s="241">
        <f t="shared" si="55"/>
        <v>25000000</v>
      </c>
      <c r="AY22" s="242">
        <v>4.5600000000000002E-2</v>
      </c>
      <c r="AZ22" s="241">
        <f t="shared" si="15"/>
        <v>3166.6666666666665</v>
      </c>
      <c r="BC22" s="241">
        <f t="shared" si="16"/>
        <v>0</v>
      </c>
      <c r="BF22" s="241">
        <f t="shared" si="17"/>
        <v>0</v>
      </c>
      <c r="BI22" s="241">
        <f t="shared" si="18"/>
        <v>0</v>
      </c>
      <c r="BL22" s="241">
        <f t="shared" si="19"/>
        <v>0</v>
      </c>
      <c r="BO22" s="241">
        <f t="shared" si="20"/>
        <v>0</v>
      </c>
      <c r="BR22" s="241">
        <f t="shared" si="21"/>
        <v>0</v>
      </c>
      <c r="BU22" s="241">
        <f t="shared" si="22"/>
        <v>0</v>
      </c>
      <c r="BX22" s="241">
        <f t="shared" si="23"/>
        <v>0</v>
      </c>
      <c r="CA22" s="241">
        <f t="shared" si="24"/>
        <v>0</v>
      </c>
      <c r="CD22" s="241">
        <f t="shared" si="25"/>
        <v>0</v>
      </c>
      <c r="CG22" s="241">
        <f t="shared" si="26"/>
        <v>0</v>
      </c>
      <c r="CJ22" s="241">
        <f t="shared" si="27"/>
        <v>0</v>
      </c>
      <c r="CM22" s="241">
        <f t="shared" si="28"/>
        <v>0</v>
      </c>
      <c r="CP22" s="241">
        <f t="shared" si="29"/>
        <v>0</v>
      </c>
      <c r="CS22" s="241">
        <f t="shared" si="30"/>
        <v>0</v>
      </c>
      <c r="CV22" s="241">
        <f t="shared" si="31"/>
        <v>0</v>
      </c>
      <c r="CY22" s="241">
        <f t="shared" si="32"/>
        <v>0</v>
      </c>
      <c r="DB22" s="241">
        <f t="shared" si="33"/>
        <v>0</v>
      </c>
      <c r="DE22" s="241">
        <f t="shared" si="34"/>
        <v>0</v>
      </c>
      <c r="DH22" s="241">
        <f t="shared" si="35"/>
        <v>0</v>
      </c>
      <c r="DK22" s="241">
        <f t="shared" si="36"/>
        <v>0</v>
      </c>
      <c r="DN22" s="241">
        <f t="shared" si="37"/>
        <v>0</v>
      </c>
      <c r="DQ22" s="241">
        <f t="shared" si="38"/>
        <v>0</v>
      </c>
      <c r="DT22" s="241">
        <f t="shared" si="39"/>
        <v>0</v>
      </c>
      <c r="DW22" s="241">
        <f t="shared" si="40"/>
        <v>0</v>
      </c>
      <c r="DZ22" s="241"/>
      <c r="EA22" s="241"/>
      <c r="EB22" s="261">
        <f t="shared" si="41"/>
        <v>406302000</v>
      </c>
      <c r="EC22" s="261">
        <f t="shared" si="42"/>
        <v>0</v>
      </c>
      <c r="ED22" s="241">
        <f t="shared" si="43"/>
        <v>51736.18499999999</v>
      </c>
      <c r="EE22" s="242">
        <f t="shared" si="44"/>
        <v>4.5840351758051887E-2</v>
      </c>
      <c r="EG22" s="261">
        <f t="shared" si="45"/>
        <v>0</v>
      </c>
      <c r="EH22" s="241">
        <f t="shared" si="46"/>
        <v>0</v>
      </c>
      <c r="EI22" s="242">
        <f t="shared" si="47"/>
        <v>0</v>
      </c>
      <c r="EJ22" s="242"/>
      <c r="EK22" s="261">
        <f t="shared" si="48"/>
        <v>406302000</v>
      </c>
      <c r="EL22" s="261">
        <f t="shared" si="49"/>
        <v>0</v>
      </c>
      <c r="EM22" s="261">
        <f t="shared" si="50"/>
        <v>51736.184999999998</v>
      </c>
      <c r="EN22" s="242">
        <f t="shared" si="51"/>
        <v>4.5840351758051893E-2</v>
      </c>
      <c r="EP22" s="241"/>
    </row>
    <row r="23" spans="1:146" x14ac:dyDescent="0.25">
      <c r="A23" s="255">
        <f t="shared" si="52"/>
        <v>45729</v>
      </c>
      <c r="B23" s="241">
        <v>0</v>
      </c>
      <c r="C23" s="242">
        <v>4.5837929999999999E-2</v>
      </c>
      <c r="D23" s="241">
        <f t="shared" si="1"/>
        <v>0</v>
      </c>
      <c r="G23" s="241">
        <f t="shared" si="2"/>
        <v>0</v>
      </c>
      <c r="J23" s="241">
        <f t="shared" si="3"/>
        <v>0</v>
      </c>
      <c r="M23" s="241">
        <f t="shared" si="4"/>
        <v>0</v>
      </c>
      <c r="P23" s="241">
        <f t="shared" si="5"/>
        <v>0</v>
      </c>
      <c r="S23" s="241">
        <f t="shared" si="6"/>
        <v>0</v>
      </c>
      <c r="V23" s="241">
        <f t="shared" si="7"/>
        <v>0</v>
      </c>
      <c r="Y23" s="241">
        <f t="shared" si="8"/>
        <v>0</v>
      </c>
      <c r="AB23" s="241">
        <f t="shared" si="9"/>
        <v>0</v>
      </c>
      <c r="AE23" s="241">
        <v>0</v>
      </c>
      <c r="AH23" s="241">
        <v>0</v>
      </c>
      <c r="AI23" s="256">
        <v>54550000</v>
      </c>
      <c r="AJ23" s="257">
        <v>4.5199999999999997E-2</v>
      </c>
      <c r="AK23" s="241">
        <f t="shared" si="10"/>
        <v>6849.0555555555557</v>
      </c>
      <c r="AL23" s="256">
        <f t="shared" si="53"/>
        <v>113627000</v>
      </c>
      <c r="AM23" s="257">
        <v>4.58E-2</v>
      </c>
      <c r="AN23" s="241">
        <f t="shared" si="11"/>
        <v>14455.879444444443</v>
      </c>
      <c r="AO23" s="256">
        <f t="shared" si="0"/>
        <v>105000000</v>
      </c>
      <c r="AP23" s="257">
        <v>4.5999999999999999E-2</v>
      </c>
      <c r="AQ23" s="241">
        <f t="shared" si="12"/>
        <v>13416.666666666666</v>
      </c>
      <c r="AR23" s="256">
        <f t="shared" si="54"/>
        <v>90000000</v>
      </c>
      <c r="AS23" s="257">
        <v>4.58E-2</v>
      </c>
      <c r="AT23" s="241">
        <f t="shared" si="13"/>
        <v>11450</v>
      </c>
      <c r="AU23" s="241">
        <f t="shared" si="56"/>
        <v>55000000</v>
      </c>
      <c r="AV23" s="242">
        <v>4.5999999999999999E-2</v>
      </c>
      <c r="AW23" s="241">
        <f t="shared" si="14"/>
        <v>7027.7777777777774</v>
      </c>
      <c r="AX23" s="241">
        <f t="shared" si="55"/>
        <v>25000000</v>
      </c>
      <c r="AY23" s="242">
        <v>4.5600000000000002E-2</v>
      </c>
      <c r="AZ23" s="241">
        <f t="shared" si="15"/>
        <v>3166.6666666666665</v>
      </c>
      <c r="BC23" s="241">
        <f t="shared" si="16"/>
        <v>0</v>
      </c>
      <c r="BF23" s="241">
        <f t="shared" si="17"/>
        <v>0</v>
      </c>
      <c r="BI23" s="241">
        <f t="shared" si="18"/>
        <v>0</v>
      </c>
      <c r="BL23" s="241">
        <f t="shared" si="19"/>
        <v>0</v>
      </c>
      <c r="BO23" s="241">
        <f t="shared" si="20"/>
        <v>0</v>
      </c>
      <c r="BR23" s="241">
        <f t="shared" si="21"/>
        <v>0</v>
      </c>
      <c r="BU23" s="241">
        <f t="shared" si="22"/>
        <v>0</v>
      </c>
      <c r="BX23" s="241">
        <f t="shared" si="23"/>
        <v>0</v>
      </c>
      <c r="CA23" s="241">
        <f t="shared" si="24"/>
        <v>0</v>
      </c>
      <c r="CD23" s="241">
        <f t="shared" si="25"/>
        <v>0</v>
      </c>
      <c r="CG23" s="241">
        <f t="shared" si="26"/>
        <v>0</v>
      </c>
      <c r="CJ23" s="241">
        <f t="shared" si="27"/>
        <v>0</v>
      </c>
      <c r="CM23" s="241">
        <f t="shared" si="28"/>
        <v>0</v>
      </c>
      <c r="CP23" s="241">
        <f t="shared" si="29"/>
        <v>0</v>
      </c>
      <c r="CS23" s="241">
        <f t="shared" si="30"/>
        <v>0</v>
      </c>
      <c r="CV23" s="241">
        <f t="shared" si="31"/>
        <v>0</v>
      </c>
      <c r="CY23" s="241">
        <f t="shared" si="32"/>
        <v>0</v>
      </c>
      <c r="DB23" s="241">
        <f t="shared" si="33"/>
        <v>0</v>
      </c>
      <c r="DE23" s="241">
        <f t="shared" si="34"/>
        <v>0</v>
      </c>
      <c r="DH23" s="241">
        <f t="shared" si="35"/>
        <v>0</v>
      </c>
      <c r="DK23" s="241">
        <f t="shared" si="36"/>
        <v>0</v>
      </c>
      <c r="DN23" s="241">
        <f t="shared" si="37"/>
        <v>0</v>
      </c>
      <c r="DQ23" s="241">
        <f t="shared" si="38"/>
        <v>0</v>
      </c>
      <c r="DT23" s="241">
        <f t="shared" si="39"/>
        <v>0</v>
      </c>
      <c r="DW23" s="241">
        <f t="shared" si="40"/>
        <v>0</v>
      </c>
      <c r="DZ23" s="241"/>
      <c r="EA23" s="241"/>
      <c r="EB23" s="261">
        <f t="shared" si="41"/>
        <v>443177000</v>
      </c>
      <c r="EC23" s="261">
        <f t="shared" si="42"/>
        <v>0</v>
      </c>
      <c r="ED23" s="241">
        <f t="shared" si="43"/>
        <v>56366.0461111111</v>
      </c>
      <c r="EE23" s="242">
        <f t="shared" si="44"/>
        <v>4.5787070628665293E-2</v>
      </c>
      <c r="EG23" s="261">
        <f t="shared" si="45"/>
        <v>0</v>
      </c>
      <c r="EH23" s="241">
        <f t="shared" si="46"/>
        <v>0</v>
      </c>
      <c r="EI23" s="242">
        <f t="shared" si="47"/>
        <v>0</v>
      </c>
      <c r="EJ23" s="242"/>
      <c r="EK23" s="261">
        <f t="shared" si="48"/>
        <v>443177000</v>
      </c>
      <c r="EL23" s="261">
        <f t="shared" si="49"/>
        <v>0</v>
      </c>
      <c r="EM23" s="261">
        <f t="shared" si="50"/>
        <v>56366.046111111107</v>
      </c>
      <c r="EN23" s="242">
        <f t="shared" si="51"/>
        <v>4.5787070628665293E-2</v>
      </c>
      <c r="EP23" s="241"/>
    </row>
    <row r="24" spans="1:146" x14ac:dyDescent="0.25">
      <c r="A24" s="255">
        <f t="shared" si="52"/>
        <v>45730</v>
      </c>
      <c r="B24" s="241">
        <v>0</v>
      </c>
      <c r="C24" s="242">
        <v>4.5869710000000001E-2</v>
      </c>
      <c r="D24" s="241">
        <f t="shared" si="1"/>
        <v>0</v>
      </c>
      <c r="G24" s="241">
        <f t="shared" si="2"/>
        <v>0</v>
      </c>
      <c r="J24" s="241">
        <f t="shared" si="3"/>
        <v>0</v>
      </c>
      <c r="M24" s="241">
        <f t="shared" si="4"/>
        <v>0</v>
      </c>
      <c r="P24" s="241">
        <f t="shared" si="5"/>
        <v>0</v>
      </c>
      <c r="S24" s="241">
        <f t="shared" si="6"/>
        <v>0</v>
      </c>
      <c r="V24" s="241">
        <f t="shared" si="7"/>
        <v>0</v>
      </c>
      <c r="Y24" s="241">
        <f t="shared" si="8"/>
        <v>0</v>
      </c>
      <c r="AB24" s="241">
        <f t="shared" si="9"/>
        <v>0</v>
      </c>
      <c r="AE24" s="241">
        <v>0</v>
      </c>
      <c r="AH24" s="241">
        <v>0</v>
      </c>
      <c r="AI24" s="256">
        <f>70000000</f>
        <v>70000000</v>
      </c>
      <c r="AJ24" s="257">
        <v>4.5199999999999997E-2</v>
      </c>
      <c r="AK24" s="241">
        <f t="shared" si="10"/>
        <v>8788.8888888888887</v>
      </c>
      <c r="AL24" s="256">
        <f>75000000+30000000+39825000</f>
        <v>144825000</v>
      </c>
      <c r="AM24" s="257">
        <v>4.5499999999999999E-2</v>
      </c>
      <c r="AN24" s="241">
        <f t="shared" si="11"/>
        <v>18304.270833333332</v>
      </c>
      <c r="AO24" s="256"/>
      <c r="AP24" s="257"/>
      <c r="AQ24" s="241">
        <f t="shared" si="12"/>
        <v>0</v>
      </c>
      <c r="AR24" s="256">
        <f t="shared" ref="AR24:AR38" si="57">12000000</f>
        <v>12000000</v>
      </c>
      <c r="AS24" s="257">
        <v>4.58E-2</v>
      </c>
      <c r="AT24" s="241">
        <f t="shared" si="13"/>
        <v>1526.6666666666667</v>
      </c>
      <c r="AU24" s="241">
        <f t="shared" si="56"/>
        <v>55000000</v>
      </c>
      <c r="AV24" s="242">
        <v>4.5999999999999999E-2</v>
      </c>
      <c r="AW24" s="241">
        <f t="shared" si="14"/>
        <v>7027.7777777777774</v>
      </c>
      <c r="AX24" s="241">
        <f>88000000+88000000</f>
        <v>176000000</v>
      </c>
      <c r="AY24" s="242">
        <v>4.65E-2</v>
      </c>
      <c r="AZ24" s="241">
        <f t="shared" si="15"/>
        <v>22733.333333333332</v>
      </c>
      <c r="BC24" s="241">
        <f t="shared" si="16"/>
        <v>0</v>
      </c>
      <c r="BF24" s="241">
        <f t="shared" si="17"/>
        <v>0</v>
      </c>
      <c r="BI24" s="241">
        <f t="shared" si="18"/>
        <v>0</v>
      </c>
      <c r="BL24" s="241">
        <f t="shared" si="19"/>
        <v>0</v>
      </c>
      <c r="BO24" s="241">
        <f t="shared" si="20"/>
        <v>0</v>
      </c>
      <c r="BR24" s="241">
        <f t="shared" si="21"/>
        <v>0</v>
      </c>
      <c r="BU24" s="241">
        <f t="shared" si="22"/>
        <v>0</v>
      </c>
      <c r="BX24" s="241">
        <f t="shared" si="23"/>
        <v>0</v>
      </c>
      <c r="CA24" s="241">
        <f t="shared" si="24"/>
        <v>0</v>
      </c>
      <c r="CD24" s="241">
        <f t="shared" si="25"/>
        <v>0</v>
      </c>
      <c r="CG24" s="241">
        <f t="shared" si="26"/>
        <v>0</v>
      </c>
      <c r="CJ24" s="241">
        <f t="shared" si="27"/>
        <v>0</v>
      </c>
      <c r="CM24" s="241">
        <f t="shared" si="28"/>
        <v>0</v>
      </c>
      <c r="CP24" s="241">
        <f t="shared" si="29"/>
        <v>0</v>
      </c>
      <c r="CS24" s="241">
        <f t="shared" si="30"/>
        <v>0</v>
      </c>
      <c r="CV24" s="241">
        <f t="shared" si="31"/>
        <v>0</v>
      </c>
      <c r="CY24" s="241">
        <f t="shared" si="32"/>
        <v>0</v>
      </c>
      <c r="DB24" s="241">
        <f t="shared" si="33"/>
        <v>0</v>
      </c>
      <c r="DE24" s="241">
        <f t="shared" si="34"/>
        <v>0</v>
      </c>
      <c r="DH24" s="241">
        <f t="shared" si="35"/>
        <v>0</v>
      </c>
      <c r="DK24" s="241">
        <f t="shared" si="36"/>
        <v>0</v>
      </c>
      <c r="DN24" s="241">
        <f t="shared" si="37"/>
        <v>0</v>
      </c>
      <c r="DQ24" s="241">
        <f t="shared" si="38"/>
        <v>0</v>
      </c>
      <c r="DT24" s="241">
        <f t="shared" si="39"/>
        <v>0</v>
      </c>
      <c r="DW24" s="241">
        <f t="shared" si="40"/>
        <v>0</v>
      </c>
      <c r="DZ24" s="241"/>
      <c r="EA24" s="241"/>
      <c r="EB24" s="261">
        <f t="shared" si="41"/>
        <v>457825000</v>
      </c>
      <c r="EC24" s="261">
        <f t="shared" si="42"/>
        <v>0</v>
      </c>
      <c r="ED24" s="241">
        <f t="shared" si="43"/>
        <v>58380.9375</v>
      </c>
      <c r="EE24" s="242">
        <f t="shared" si="44"/>
        <v>4.5906487194888872E-2</v>
      </c>
      <c r="EG24" s="261">
        <f t="shared" si="45"/>
        <v>0</v>
      </c>
      <c r="EH24" s="241">
        <f t="shared" si="46"/>
        <v>0</v>
      </c>
      <c r="EI24" s="242">
        <f t="shared" si="47"/>
        <v>0</v>
      </c>
      <c r="EJ24" s="242"/>
      <c r="EK24" s="261">
        <f t="shared" si="48"/>
        <v>457825000</v>
      </c>
      <c r="EL24" s="261">
        <f t="shared" si="49"/>
        <v>0</v>
      </c>
      <c r="EM24" s="261">
        <f t="shared" si="50"/>
        <v>58380.9375</v>
      </c>
      <c r="EN24" s="242">
        <f t="shared" si="51"/>
        <v>4.5906487194888872E-2</v>
      </c>
      <c r="EP24" s="241"/>
    </row>
    <row r="25" spans="1:146" x14ac:dyDescent="0.25">
      <c r="A25" s="255">
        <f t="shared" si="52"/>
        <v>45731</v>
      </c>
      <c r="B25" s="241">
        <v>0</v>
      </c>
      <c r="C25" s="242">
        <v>4.5869710000000001E-2</v>
      </c>
      <c r="D25" s="241">
        <f t="shared" si="1"/>
        <v>0</v>
      </c>
      <c r="G25" s="241">
        <f t="shared" si="2"/>
        <v>0</v>
      </c>
      <c r="J25" s="241">
        <f t="shared" si="3"/>
        <v>0</v>
      </c>
      <c r="M25" s="241">
        <f t="shared" si="4"/>
        <v>0</v>
      </c>
      <c r="P25" s="241">
        <f t="shared" si="5"/>
        <v>0</v>
      </c>
      <c r="S25" s="241">
        <f t="shared" si="6"/>
        <v>0</v>
      </c>
      <c r="V25" s="241">
        <f t="shared" si="7"/>
        <v>0</v>
      </c>
      <c r="Y25" s="241">
        <f t="shared" si="8"/>
        <v>0</v>
      </c>
      <c r="AB25" s="241">
        <f t="shared" si="9"/>
        <v>0</v>
      </c>
      <c r="AE25" s="241">
        <v>0</v>
      </c>
      <c r="AH25" s="241">
        <v>0</v>
      </c>
      <c r="AI25" s="256">
        <f>70000000</f>
        <v>70000000</v>
      </c>
      <c r="AJ25" s="257">
        <v>4.5199999999999997E-2</v>
      </c>
      <c r="AK25" s="241">
        <f t="shared" si="10"/>
        <v>8788.8888888888887</v>
      </c>
      <c r="AL25" s="256">
        <f>75000000+30000000+39825000</f>
        <v>144825000</v>
      </c>
      <c r="AM25" s="257">
        <v>4.5499999999999999E-2</v>
      </c>
      <c r="AN25" s="241">
        <f t="shared" si="11"/>
        <v>18304.270833333332</v>
      </c>
      <c r="AO25" s="256"/>
      <c r="AP25" s="257"/>
      <c r="AQ25" s="241">
        <f t="shared" si="12"/>
        <v>0</v>
      </c>
      <c r="AR25" s="256">
        <f t="shared" si="57"/>
        <v>12000000</v>
      </c>
      <c r="AS25" s="257">
        <v>4.58E-2</v>
      </c>
      <c r="AT25" s="241">
        <f t="shared" si="13"/>
        <v>1526.6666666666667</v>
      </c>
      <c r="AU25" s="241">
        <f t="shared" si="56"/>
        <v>55000000</v>
      </c>
      <c r="AV25" s="242">
        <v>4.5999999999999999E-2</v>
      </c>
      <c r="AW25" s="241">
        <f t="shared" si="14"/>
        <v>7027.7777777777774</v>
      </c>
      <c r="AX25" s="241">
        <f>88000000+88000000</f>
        <v>176000000</v>
      </c>
      <c r="AY25" s="242">
        <v>4.65E-2</v>
      </c>
      <c r="AZ25" s="241">
        <f t="shared" si="15"/>
        <v>22733.333333333332</v>
      </c>
      <c r="BC25" s="241">
        <f t="shared" si="16"/>
        <v>0</v>
      </c>
      <c r="BF25" s="241">
        <f t="shared" si="17"/>
        <v>0</v>
      </c>
      <c r="BI25" s="241">
        <f t="shared" si="18"/>
        <v>0</v>
      </c>
      <c r="BL25" s="241">
        <f t="shared" si="19"/>
        <v>0</v>
      </c>
      <c r="BO25" s="241">
        <f t="shared" si="20"/>
        <v>0</v>
      </c>
      <c r="BR25" s="241">
        <f t="shared" si="21"/>
        <v>0</v>
      </c>
      <c r="BU25" s="241">
        <f t="shared" si="22"/>
        <v>0</v>
      </c>
      <c r="BX25" s="241">
        <f t="shared" si="23"/>
        <v>0</v>
      </c>
      <c r="CA25" s="241">
        <f t="shared" si="24"/>
        <v>0</v>
      </c>
      <c r="CD25" s="241">
        <f t="shared" si="25"/>
        <v>0</v>
      </c>
      <c r="CG25" s="241">
        <f t="shared" si="26"/>
        <v>0</v>
      </c>
      <c r="CJ25" s="241">
        <f t="shared" si="27"/>
        <v>0</v>
      </c>
      <c r="CM25" s="241">
        <f t="shared" si="28"/>
        <v>0</v>
      </c>
      <c r="CP25" s="241">
        <f t="shared" si="29"/>
        <v>0</v>
      </c>
      <c r="CS25" s="241">
        <f t="shared" si="30"/>
        <v>0</v>
      </c>
      <c r="CV25" s="241">
        <f t="shared" si="31"/>
        <v>0</v>
      </c>
      <c r="CY25" s="241">
        <f t="shared" si="32"/>
        <v>0</v>
      </c>
      <c r="DB25" s="241">
        <f t="shared" si="33"/>
        <v>0</v>
      </c>
      <c r="DE25" s="241">
        <f t="shared" si="34"/>
        <v>0</v>
      </c>
      <c r="DH25" s="241">
        <f t="shared" si="35"/>
        <v>0</v>
      </c>
      <c r="DK25" s="241">
        <f t="shared" si="36"/>
        <v>0</v>
      </c>
      <c r="DN25" s="241">
        <f t="shared" si="37"/>
        <v>0</v>
      </c>
      <c r="DQ25" s="241">
        <f t="shared" si="38"/>
        <v>0</v>
      </c>
      <c r="DT25" s="241">
        <f t="shared" si="39"/>
        <v>0</v>
      </c>
      <c r="DW25" s="241">
        <f t="shared" si="40"/>
        <v>0</v>
      </c>
      <c r="DZ25" s="241"/>
      <c r="EA25" s="241"/>
      <c r="EB25" s="261">
        <f t="shared" si="41"/>
        <v>457825000</v>
      </c>
      <c r="EC25" s="261">
        <f t="shared" si="42"/>
        <v>0</v>
      </c>
      <c r="ED25" s="241">
        <f t="shared" si="43"/>
        <v>58380.9375</v>
      </c>
      <c r="EE25" s="242">
        <f t="shared" si="44"/>
        <v>4.5906487194888872E-2</v>
      </c>
      <c r="EG25" s="261">
        <f t="shared" si="45"/>
        <v>0</v>
      </c>
      <c r="EH25" s="241">
        <f t="shared" si="46"/>
        <v>0</v>
      </c>
      <c r="EI25" s="242">
        <f t="shared" si="47"/>
        <v>0</v>
      </c>
      <c r="EJ25" s="242"/>
      <c r="EK25" s="261">
        <f t="shared" si="48"/>
        <v>457825000</v>
      </c>
      <c r="EL25" s="261">
        <f t="shared" si="49"/>
        <v>0</v>
      </c>
      <c r="EM25" s="261">
        <f t="shared" si="50"/>
        <v>58380.9375</v>
      </c>
      <c r="EN25" s="242">
        <f t="shared" si="51"/>
        <v>4.5906487194888872E-2</v>
      </c>
      <c r="EP25" s="241"/>
    </row>
    <row r="26" spans="1:146" x14ac:dyDescent="0.25">
      <c r="A26" s="255">
        <f t="shared" si="52"/>
        <v>45732</v>
      </c>
      <c r="B26" s="241">
        <v>0</v>
      </c>
      <c r="C26" s="242">
        <v>4.5869710000000001E-2</v>
      </c>
      <c r="D26" s="241">
        <f t="shared" si="1"/>
        <v>0</v>
      </c>
      <c r="G26" s="241">
        <f t="shared" si="2"/>
        <v>0</v>
      </c>
      <c r="J26" s="241">
        <f t="shared" si="3"/>
        <v>0</v>
      </c>
      <c r="M26" s="241">
        <f t="shared" si="4"/>
        <v>0</v>
      </c>
      <c r="P26" s="241">
        <f t="shared" si="5"/>
        <v>0</v>
      </c>
      <c r="S26" s="241">
        <f t="shared" si="6"/>
        <v>0</v>
      </c>
      <c r="V26" s="241">
        <f t="shared" si="7"/>
        <v>0</v>
      </c>
      <c r="Y26" s="241">
        <f t="shared" si="8"/>
        <v>0</v>
      </c>
      <c r="AB26" s="241">
        <f t="shared" si="9"/>
        <v>0</v>
      </c>
      <c r="AE26" s="241">
        <v>0</v>
      </c>
      <c r="AH26" s="241">
        <v>0</v>
      </c>
      <c r="AI26" s="256">
        <f>70000000</f>
        <v>70000000</v>
      </c>
      <c r="AJ26" s="257">
        <v>4.5199999999999997E-2</v>
      </c>
      <c r="AK26" s="241">
        <f t="shared" si="10"/>
        <v>8788.8888888888887</v>
      </c>
      <c r="AL26" s="256">
        <f>75000000+30000000+39825000</f>
        <v>144825000</v>
      </c>
      <c r="AM26" s="257">
        <v>4.5499999999999999E-2</v>
      </c>
      <c r="AN26" s="241">
        <f t="shared" si="11"/>
        <v>18304.270833333332</v>
      </c>
      <c r="AO26" s="256"/>
      <c r="AP26" s="257"/>
      <c r="AQ26" s="241">
        <f t="shared" si="12"/>
        <v>0</v>
      </c>
      <c r="AR26" s="256">
        <f t="shared" si="57"/>
        <v>12000000</v>
      </c>
      <c r="AS26" s="257">
        <v>4.58E-2</v>
      </c>
      <c r="AT26" s="241">
        <f t="shared" si="13"/>
        <v>1526.6666666666667</v>
      </c>
      <c r="AU26" s="241">
        <f t="shared" si="56"/>
        <v>55000000</v>
      </c>
      <c r="AV26" s="242">
        <v>4.5999999999999999E-2</v>
      </c>
      <c r="AW26" s="241">
        <f t="shared" si="14"/>
        <v>7027.7777777777774</v>
      </c>
      <c r="AX26" s="241">
        <f>88000000+88000000</f>
        <v>176000000</v>
      </c>
      <c r="AY26" s="242">
        <v>4.65E-2</v>
      </c>
      <c r="AZ26" s="241">
        <f t="shared" si="15"/>
        <v>22733.333333333332</v>
      </c>
      <c r="BC26" s="241">
        <f t="shared" si="16"/>
        <v>0</v>
      </c>
      <c r="BF26" s="241">
        <f t="shared" si="17"/>
        <v>0</v>
      </c>
      <c r="BI26" s="241">
        <f t="shared" si="18"/>
        <v>0</v>
      </c>
      <c r="BL26" s="241">
        <f t="shared" si="19"/>
        <v>0</v>
      </c>
      <c r="BO26" s="241">
        <f t="shared" si="20"/>
        <v>0</v>
      </c>
      <c r="BR26" s="241">
        <f t="shared" si="21"/>
        <v>0</v>
      </c>
      <c r="BU26" s="241">
        <f t="shared" si="22"/>
        <v>0</v>
      </c>
      <c r="BX26" s="241">
        <f t="shared" si="23"/>
        <v>0</v>
      </c>
      <c r="CA26" s="241">
        <f t="shared" si="24"/>
        <v>0</v>
      </c>
      <c r="CD26" s="241">
        <f t="shared" si="25"/>
        <v>0</v>
      </c>
      <c r="CG26" s="241">
        <f t="shared" si="26"/>
        <v>0</v>
      </c>
      <c r="CJ26" s="241">
        <f t="shared" si="27"/>
        <v>0</v>
      </c>
      <c r="CM26" s="241">
        <f t="shared" si="28"/>
        <v>0</v>
      </c>
      <c r="CP26" s="241">
        <f t="shared" si="29"/>
        <v>0</v>
      </c>
      <c r="CS26" s="241">
        <f t="shared" si="30"/>
        <v>0</v>
      </c>
      <c r="CV26" s="241">
        <f t="shared" si="31"/>
        <v>0</v>
      </c>
      <c r="CY26" s="241">
        <f t="shared" si="32"/>
        <v>0</v>
      </c>
      <c r="DB26" s="241">
        <f t="shared" si="33"/>
        <v>0</v>
      </c>
      <c r="DE26" s="241">
        <f t="shared" si="34"/>
        <v>0</v>
      </c>
      <c r="DH26" s="241">
        <f t="shared" si="35"/>
        <v>0</v>
      </c>
      <c r="DK26" s="241">
        <f t="shared" si="36"/>
        <v>0</v>
      </c>
      <c r="DN26" s="241">
        <f t="shared" si="37"/>
        <v>0</v>
      </c>
      <c r="DQ26" s="241">
        <f t="shared" si="38"/>
        <v>0</v>
      </c>
      <c r="DT26" s="241">
        <f t="shared" si="39"/>
        <v>0</v>
      </c>
      <c r="DW26" s="241">
        <f t="shared" si="40"/>
        <v>0</v>
      </c>
      <c r="DZ26" s="241"/>
      <c r="EA26" s="241"/>
      <c r="EB26" s="261">
        <f t="shared" si="41"/>
        <v>457825000</v>
      </c>
      <c r="EC26" s="261">
        <f t="shared" si="42"/>
        <v>0</v>
      </c>
      <c r="ED26" s="241">
        <f t="shared" si="43"/>
        <v>58380.9375</v>
      </c>
      <c r="EE26" s="242">
        <f t="shared" si="44"/>
        <v>4.5906487194888872E-2</v>
      </c>
      <c r="EG26" s="261">
        <f t="shared" si="45"/>
        <v>0</v>
      </c>
      <c r="EH26" s="241">
        <f t="shared" si="46"/>
        <v>0</v>
      </c>
      <c r="EI26" s="242">
        <f t="shared" si="47"/>
        <v>0</v>
      </c>
      <c r="EJ26" s="242"/>
      <c r="EK26" s="261">
        <f t="shared" si="48"/>
        <v>457825000</v>
      </c>
      <c r="EL26" s="261">
        <f t="shared" si="49"/>
        <v>0</v>
      </c>
      <c r="EM26" s="261">
        <f t="shared" si="50"/>
        <v>58380.9375</v>
      </c>
      <c r="EN26" s="242">
        <f t="shared" si="51"/>
        <v>4.5906487194888872E-2</v>
      </c>
      <c r="EP26" s="241"/>
    </row>
    <row r="27" spans="1:146" x14ac:dyDescent="0.25">
      <c r="A27" s="255">
        <f t="shared" si="52"/>
        <v>45733</v>
      </c>
      <c r="B27" s="241">
        <v>0</v>
      </c>
      <c r="C27" s="242">
        <v>4.6046189999999994E-2</v>
      </c>
      <c r="D27" s="241">
        <f t="shared" si="1"/>
        <v>0</v>
      </c>
      <c r="G27" s="241">
        <f t="shared" si="2"/>
        <v>0</v>
      </c>
      <c r="J27" s="241">
        <f t="shared" si="3"/>
        <v>0</v>
      </c>
      <c r="M27" s="241">
        <f t="shared" si="4"/>
        <v>0</v>
      </c>
      <c r="P27" s="241">
        <f t="shared" si="5"/>
        <v>0</v>
      </c>
      <c r="S27" s="241">
        <f t="shared" si="6"/>
        <v>0</v>
      </c>
      <c r="V27" s="241">
        <f t="shared" si="7"/>
        <v>0</v>
      </c>
      <c r="Y27" s="241">
        <f t="shared" si="8"/>
        <v>0</v>
      </c>
      <c r="AB27" s="241">
        <f t="shared" si="9"/>
        <v>0</v>
      </c>
      <c r="AE27" s="241">
        <v>0</v>
      </c>
      <c r="AH27" s="241">
        <v>0</v>
      </c>
      <c r="AI27" s="256"/>
      <c r="AJ27" s="257"/>
      <c r="AK27" s="241">
        <f t="shared" si="10"/>
        <v>0</v>
      </c>
      <c r="AL27" s="256">
        <f>39000000</f>
        <v>39000000</v>
      </c>
      <c r="AM27" s="257">
        <v>4.5499999999999999E-2</v>
      </c>
      <c r="AN27" s="241">
        <f t="shared" si="11"/>
        <v>4929.166666666667</v>
      </c>
      <c r="AO27" s="256">
        <f>45000000</f>
        <v>45000000</v>
      </c>
      <c r="AP27" s="257">
        <v>4.6699999999999998E-2</v>
      </c>
      <c r="AQ27" s="241">
        <f t="shared" si="12"/>
        <v>5837.5</v>
      </c>
      <c r="AR27" s="256">
        <f t="shared" si="57"/>
        <v>12000000</v>
      </c>
      <c r="AS27" s="257">
        <v>4.58E-2</v>
      </c>
      <c r="AT27" s="241">
        <f t="shared" si="13"/>
        <v>1526.6666666666667</v>
      </c>
      <c r="AU27" s="241">
        <f t="shared" si="56"/>
        <v>55000000</v>
      </c>
      <c r="AV27" s="242">
        <v>4.5999999999999999E-2</v>
      </c>
      <c r="AW27" s="241">
        <f t="shared" si="14"/>
        <v>7027.7777777777774</v>
      </c>
      <c r="AX27" s="241">
        <f>88000000+88000000+61000000+73325000+80000000</f>
        <v>390325000</v>
      </c>
      <c r="AY27" s="242">
        <v>4.65E-2</v>
      </c>
      <c r="AZ27" s="241">
        <f t="shared" si="15"/>
        <v>50416.979166666664</v>
      </c>
      <c r="BC27" s="241">
        <f t="shared" si="16"/>
        <v>0</v>
      </c>
      <c r="BF27" s="241">
        <f t="shared" si="17"/>
        <v>0</v>
      </c>
      <c r="BI27" s="241">
        <f t="shared" si="18"/>
        <v>0</v>
      </c>
      <c r="BL27" s="241">
        <f t="shared" si="19"/>
        <v>0</v>
      </c>
      <c r="BO27" s="241">
        <f t="shared" si="20"/>
        <v>0</v>
      </c>
      <c r="BR27" s="241">
        <f t="shared" si="21"/>
        <v>0</v>
      </c>
      <c r="BU27" s="241">
        <f t="shared" si="22"/>
        <v>0</v>
      </c>
      <c r="BX27" s="241">
        <f t="shared" si="23"/>
        <v>0</v>
      </c>
      <c r="CA27" s="241">
        <f t="shared" si="24"/>
        <v>0</v>
      </c>
      <c r="CD27" s="241">
        <f t="shared" si="25"/>
        <v>0</v>
      </c>
      <c r="CG27" s="241">
        <f t="shared" si="26"/>
        <v>0</v>
      </c>
      <c r="CJ27" s="241">
        <f t="shared" si="27"/>
        <v>0</v>
      </c>
      <c r="CM27" s="241">
        <f t="shared" si="28"/>
        <v>0</v>
      </c>
      <c r="CP27" s="241">
        <f t="shared" si="29"/>
        <v>0</v>
      </c>
      <c r="CS27" s="241">
        <f t="shared" si="30"/>
        <v>0</v>
      </c>
      <c r="CV27" s="241">
        <f t="shared" si="31"/>
        <v>0</v>
      </c>
      <c r="CY27" s="241">
        <f t="shared" si="32"/>
        <v>0</v>
      </c>
      <c r="DB27" s="241">
        <f t="shared" si="33"/>
        <v>0</v>
      </c>
      <c r="DE27" s="241">
        <f t="shared" si="34"/>
        <v>0</v>
      </c>
      <c r="DH27" s="241">
        <f t="shared" si="35"/>
        <v>0</v>
      </c>
      <c r="DK27" s="241">
        <f t="shared" si="36"/>
        <v>0</v>
      </c>
      <c r="DN27" s="241">
        <f t="shared" si="37"/>
        <v>0</v>
      </c>
      <c r="DQ27" s="241">
        <f t="shared" si="38"/>
        <v>0</v>
      </c>
      <c r="DT27" s="241">
        <f t="shared" si="39"/>
        <v>0</v>
      </c>
      <c r="DW27" s="241">
        <f t="shared" si="40"/>
        <v>0</v>
      </c>
      <c r="DZ27" s="241"/>
      <c r="EA27" s="241"/>
      <c r="EB27" s="261">
        <f t="shared" si="41"/>
        <v>541325000</v>
      </c>
      <c r="EC27" s="261">
        <f t="shared" si="42"/>
        <v>0</v>
      </c>
      <c r="ED27" s="241">
        <f t="shared" si="43"/>
        <v>69738.090277777781</v>
      </c>
      <c r="EE27" s="242">
        <f t="shared" si="44"/>
        <v>4.6378261672747431E-2</v>
      </c>
      <c r="EG27" s="261">
        <f t="shared" si="45"/>
        <v>0</v>
      </c>
      <c r="EH27" s="241">
        <f t="shared" si="46"/>
        <v>0</v>
      </c>
      <c r="EI27" s="242">
        <f t="shared" si="47"/>
        <v>0</v>
      </c>
      <c r="EJ27" s="242"/>
      <c r="EK27" s="261">
        <f t="shared" si="48"/>
        <v>541325000</v>
      </c>
      <c r="EL27" s="261">
        <f t="shared" si="49"/>
        <v>0</v>
      </c>
      <c r="EM27" s="261">
        <f t="shared" si="50"/>
        <v>69738.090277777766</v>
      </c>
      <c r="EN27" s="242">
        <f t="shared" si="51"/>
        <v>4.6378261672747417E-2</v>
      </c>
      <c r="EP27" s="241"/>
    </row>
    <row r="28" spans="1:146" x14ac:dyDescent="0.25">
      <c r="A28" s="255">
        <f t="shared" si="52"/>
        <v>45734</v>
      </c>
      <c r="B28" s="241">
        <v>0</v>
      </c>
      <c r="C28" s="242">
        <v>4.6194800000000001E-2</v>
      </c>
      <c r="D28" s="241">
        <f t="shared" si="1"/>
        <v>0</v>
      </c>
      <c r="G28" s="241">
        <f t="shared" si="2"/>
        <v>0</v>
      </c>
      <c r="J28" s="241">
        <f t="shared" si="3"/>
        <v>0</v>
      </c>
      <c r="M28" s="241">
        <f t="shared" si="4"/>
        <v>0</v>
      </c>
      <c r="P28" s="241">
        <f t="shared" si="5"/>
        <v>0</v>
      </c>
      <c r="S28" s="241">
        <f t="shared" si="6"/>
        <v>0</v>
      </c>
      <c r="V28" s="241">
        <f t="shared" si="7"/>
        <v>0</v>
      </c>
      <c r="Y28" s="241">
        <f t="shared" si="8"/>
        <v>0</v>
      </c>
      <c r="AB28" s="241">
        <f t="shared" si="9"/>
        <v>0</v>
      </c>
      <c r="AE28" s="241">
        <v>0</v>
      </c>
      <c r="AH28" s="241">
        <v>0</v>
      </c>
      <c r="AI28" s="256">
        <f>72057000+21375000+65000000</f>
        <v>158432000</v>
      </c>
      <c r="AJ28" s="257">
        <v>4.65E-2</v>
      </c>
      <c r="AK28" s="241">
        <f t="shared" si="10"/>
        <v>20464.133333333335</v>
      </c>
      <c r="AL28" s="256">
        <v>27943000</v>
      </c>
      <c r="AM28" s="257">
        <v>4.7E-2</v>
      </c>
      <c r="AN28" s="241">
        <f t="shared" si="11"/>
        <v>3648.1138888888891</v>
      </c>
      <c r="AO28" s="256">
        <f t="shared" ref="AO28:AO38" si="58">75000000+25000000</f>
        <v>100000000</v>
      </c>
      <c r="AP28" s="257">
        <v>4.7E-2</v>
      </c>
      <c r="AQ28" s="241">
        <f t="shared" si="12"/>
        <v>13055.555555555555</v>
      </c>
      <c r="AR28" s="256">
        <f t="shared" si="57"/>
        <v>12000000</v>
      </c>
      <c r="AS28" s="257">
        <v>4.58E-2</v>
      </c>
      <c r="AT28" s="241">
        <f t="shared" si="13"/>
        <v>1526.6666666666667</v>
      </c>
      <c r="AU28" s="241">
        <f t="shared" si="56"/>
        <v>55000000</v>
      </c>
      <c r="AV28" s="242">
        <v>4.5999999999999999E-2</v>
      </c>
      <c r="AW28" s="241">
        <f t="shared" si="14"/>
        <v>7027.7777777777774</v>
      </c>
      <c r="AX28" s="241">
        <f t="shared" ref="AX28:AX38" si="59">88000000+88000000</f>
        <v>176000000</v>
      </c>
      <c r="AY28" s="242">
        <v>4.65E-2</v>
      </c>
      <c r="AZ28" s="241">
        <f t="shared" si="15"/>
        <v>22733.333333333332</v>
      </c>
      <c r="BC28" s="241">
        <f t="shared" si="16"/>
        <v>0</v>
      </c>
      <c r="BF28" s="241">
        <f t="shared" si="17"/>
        <v>0</v>
      </c>
      <c r="BI28" s="241">
        <f t="shared" si="18"/>
        <v>0</v>
      </c>
      <c r="BL28" s="241">
        <f t="shared" si="19"/>
        <v>0</v>
      </c>
      <c r="BO28" s="241">
        <f t="shared" si="20"/>
        <v>0</v>
      </c>
      <c r="BR28" s="241">
        <f t="shared" si="21"/>
        <v>0</v>
      </c>
      <c r="BU28" s="241">
        <f t="shared" si="22"/>
        <v>0</v>
      </c>
      <c r="BX28" s="241">
        <f t="shared" si="23"/>
        <v>0</v>
      </c>
      <c r="CA28" s="241">
        <f t="shared" si="24"/>
        <v>0</v>
      </c>
      <c r="CD28" s="241">
        <f t="shared" si="25"/>
        <v>0</v>
      </c>
      <c r="CG28" s="241">
        <f t="shared" si="26"/>
        <v>0</v>
      </c>
      <c r="CJ28" s="241">
        <f t="shared" si="27"/>
        <v>0</v>
      </c>
      <c r="CM28" s="241">
        <f t="shared" si="28"/>
        <v>0</v>
      </c>
      <c r="CP28" s="241">
        <f t="shared" si="29"/>
        <v>0</v>
      </c>
      <c r="CS28" s="241">
        <f t="shared" si="30"/>
        <v>0</v>
      </c>
      <c r="CV28" s="241">
        <f t="shared" si="31"/>
        <v>0</v>
      </c>
      <c r="CY28" s="241">
        <f t="shared" si="32"/>
        <v>0</v>
      </c>
      <c r="DB28" s="241">
        <f t="shared" si="33"/>
        <v>0</v>
      </c>
      <c r="DE28" s="241">
        <f t="shared" si="34"/>
        <v>0</v>
      </c>
      <c r="DH28" s="241">
        <f t="shared" si="35"/>
        <v>0</v>
      </c>
      <c r="DK28" s="241">
        <f t="shared" si="36"/>
        <v>0</v>
      </c>
      <c r="DN28" s="241">
        <f t="shared" si="37"/>
        <v>0</v>
      </c>
      <c r="DQ28" s="241">
        <f t="shared" si="38"/>
        <v>0</v>
      </c>
      <c r="DT28" s="241">
        <f t="shared" si="39"/>
        <v>0</v>
      </c>
      <c r="DW28" s="241">
        <f t="shared" si="40"/>
        <v>0</v>
      </c>
      <c r="DZ28" s="241"/>
      <c r="EA28" s="241"/>
      <c r="EB28" s="261">
        <f t="shared" si="41"/>
        <v>529375000</v>
      </c>
      <c r="EC28" s="261">
        <f t="shared" si="42"/>
        <v>0</v>
      </c>
      <c r="ED28" s="241">
        <f t="shared" si="43"/>
        <v>68455.580555555542</v>
      </c>
      <c r="EE28" s="242">
        <f t="shared" si="44"/>
        <v>4.6553027626918528E-2</v>
      </c>
      <c r="EG28" s="261">
        <f t="shared" si="45"/>
        <v>0</v>
      </c>
      <c r="EH28" s="241">
        <f t="shared" si="46"/>
        <v>0</v>
      </c>
      <c r="EI28" s="242">
        <f t="shared" si="47"/>
        <v>0</v>
      </c>
      <c r="EJ28" s="242"/>
      <c r="EK28" s="261">
        <f t="shared" si="48"/>
        <v>529375000</v>
      </c>
      <c r="EL28" s="261">
        <f t="shared" si="49"/>
        <v>0</v>
      </c>
      <c r="EM28" s="261">
        <f t="shared" si="50"/>
        <v>68455.580555555556</v>
      </c>
      <c r="EN28" s="242">
        <f t="shared" si="51"/>
        <v>4.6553027626918535E-2</v>
      </c>
      <c r="EP28" s="241"/>
    </row>
    <row r="29" spans="1:146" x14ac:dyDescent="0.25">
      <c r="A29" s="255">
        <f t="shared" si="52"/>
        <v>45735</v>
      </c>
      <c r="B29" s="241">
        <v>0</v>
      </c>
      <c r="C29" s="242">
        <v>4.620341E-2</v>
      </c>
      <c r="D29" s="241">
        <f t="shared" si="1"/>
        <v>0</v>
      </c>
      <c r="G29" s="241">
        <f t="shared" si="2"/>
        <v>0</v>
      </c>
      <c r="J29" s="241">
        <f t="shared" si="3"/>
        <v>0</v>
      </c>
      <c r="M29" s="241">
        <f t="shared" si="4"/>
        <v>0</v>
      </c>
      <c r="P29" s="241">
        <f t="shared" si="5"/>
        <v>0</v>
      </c>
      <c r="S29" s="241">
        <f t="shared" si="6"/>
        <v>0</v>
      </c>
      <c r="V29" s="241">
        <f t="shared" si="7"/>
        <v>0</v>
      </c>
      <c r="Y29" s="241">
        <f t="shared" si="8"/>
        <v>0</v>
      </c>
      <c r="AB29" s="241">
        <f t="shared" si="9"/>
        <v>0</v>
      </c>
      <c r="AE29" s="241">
        <v>0</v>
      </c>
      <c r="AH29" s="241">
        <v>0</v>
      </c>
      <c r="AI29" s="256">
        <f>65000000+75000000+38375000</f>
        <v>178375000</v>
      </c>
      <c r="AJ29" s="257">
        <v>4.65E-2</v>
      </c>
      <c r="AK29" s="241">
        <f t="shared" si="10"/>
        <v>23040.104166666668</v>
      </c>
      <c r="AL29" s="256"/>
      <c r="AM29" s="257"/>
      <c r="AN29" s="241">
        <f t="shared" si="11"/>
        <v>0</v>
      </c>
      <c r="AO29" s="256">
        <f t="shared" si="58"/>
        <v>100000000</v>
      </c>
      <c r="AP29" s="257">
        <v>4.7E-2</v>
      </c>
      <c r="AQ29" s="241">
        <f t="shared" si="12"/>
        <v>13055.555555555555</v>
      </c>
      <c r="AR29" s="256">
        <f t="shared" si="57"/>
        <v>12000000</v>
      </c>
      <c r="AS29" s="257">
        <v>4.58E-2</v>
      </c>
      <c r="AT29" s="241">
        <f t="shared" si="13"/>
        <v>1526.6666666666667</v>
      </c>
      <c r="AU29" s="241">
        <f t="shared" si="56"/>
        <v>55000000</v>
      </c>
      <c r="AV29" s="242">
        <v>4.5999999999999999E-2</v>
      </c>
      <c r="AW29" s="241">
        <f t="shared" si="14"/>
        <v>7027.7777777777774</v>
      </c>
      <c r="AX29" s="241">
        <f t="shared" si="59"/>
        <v>176000000</v>
      </c>
      <c r="AY29" s="242">
        <v>4.65E-2</v>
      </c>
      <c r="AZ29" s="241">
        <f t="shared" si="15"/>
        <v>22733.333333333332</v>
      </c>
      <c r="BC29" s="241">
        <f t="shared" si="16"/>
        <v>0</v>
      </c>
      <c r="BF29" s="241">
        <f t="shared" si="17"/>
        <v>0</v>
      </c>
      <c r="BI29" s="241">
        <f t="shared" si="18"/>
        <v>0</v>
      </c>
      <c r="BL29" s="241">
        <f t="shared" si="19"/>
        <v>0</v>
      </c>
      <c r="BO29" s="241">
        <f t="shared" si="20"/>
        <v>0</v>
      </c>
      <c r="BR29" s="241">
        <f t="shared" si="21"/>
        <v>0</v>
      </c>
      <c r="BU29" s="241">
        <f t="shared" si="22"/>
        <v>0</v>
      </c>
      <c r="BX29" s="241">
        <f t="shared" si="23"/>
        <v>0</v>
      </c>
      <c r="CA29" s="241">
        <f t="shared" si="24"/>
        <v>0</v>
      </c>
      <c r="CD29" s="241">
        <f t="shared" si="25"/>
        <v>0</v>
      </c>
      <c r="CG29" s="241">
        <f t="shared" si="26"/>
        <v>0</v>
      </c>
      <c r="CJ29" s="241">
        <f t="shared" si="27"/>
        <v>0</v>
      </c>
      <c r="CM29" s="241">
        <f t="shared" si="28"/>
        <v>0</v>
      </c>
      <c r="CP29" s="241">
        <f t="shared" si="29"/>
        <v>0</v>
      </c>
      <c r="CS29" s="241">
        <f t="shared" si="30"/>
        <v>0</v>
      </c>
      <c r="CV29" s="241">
        <f t="shared" si="31"/>
        <v>0</v>
      </c>
      <c r="CY29" s="241">
        <f t="shared" si="32"/>
        <v>0</v>
      </c>
      <c r="DB29" s="241">
        <f t="shared" si="33"/>
        <v>0</v>
      </c>
      <c r="DE29" s="241">
        <f t="shared" si="34"/>
        <v>0</v>
      </c>
      <c r="DH29" s="241">
        <f t="shared" si="35"/>
        <v>0</v>
      </c>
      <c r="DK29" s="241">
        <f t="shared" si="36"/>
        <v>0</v>
      </c>
      <c r="DN29" s="241">
        <f t="shared" si="37"/>
        <v>0</v>
      </c>
      <c r="DQ29" s="241">
        <f t="shared" si="38"/>
        <v>0</v>
      </c>
      <c r="DT29" s="241">
        <f t="shared" si="39"/>
        <v>0</v>
      </c>
      <c r="DW29" s="241">
        <f t="shared" si="40"/>
        <v>0</v>
      </c>
      <c r="DZ29" s="241"/>
      <c r="EA29" s="241"/>
      <c r="EB29" s="261">
        <f t="shared" si="41"/>
        <v>521375000</v>
      </c>
      <c r="EC29" s="261">
        <f t="shared" si="42"/>
        <v>0</v>
      </c>
      <c r="ED29" s="241">
        <f t="shared" si="43"/>
        <v>67383.437499999985</v>
      </c>
      <c r="EE29" s="242">
        <f t="shared" si="44"/>
        <v>4.6527043874370649E-2</v>
      </c>
      <c r="EG29" s="261">
        <f t="shared" si="45"/>
        <v>0</v>
      </c>
      <c r="EH29" s="241">
        <f t="shared" si="46"/>
        <v>0</v>
      </c>
      <c r="EI29" s="242">
        <f t="shared" si="47"/>
        <v>0</v>
      </c>
      <c r="EJ29" s="242"/>
      <c r="EK29" s="261">
        <f t="shared" si="48"/>
        <v>521375000</v>
      </c>
      <c r="EL29" s="261">
        <f t="shared" si="49"/>
        <v>0</v>
      </c>
      <c r="EM29" s="261">
        <f t="shared" si="50"/>
        <v>67383.4375</v>
      </c>
      <c r="EN29" s="242">
        <f t="shared" si="51"/>
        <v>4.6527043874370656E-2</v>
      </c>
      <c r="EP29" s="241"/>
    </row>
    <row r="30" spans="1:146" x14ac:dyDescent="0.25">
      <c r="A30" s="255">
        <f t="shared" si="52"/>
        <v>45736</v>
      </c>
      <c r="B30" s="241">
        <v>0</v>
      </c>
      <c r="C30" s="242">
        <v>4.6203079999999994E-2</v>
      </c>
      <c r="D30" s="241">
        <f t="shared" si="1"/>
        <v>0</v>
      </c>
      <c r="G30" s="241">
        <f t="shared" si="2"/>
        <v>0</v>
      </c>
      <c r="J30" s="241">
        <f t="shared" si="3"/>
        <v>0</v>
      </c>
      <c r="M30" s="241">
        <f t="shared" si="4"/>
        <v>0</v>
      </c>
      <c r="P30" s="241">
        <f t="shared" si="5"/>
        <v>0</v>
      </c>
      <c r="S30" s="241">
        <f t="shared" si="6"/>
        <v>0</v>
      </c>
      <c r="V30" s="241">
        <f t="shared" si="7"/>
        <v>0</v>
      </c>
      <c r="Y30" s="241">
        <f t="shared" si="8"/>
        <v>0</v>
      </c>
      <c r="AB30" s="241">
        <f t="shared" si="9"/>
        <v>0</v>
      </c>
      <c r="AE30" s="241">
        <v>0</v>
      </c>
      <c r="AH30" s="241">
        <v>0</v>
      </c>
      <c r="AI30" s="256">
        <f>50000000+33950000+20000000+75000000</f>
        <v>178950000</v>
      </c>
      <c r="AJ30" s="257">
        <v>4.65E-2</v>
      </c>
      <c r="AK30" s="241">
        <f t="shared" si="10"/>
        <v>23114.375</v>
      </c>
      <c r="AL30" s="256"/>
      <c r="AM30" s="257"/>
      <c r="AN30" s="241">
        <f t="shared" si="11"/>
        <v>0</v>
      </c>
      <c r="AO30" s="256">
        <f t="shared" si="58"/>
        <v>100000000</v>
      </c>
      <c r="AP30" s="257">
        <v>4.7E-2</v>
      </c>
      <c r="AQ30" s="241">
        <f t="shared" si="12"/>
        <v>13055.555555555555</v>
      </c>
      <c r="AR30" s="256">
        <f t="shared" si="57"/>
        <v>12000000</v>
      </c>
      <c r="AS30" s="257">
        <v>4.58E-2</v>
      </c>
      <c r="AT30" s="241">
        <f t="shared" si="13"/>
        <v>1526.6666666666667</v>
      </c>
      <c r="AU30" s="241">
        <f t="shared" si="56"/>
        <v>55000000</v>
      </c>
      <c r="AV30" s="242">
        <v>4.5999999999999999E-2</v>
      </c>
      <c r="AW30" s="241">
        <f t="shared" si="14"/>
        <v>7027.7777777777774</v>
      </c>
      <c r="AX30" s="241">
        <f t="shared" si="59"/>
        <v>176000000</v>
      </c>
      <c r="AY30" s="242">
        <v>4.65E-2</v>
      </c>
      <c r="AZ30" s="241">
        <f t="shared" si="15"/>
        <v>22733.333333333332</v>
      </c>
      <c r="BC30" s="241">
        <f t="shared" si="16"/>
        <v>0</v>
      </c>
      <c r="BF30" s="241">
        <f t="shared" si="17"/>
        <v>0</v>
      </c>
      <c r="BI30" s="241">
        <f t="shared" si="18"/>
        <v>0</v>
      </c>
      <c r="BL30" s="241">
        <f t="shared" si="19"/>
        <v>0</v>
      </c>
      <c r="BO30" s="241">
        <f t="shared" si="20"/>
        <v>0</v>
      </c>
      <c r="BR30" s="241">
        <f t="shared" si="21"/>
        <v>0</v>
      </c>
      <c r="BU30" s="241">
        <f t="shared" si="22"/>
        <v>0</v>
      </c>
      <c r="BX30" s="241">
        <f t="shared" si="23"/>
        <v>0</v>
      </c>
      <c r="CA30" s="241">
        <f t="shared" si="24"/>
        <v>0</v>
      </c>
      <c r="CD30" s="241">
        <f t="shared" si="25"/>
        <v>0</v>
      </c>
      <c r="CG30" s="241">
        <f t="shared" si="26"/>
        <v>0</v>
      </c>
      <c r="CJ30" s="241">
        <f t="shared" si="27"/>
        <v>0</v>
      </c>
      <c r="CM30" s="241">
        <f t="shared" si="28"/>
        <v>0</v>
      </c>
      <c r="CP30" s="241">
        <f t="shared" si="29"/>
        <v>0</v>
      </c>
      <c r="CS30" s="241">
        <f t="shared" si="30"/>
        <v>0</v>
      </c>
      <c r="CV30" s="241">
        <f t="shared" si="31"/>
        <v>0</v>
      </c>
      <c r="CY30" s="241">
        <f t="shared" si="32"/>
        <v>0</v>
      </c>
      <c r="DB30" s="241">
        <f t="shared" si="33"/>
        <v>0</v>
      </c>
      <c r="DE30" s="241">
        <f t="shared" si="34"/>
        <v>0</v>
      </c>
      <c r="DH30" s="241">
        <f t="shared" si="35"/>
        <v>0</v>
      </c>
      <c r="DK30" s="241">
        <f t="shared" si="36"/>
        <v>0</v>
      </c>
      <c r="DN30" s="241">
        <f t="shared" si="37"/>
        <v>0</v>
      </c>
      <c r="DQ30" s="241">
        <f t="shared" si="38"/>
        <v>0</v>
      </c>
      <c r="DT30" s="241">
        <f t="shared" si="39"/>
        <v>0</v>
      </c>
      <c r="DW30" s="241">
        <f t="shared" si="40"/>
        <v>0</v>
      </c>
      <c r="DZ30" s="241"/>
      <c r="EA30" s="241"/>
      <c r="EB30" s="261">
        <f t="shared" si="41"/>
        <v>521950000</v>
      </c>
      <c r="EC30" s="261">
        <f t="shared" si="42"/>
        <v>0</v>
      </c>
      <c r="ED30" s="241">
        <f t="shared" si="43"/>
        <v>67457.708333333328</v>
      </c>
      <c r="EE30" s="242">
        <f t="shared" si="44"/>
        <v>4.65270140818086E-2</v>
      </c>
      <c r="EG30" s="261">
        <f t="shared" si="45"/>
        <v>0</v>
      </c>
      <c r="EH30" s="241">
        <f t="shared" si="46"/>
        <v>0</v>
      </c>
      <c r="EI30" s="242">
        <f t="shared" si="47"/>
        <v>0</v>
      </c>
      <c r="EJ30" s="242"/>
      <c r="EK30" s="261">
        <f t="shared" si="48"/>
        <v>521950000</v>
      </c>
      <c r="EL30" s="261">
        <f t="shared" si="49"/>
        <v>0</v>
      </c>
      <c r="EM30" s="261">
        <f t="shared" si="50"/>
        <v>67457.708333333328</v>
      </c>
      <c r="EN30" s="242">
        <f t="shared" si="51"/>
        <v>4.65270140818086E-2</v>
      </c>
      <c r="EP30" s="241"/>
    </row>
    <row r="31" spans="1:146" x14ac:dyDescent="0.25">
      <c r="A31" s="255">
        <f t="shared" si="52"/>
        <v>45737</v>
      </c>
      <c r="B31" s="241">
        <v>0</v>
      </c>
      <c r="C31" s="242">
        <v>4.6203029999999999E-2</v>
      </c>
      <c r="D31" s="241">
        <f t="shared" si="1"/>
        <v>0</v>
      </c>
      <c r="G31" s="241">
        <f t="shared" si="2"/>
        <v>0</v>
      </c>
      <c r="J31" s="241">
        <f t="shared" si="3"/>
        <v>0</v>
      </c>
      <c r="M31" s="241">
        <f t="shared" si="4"/>
        <v>0</v>
      </c>
      <c r="P31" s="241">
        <f t="shared" si="5"/>
        <v>0</v>
      </c>
      <c r="S31" s="241">
        <f t="shared" si="6"/>
        <v>0</v>
      </c>
      <c r="V31" s="241">
        <f t="shared" si="7"/>
        <v>0</v>
      </c>
      <c r="Y31" s="241">
        <f t="shared" si="8"/>
        <v>0</v>
      </c>
      <c r="AB31" s="241">
        <f t="shared" si="9"/>
        <v>0</v>
      </c>
      <c r="AE31" s="241">
        <v>0</v>
      </c>
      <c r="AH31" s="241">
        <v>0</v>
      </c>
      <c r="AI31" s="256">
        <f>70000000+75000000+23975000</f>
        <v>168975000</v>
      </c>
      <c r="AJ31" s="257">
        <v>4.65E-2</v>
      </c>
      <c r="AK31" s="241">
        <f t="shared" si="10"/>
        <v>21825.9375</v>
      </c>
      <c r="AL31" s="256"/>
      <c r="AM31" s="257"/>
      <c r="AN31" s="241">
        <f t="shared" si="11"/>
        <v>0</v>
      </c>
      <c r="AO31" s="256">
        <f t="shared" si="58"/>
        <v>100000000</v>
      </c>
      <c r="AP31" s="257">
        <v>4.7E-2</v>
      </c>
      <c r="AQ31" s="241">
        <f t="shared" si="12"/>
        <v>13055.555555555555</v>
      </c>
      <c r="AR31" s="256">
        <f t="shared" si="57"/>
        <v>12000000</v>
      </c>
      <c r="AS31" s="257">
        <v>4.58E-2</v>
      </c>
      <c r="AT31" s="241">
        <f t="shared" si="13"/>
        <v>1526.6666666666667</v>
      </c>
      <c r="AU31" s="241">
        <f t="shared" si="56"/>
        <v>55000000</v>
      </c>
      <c r="AV31" s="242">
        <v>4.5999999999999999E-2</v>
      </c>
      <c r="AW31" s="241">
        <f t="shared" si="14"/>
        <v>7027.7777777777774</v>
      </c>
      <c r="AX31" s="241">
        <f t="shared" si="59"/>
        <v>176000000</v>
      </c>
      <c r="AY31" s="242">
        <v>4.65E-2</v>
      </c>
      <c r="AZ31" s="241">
        <f t="shared" si="15"/>
        <v>22733.333333333332</v>
      </c>
      <c r="BC31" s="241">
        <f t="shared" si="16"/>
        <v>0</v>
      </c>
      <c r="BF31" s="241">
        <f t="shared" si="17"/>
        <v>0</v>
      </c>
      <c r="BI31" s="241">
        <f t="shared" si="18"/>
        <v>0</v>
      </c>
      <c r="BL31" s="241">
        <f t="shared" si="19"/>
        <v>0</v>
      </c>
      <c r="BO31" s="241">
        <f t="shared" si="20"/>
        <v>0</v>
      </c>
      <c r="BR31" s="241">
        <f t="shared" si="21"/>
        <v>0</v>
      </c>
      <c r="BU31" s="241">
        <f t="shared" si="22"/>
        <v>0</v>
      </c>
      <c r="BX31" s="241">
        <f t="shared" si="23"/>
        <v>0</v>
      </c>
      <c r="CA31" s="241">
        <f t="shared" si="24"/>
        <v>0</v>
      </c>
      <c r="CD31" s="241">
        <f t="shared" si="25"/>
        <v>0</v>
      </c>
      <c r="CG31" s="241">
        <f t="shared" si="26"/>
        <v>0</v>
      </c>
      <c r="CJ31" s="241">
        <f t="shared" si="27"/>
        <v>0</v>
      </c>
      <c r="CM31" s="241">
        <f t="shared" si="28"/>
        <v>0</v>
      </c>
      <c r="CP31" s="241">
        <f t="shared" si="29"/>
        <v>0</v>
      </c>
      <c r="CS31" s="241">
        <f t="shared" si="30"/>
        <v>0</v>
      </c>
      <c r="CV31" s="241">
        <f t="shared" si="31"/>
        <v>0</v>
      </c>
      <c r="CY31" s="241">
        <f t="shared" si="32"/>
        <v>0</v>
      </c>
      <c r="DB31" s="241">
        <f t="shared" si="33"/>
        <v>0</v>
      </c>
      <c r="DE31" s="241">
        <f t="shared" si="34"/>
        <v>0</v>
      </c>
      <c r="DH31" s="241">
        <f t="shared" si="35"/>
        <v>0</v>
      </c>
      <c r="DK31" s="241">
        <f t="shared" si="36"/>
        <v>0</v>
      </c>
      <c r="DN31" s="241">
        <f t="shared" si="37"/>
        <v>0</v>
      </c>
      <c r="DQ31" s="241">
        <f t="shared" si="38"/>
        <v>0</v>
      </c>
      <c r="DT31" s="241">
        <f t="shared" si="39"/>
        <v>0</v>
      </c>
      <c r="DW31" s="241">
        <f t="shared" si="40"/>
        <v>0</v>
      </c>
      <c r="DZ31" s="241"/>
      <c r="EA31" s="241"/>
      <c r="EB31" s="261">
        <f t="shared" si="41"/>
        <v>511975000</v>
      </c>
      <c r="EC31" s="261">
        <f t="shared" si="42"/>
        <v>0</v>
      </c>
      <c r="ED31" s="241">
        <f t="shared" si="43"/>
        <v>66169.270833333328</v>
      </c>
      <c r="EE31" s="242">
        <f t="shared" si="44"/>
        <v>4.6527540407246437E-2</v>
      </c>
      <c r="EG31" s="261">
        <f t="shared" si="45"/>
        <v>0</v>
      </c>
      <c r="EH31" s="241">
        <f t="shared" si="46"/>
        <v>0</v>
      </c>
      <c r="EI31" s="242">
        <f t="shared" si="47"/>
        <v>0</v>
      </c>
      <c r="EJ31" s="242"/>
      <c r="EK31" s="261">
        <f t="shared" si="48"/>
        <v>511975000</v>
      </c>
      <c r="EL31" s="261">
        <f t="shared" si="49"/>
        <v>0</v>
      </c>
      <c r="EM31" s="261">
        <f t="shared" si="50"/>
        <v>66169.270833333328</v>
      </c>
      <c r="EN31" s="242">
        <f t="shared" si="51"/>
        <v>4.6527540407246437E-2</v>
      </c>
      <c r="EP31" s="241"/>
    </row>
    <row r="32" spans="1:146" x14ac:dyDescent="0.25">
      <c r="A32" s="255">
        <f t="shared" si="52"/>
        <v>45738</v>
      </c>
      <c r="B32" s="241">
        <v>0</v>
      </c>
      <c r="C32" s="242">
        <v>4.6203029999999999E-2</v>
      </c>
      <c r="D32" s="241">
        <f t="shared" si="1"/>
        <v>0</v>
      </c>
      <c r="G32" s="241">
        <f t="shared" si="2"/>
        <v>0</v>
      </c>
      <c r="J32" s="241">
        <f t="shared" si="3"/>
        <v>0</v>
      </c>
      <c r="M32" s="241">
        <f t="shared" si="4"/>
        <v>0</v>
      </c>
      <c r="P32" s="241">
        <f t="shared" si="5"/>
        <v>0</v>
      </c>
      <c r="S32" s="241">
        <f t="shared" si="6"/>
        <v>0</v>
      </c>
      <c r="V32" s="241">
        <f t="shared" si="7"/>
        <v>0</v>
      </c>
      <c r="Y32" s="241">
        <f t="shared" si="8"/>
        <v>0</v>
      </c>
      <c r="AB32" s="241">
        <f t="shared" si="9"/>
        <v>0</v>
      </c>
      <c r="AE32" s="241">
        <v>0</v>
      </c>
      <c r="AH32" s="241">
        <v>0</v>
      </c>
      <c r="AI32" s="256">
        <f>70000000+75000000+23975000</f>
        <v>168975000</v>
      </c>
      <c r="AJ32" s="257">
        <v>4.65E-2</v>
      </c>
      <c r="AK32" s="241">
        <f t="shared" si="10"/>
        <v>21825.9375</v>
      </c>
      <c r="AL32" s="256"/>
      <c r="AM32" s="257"/>
      <c r="AN32" s="241">
        <f t="shared" si="11"/>
        <v>0</v>
      </c>
      <c r="AO32" s="256">
        <f t="shared" si="58"/>
        <v>100000000</v>
      </c>
      <c r="AP32" s="257">
        <v>4.7E-2</v>
      </c>
      <c r="AQ32" s="241">
        <f t="shared" si="12"/>
        <v>13055.555555555555</v>
      </c>
      <c r="AR32" s="256">
        <f t="shared" si="57"/>
        <v>12000000</v>
      </c>
      <c r="AS32" s="257">
        <v>4.58E-2</v>
      </c>
      <c r="AT32" s="241">
        <f t="shared" si="13"/>
        <v>1526.6666666666667</v>
      </c>
      <c r="AU32" s="241">
        <f t="shared" si="56"/>
        <v>55000000</v>
      </c>
      <c r="AV32" s="242">
        <v>4.5999999999999999E-2</v>
      </c>
      <c r="AW32" s="241">
        <f t="shared" si="14"/>
        <v>7027.7777777777774</v>
      </c>
      <c r="AX32" s="241">
        <f t="shared" si="59"/>
        <v>176000000</v>
      </c>
      <c r="AY32" s="242">
        <v>4.65E-2</v>
      </c>
      <c r="AZ32" s="241">
        <f t="shared" si="15"/>
        <v>22733.333333333332</v>
      </c>
      <c r="BC32" s="241">
        <f t="shared" si="16"/>
        <v>0</v>
      </c>
      <c r="BF32" s="241">
        <f t="shared" si="17"/>
        <v>0</v>
      </c>
      <c r="BI32" s="241">
        <f t="shared" si="18"/>
        <v>0</v>
      </c>
      <c r="BL32" s="241">
        <f t="shared" si="19"/>
        <v>0</v>
      </c>
      <c r="BO32" s="241">
        <f t="shared" si="20"/>
        <v>0</v>
      </c>
      <c r="BR32" s="241">
        <f t="shared" si="21"/>
        <v>0</v>
      </c>
      <c r="BU32" s="241">
        <f t="shared" si="22"/>
        <v>0</v>
      </c>
      <c r="BX32" s="241">
        <f t="shared" si="23"/>
        <v>0</v>
      </c>
      <c r="CA32" s="241">
        <f t="shared" si="24"/>
        <v>0</v>
      </c>
      <c r="CD32" s="241">
        <f t="shared" si="25"/>
        <v>0</v>
      </c>
      <c r="CG32" s="241">
        <f t="shared" si="26"/>
        <v>0</v>
      </c>
      <c r="CJ32" s="241">
        <f t="shared" si="27"/>
        <v>0</v>
      </c>
      <c r="CM32" s="241">
        <f t="shared" si="28"/>
        <v>0</v>
      </c>
      <c r="CP32" s="241">
        <f t="shared" si="29"/>
        <v>0</v>
      </c>
      <c r="CS32" s="241">
        <f t="shared" si="30"/>
        <v>0</v>
      </c>
      <c r="CV32" s="241">
        <f t="shared" si="31"/>
        <v>0</v>
      </c>
      <c r="CY32" s="241">
        <f t="shared" si="32"/>
        <v>0</v>
      </c>
      <c r="DB32" s="241">
        <f t="shared" si="33"/>
        <v>0</v>
      </c>
      <c r="DE32" s="241">
        <f t="shared" si="34"/>
        <v>0</v>
      </c>
      <c r="DH32" s="241">
        <f t="shared" si="35"/>
        <v>0</v>
      </c>
      <c r="DK32" s="241">
        <f t="shared" si="36"/>
        <v>0</v>
      </c>
      <c r="DN32" s="241">
        <f t="shared" si="37"/>
        <v>0</v>
      </c>
      <c r="DQ32" s="241">
        <f t="shared" si="38"/>
        <v>0</v>
      </c>
      <c r="DT32" s="241">
        <f t="shared" si="39"/>
        <v>0</v>
      </c>
      <c r="DW32" s="241">
        <f t="shared" si="40"/>
        <v>0</v>
      </c>
      <c r="DZ32" s="241"/>
      <c r="EA32" s="241"/>
      <c r="EB32" s="261">
        <f t="shared" si="41"/>
        <v>511975000</v>
      </c>
      <c r="EC32" s="261">
        <f t="shared" si="42"/>
        <v>0</v>
      </c>
      <c r="ED32" s="241">
        <f t="shared" si="43"/>
        <v>66169.270833333328</v>
      </c>
      <c r="EE32" s="242">
        <f t="shared" si="44"/>
        <v>4.6527540407246437E-2</v>
      </c>
      <c r="EG32" s="261">
        <f t="shared" si="45"/>
        <v>0</v>
      </c>
      <c r="EH32" s="241">
        <f t="shared" si="46"/>
        <v>0</v>
      </c>
      <c r="EI32" s="242">
        <f t="shared" si="47"/>
        <v>0</v>
      </c>
      <c r="EJ32" s="242"/>
      <c r="EK32" s="261">
        <f t="shared" si="48"/>
        <v>511975000</v>
      </c>
      <c r="EL32" s="261">
        <f t="shared" si="49"/>
        <v>0</v>
      </c>
      <c r="EM32" s="261">
        <f t="shared" si="50"/>
        <v>66169.270833333328</v>
      </c>
      <c r="EN32" s="242">
        <f t="shared" si="51"/>
        <v>4.6527540407246437E-2</v>
      </c>
      <c r="EP32" s="241"/>
    </row>
    <row r="33" spans="1:146" x14ac:dyDescent="0.25">
      <c r="A33" s="255">
        <f t="shared" si="52"/>
        <v>45739</v>
      </c>
      <c r="B33" s="241">
        <v>0</v>
      </c>
      <c r="C33" s="242">
        <v>4.6203029999999999E-2</v>
      </c>
      <c r="D33" s="241">
        <f t="shared" si="1"/>
        <v>0</v>
      </c>
      <c r="G33" s="241">
        <f t="shared" si="2"/>
        <v>0</v>
      </c>
      <c r="J33" s="241">
        <f t="shared" si="3"/>
        <v>0</v>
      </c>
      <c r="M33" s="241">
        <f t="shared" si="4"/>
        <v>0</v>
      </c>
      <c r="P33" s="241">
        <f t="shared" si="5"/>
        <v>0</v>
      </c>
      <c r="S33" s="241">
        <f t="shared" si="6"/>
        <v>0</v>
      </c>
      <c r="V33" s="241">
        <f t="shared" si="7"/>
        <v>0</v>
      </c>
      <c r="Y33" s="241">
        <f t="shared" si="8"/>
        <v>0</v>
      </c>
      <c r="AB33" s="241">
        <f t="shared" si="9"/>
        <v>0</v>
      </c>
      <c r="AE33" s="241">
        <v>0</v>
      </c>
      <c r="AH33" s="241">
        <v>0</v>
      </c>
      <c r="AI33" s="256">
        <f>70000000+75000000+23975000</f>
        <v>168975000</v>
      </c>
      <c r="AJ33" s="257">
        <v>4.65E-2</v>
      </c>
      <c r="AK33" s="241">
        <f t="shared" si="10"/>
        <v>21825.9375</v>
      </c>
      <c r="AL33" s="256"/>
      <c r="AM33" s="257"/>
      <c r="AN33" s="241">
        <f t="shared" si="11"/>
        <v>0</v>
      </c>
      <c r="AO33" s="256">
        <f t="shared" si="58"/>
        <v>100000000</v>
      </c>
      <c r="AP33" s="257">
        <v>4.7E-2</v>
      </c>
      <c r="AQ33" s="241">
        <f t="shared" si="12"/>
        <v>13055.555555555555</v>
      </c>
      <c r="AR33" s="256">
        <f t="shared" si="57"/>
        <v>12000000</v>
      </c>
      <c r="AS33" s="257">
        <v>4.58E-2</v>
      </c>
      <c r="AT33" s="241">
        <f t="shared" si="13"/>
        <v>1526.6666666666667</v>
      </c>
      <c r="AU33" s="241">
        <f t="shared" si="56"/>
        <v>55000000</v>
      </c>
      <c r="AV33" s="242">
        <v>4.5999999999999999E-2</v>
      </c>
      <c r="AW33" s="241">
        <f t="shared" si="14"/>
        <v>7027.7777777777774</v>
      </c>
      <c r="AX33" s="241">
        <f t="shared" si="59"/>
        <v>176000000</v>
      </c>
      <c r="AY33" s="242">
        <v>4.65E-2</v>
      </c>
      <c r="AZ33" s="241">
        <f t="shared" si="15"/>
        <v>22733.333333333332</v>
      </c>
      <c r="BC33" s="241">
        <f t="shared" si="16"/>
        <v>0</v>
      </c>
      <c r="BF33" s="241">
        <f t="shared" si="17"/>
        <v>0</v>
      </c>
      <c r="BI33" s="241">
        <f t="shared" si="18"/>
        <v>0</v>
      </c>
      <c r="BL33" s="241">
        <f t="shared" si="19"/>
        <v>0</v>
      </c>
      <c r="BO33" s="241">
        <f t="shared" si="20"/>
        <v>0</v>
      </c>
      <c r="BR33" s="241">
        <f t="shared" si="21"/>
        <v>0</v>
      </c>
      <c r="BU33" s="241">
        <f t="shared" si="22"/>
        <v>0</v>
      </c>
      <c r="BX33" s="241">
        <f t="shared" si="23"/>
        <v>0</v>
      </c>
      <c r="CA33" s="241">
        <f t="shared" si="24"/>
        <v>0</v>
      </c>
      <c r="CD33" s="241">
        <f t="shared" si="25"/>
        <v>0</v>
      </c>
      <c r="CG33" s="241">
        <f t="shared" si="26"/>
        <v>0</v>
      </c>
      <c r="CJ33" s="241">
        <f t="shared" si="27"/>
        <v>0</v>
      </c>
      <c r="CM33" s="241">
        <f t="shared" si="28"/>
        <v>0</v>
      </c>
      <c r="CP33" s="241">
        <f t="shared" si="29"/>
        <v>0</v>
      </c>
      <c r="CS33" s="241">
        <f t="shared" si="30"/>
        <v>0</v>
      </c>
      <c r="CV33" s="241">
        <f t="shared" si="31"/>
        <v>0</v>
      </c>
      <c r="CY33" s="241">
        <f t="shared" si="32"/>
        <v>0</v>
      </c>
      <c r="DB33" s="241">
        <f t="shared" si="33"/>
        <v>0</v>
      </c>
      <c r="DE33" s="241">
        <f t="shared" si="34"/>
        <v>0</v>
      </c>
      <c r="DH33" s="241">
        <f t="shared" si="35"/>
        <v>0</v>
      </c>
      <c r="DK33" s="241">
        <f t="shared" si="36"/>
        <v>0</v>
      </c>
      <c r="DN33" s="241">
        <f t="shared" si="37"/>
        <v>0</v>
      </c>
      <c r="DQ33" s="241">
        <f t="shared" si="38"/>
        <v>0</v>
      </c>
      <c r="DT33" s="241">
        <f t="shared" si="39"/>
        <v>0</v>
      </c>
      <c r="DW33" s="241">
        <f t="shared" si="40"/>
        <v>0</v>
      </c>
      <c r="DZ33" s="241"/>
      <c r="EA33" s="241"/>
      <c r="EB33" s="261">
        <f t="shared" si="41"/>
        <v>511975000</v>
      </c>
      <c r="EC33" s="261">
        <f t="shared" si="42"/>
        <v>0</v>
      </c>
      <c r="ED33" s="241">
        <f t="shared" si="43"/>
        <v>66169.270833333328</v>
      </c>
      <c r="EE33" s="242">
        <f t="shared" si="44"/>
        <v>4.6527540407246437E-2</v>
      </c>
      <c r="EG33" s="261">
        <f t="shared" si="45"/>
        <v>0</v>
      </c>
      <c r="EH33" s="241">
        <f t="shared" si="46"/>
        <v>0</v>
      </c>
      <c r="EI33" s="242">
        <f t="shared" si="47"/>
        <v>0</v>
      </c>
      <c r="EJ33" s="242"/>
      <c r="EK33" s="261">
        <f t="shared" si="48"/>
        <v>511975000</v>
      </c>
      <c r="EL33" s="261">
        <f t="shared" si="49"/>
        <v>0</v>
      </c>
      <c r="EM33" s="261">
        <f t="shared" si="50"/>
        <v>66169.270833333328</v>
      </c>
      <c r="EN33" s="242">
        <f t="shared" si="51"/>
        <v>4.6527540407246437E-2</v>
      </c>
      <c r="EP33" s="241"/>
    </row>
    <row r="34" spans="1:146" x14ac:dyDescent="0.25">
      <c r="A34" s="255">
        <f t="shared" si="52"/>
        <v>45740</v>
      </c>
      <c r="B34" s="241">
        <v>0</v>
      </c>
      <c r="C34" s="242">
        <v>4.6202529999999999E-2</v>
      </c>
      <c r="D34" s="241">
        <f t="shared" si="1"/>
        <v>0</v>
      </c>
      <c r="G34" s="241">
        <f t="shared" si="2"/>
        <v>0</v>
      </c>
      <c r="J34" s="241">
        <f t="shared" si="3"/>
        <v>0</v>
      </c>
      <c r="M34" s="241">
        <f t="shared" si="4"/>
        <v>0</v>
      </c>
      <c r="P34" s="241">
        <f t="shared" si="5"/>
        <v>0</v>
      </c>
      <c r="S34" s="241">
        <f t="shared" si="6"/>
        <v>0</v>
      </c>
      <c r="V34" s="241">
        <f t="shared" si="7"/>
        <v>0</v>
      </c>
      <c r="Y34" s="241">
        <f t="shared" si="8"/>
        <v>0</v>
      </c>
      <c r="AB34" s="241">
        <f t="shared" si="9"/>
        <v>0</v>
      </c>
      <c r="AE34" s="241">
        <v>0</v>
      </c>
      <c r="AH34" s="241">
        <v>0</v>
      </c>
      <c r="AI34" s="256">
        <f>57040000+12960000+35825000+65000000</f>
        <v>170825000</v>
      </c>
      <c r="AJ34" s="257">
        <v>4.65E-2</v>
      </c>
      <c r="AK34" s="241">
        <f t="shared" si="10"/>
        <v>22064.895833333332</v>
      </c>
      <c r="AL34" s="256"/>
      <c r="AM34" s="257"/>
      <c r="AN34" s="241">
        <f t="shared" si="11"/>
        <v>0</v>
      </c>
      <c r="AO34" s="256">
        <f t="shared" si="58"/>
        <v>100000000</v>
      </c>
      <c r="AP34" s="257">
        <v>4.7E-2</v>
      </c>
      <c r="AQ34" s="241">
        <f t="shared" si="12"/>
        <v>13055.555555555555</v>
      </c>
      <c r="AR34" s="256">
        <f t="shared" si="57"/>
        <v>12000000</v>
      </c>
      <c r="AS34" s="257">
        <v>4.58E-2</v>
      </c>
      <c r="AT34" s="241">
        <f t="shared" si="13"/>
        <v>1526.6666666666667</v>
      </c>
      <c r="AU34" s="241">
        <f t="shared" si="56"/>
        <v>55000000</v>
      </c>
      <c r="AV34" s="242">
        <v>4.5999999999999999E-2</v>
      </c>
      <c r="AW34" s="241">
        <f t="shared" si="14"/>
        <v>7027.7777777777774</v>
      </c>
      <c r="AX34" s="241">
        <f t="shared" si="59"/>
        <v>176000000</v>
      </c>
      <c r="AY34" s="242">
        <v>4.65E-2</v>
      </c>
      <c r="AZ34" s="241">
        <f t="shared" si="15"/>
        <v>22733.333333333332</v>
      </c>
      <c r="BC34" s="241">
        <f t="shared" si="16"/>
        <v>0</v>
      </c>
      <c r="BF34" s="241">
        <f t="shared" si="17"/>
        <v>0</v>
      </c>
      <c r="BI34" s="241">
        <f t="shared" si="18"/>
        <v>0</v>
      </c>
      <c r="BL34" s="241">
        <f t="shared" si="19"/>
        <v>0</v>
      </c>
      <c r="BO34" s="241">
        <f t="shared" si="20"/>
        <v>0</v>
      </c>
      <c r="BR34" s="241">
        <f t="shared" si="21"/>
        <v>0</v>
      </c>
      <c r="BU34" s="241">
        <f t="shared" si="22"/>
        <v>0</v>
      </c>
      <c r="BX34" s="241">
        <f t="shared" si="23"/>
        <v>0</v>
      </c>
      <c r="CA34" s="241">
        <f t="shared" si="24"/>
        <v>0</v>
      </c>
      <c r="CD34" s="241">
        <f t="shared" si="25"/>
        <v>0</v>
      </c>
      <c r="CG34" s="241">
        <f t="shared" si="26"/>
        <v>0</v>
      </c>
      <c r="CJ34" s="241">
        <f t="shared" si="27"/>
        <v>0</v>
      </c>
      <c r="CM34" s="241">
        <f t="shared" si="28"/>
        <v>0</v>
      </c>
      <c r="CP34" s="241">
        <f t="shared" si="29"/>
        <v>0</v>
      </c>
      <c r="CS34" s="241">
        <f t="shared" si="30"/>
        <v>0</v>
      </c>
      <c r="CV34" s="241">
        <f t="shared" si="31"/>
        <v>0</v>
      </c>
      <c r="CY34" s="241">
        <f t="shared" si="32"/>
        <v>0</v>
      </c>
      <c r="DB34" s="241">
        <f t="shared" si="33"/>
        <v>0</v>
      </c>
      <c r="DE34" s="241">
        <f t="shared" si="34"/>
        <v>0</v>
      </c>
      <c r="DH34" s="241">
        <f t="shared" si="35"/>
        <v>0</v>
      </c>
      <c r="DK34" s="241">
        <f t="shared" si="36"/>
        <v>0</v>
      </c>
      <c r="DN34" s="241">
        <f t="shared" si="37"/>
        <v>0</v>
      </c>
      <c r="DQ34" s="241">
        <f t="shared" si="38"/>
        <v>0</v>
      </c>
      <c r="DT34" s="241">
        <f t="shared" si="39"/>
        <v>0</v>
      </c>
      <c r="DW34" s="241">
        <f t="shared" si="40"/>
        <v>0</v>
      </c>
      <c r="DZ34" s="241"/>
      <c r="EA34" s="241"/>
      <c r="EB34" s="261">
        <f t="shared" si="41"/>
        <v>513825000</v>
      </c>
      <c r="EC34" s="261">
        <f t="shared" si="42"/>
        <v>0</v>
      </c>
      <c r="ED34" s="241">
        <f t="shared" si="43"/>
        <v>66408.229166666657</v>
      </c>
      <c r="EE34" s="242">
        <f t="shared" si="44"/>
        <v>4.6527441249452628E-2</v>
      </c>
      <c r="EG34" s="261">
        <f t="shared" si="45"/>
        <v>0</v>
      </c>
      <c r="EH34" s="241">
        <f t="shared" si="46"/>
        <v>0</v>
      </c>
      <c r="EI34" s="242">
        <f t="shared" si="47"/>
        <v>0</v>
      </c>
      <c r="EJ34" s="242"/>
      <c r="EK34" s="261">
        <f t="shared" si="48"/>
        <v>513825000</v>
      </c>
      <c r="EL34" s="261">
        <f t="shared" si="49"/>
        <v>0</v>
      </c>
      <c r="EM34" s="261">
        <f t="shared" si="50"/>
        <v>66408.229166666657</v>
      </c>
      <c r="EN34" s="242">
        <f t="shared" si="51"/>
        <v>4.6527441249452628E-2</v>
      </c>
      <c r="EP34" s="241"/>
    </row>
    <row r="35" spans="1:146" x14ac:dyDescent="0.25">
      <c r="A35" s="255">
        <f t="shared" si="52"/>
        <v>45741</v>
      </c>
      <c r="B35" s="241">
        <v>0</v>
      </c>
      <c r="C35" s="242">
        <v>4.620138E-2</v>
      </c>
      <c r="D35" s="241">
        <f t="shared" si="1"/>
        <v>0</v>
      </c>
      <c r="G35" s="241">
        <f t="shared" si="2"/>
        <v>0</v>
      </c>
      <c r="J35" s="241">
        <f t="shared" si="3"/>
        <v>0</v>
      </c>
      <c r="M35" s="241">
        <f t="shared" si="4"/>
        <v>0</v>
      </c>
      <c r="P35" s="241">
        <f t="shared" si="5"/>
        <v>0</v>
      </c>
      <c r="S35" s="241">
        <f t="shared" si="6"/>
        <v>0</v>
      </c>
      <c r="V35" s="241">
        <f t="shared" si="7"/>
        <v>0</v>
      </c>
      <c r="Y35" s="241">
        <f t="shared" si="8"/>
        <v>0</v>
      </c>
      <c r="AB35" s="241">
        <f t="shared" si="9"/>
        <v>0</v>
      </c>
      <c r="AE35" s="241">
        <v>0</v>
      </c>
      <c r="AH35" s="241">
        <v>0</v>
      </c>
      <c r="AI35" s="256">
        <f>70000000+65000000+25350000</f>
        <v>160350000</v>
      </c>
      <c r="AJ35" s="257">
        <v>4.65E-2</v>
      </c>
      <c r="AK35" s="241">
        <f t="shared" si="10"/>
        <v>20711.875</v>
      </c>
      <c r="AL35" s="256"/>
      <c r="AM35" s="257"/>
      <c r="AN35" s="241">
        <f t="shared" si="11"/>
        <v>0</v>
      </c>
      <c r="AO35" s="256">
        <f t="shared" si="58"/>
        <v>100000000</v>
      </c>
      <c r="AP35" s="257">
        <v>4.7E-2</v>
      </c>
      <c r="AQ35" s="241">
        <f t="shared" si="12"/>
        <v>13055.555555555555</v>
      </c>
      <c r="AR35" s="256">
        <f t="shared" si="57"/>
        <v>12000000</v>
      </c>
      <c r="AS35" s="257">
        <v>4.58E-2</v>
      </c>
      <c r="AT35" s="241">
        <f t="shared" si="13"/>
        <v>1526.6666666666667</v>
      </c>
      <c r="AU35" s="241">
        <f t="shared" si="56"/>
        <v>55000000</v>
      </c>
      <c r="AV35" s="242">
        <v>4.5999999999999999E-2</v>
      </c>
      <c r="AW35" s="241">
        <f t="shared" si="14"/>
        <v>7027.7777777777774</v>
      </c>
      <c r="AX35" s="241">
        <f t="shared" si="59"/>
        <v>176000000</v>
      </c>
      <c r="AY35" s="242">
        <v>4.65E-2</v>
      </c>
      <c r="AZ35" s="241">
        <f t="shared" si="15"/>
        <v>22733.333333333332</v>
      </c>
      <c r="BC35" s="241">
        <f t="shared" si="16"/>
        <v>0</v>
      </c>
      <c r="BF35" s="241">
        <f t="shared" si="17"/>
        <v>0</v>
      </c>
      <c r="BI35" s="241">
        <f t="shared" si="18"/>
        <v>0</v>
      </c>
      <c r="BL35" s="241">
        <f t="shared" si="19"/>
        <v>0</v>
      </c>
      <c r="BO35" s="241">
        <f t="shared" si="20"/>
        <v>0</v>
      </c>
      <c r="BR35" s="241">
        <f t="shared" si="21"/>
        <v>0</v>
      </c>
      <c r="BU35" s="241">
        <f t="shared" si="22"/>
        <v>0</v>
      </c>
      <c r="BX35" s="241">
        <f t="shared" si="23"/>
        <v>0</v>
      </c>
      <c r="CA35" s="241">
        <f t="shared" si="24"/>
        <v>0</v>
      </c>
      <c r="CD35" s="241">
        <f t="shared" si="25"/>
        <v>0</v>
      </c>
      <c r="CG35" s="241">
        <f t="shared" si="26"/>
        <v>0</v>
      </c>
      <c r="CJ35" s="241">
        <f t="shared" si="27"/>
        <v>0</v>
      </c>
      <c r="CM35" s="241">
        <f t="shared" si="28"/>
        <v>0</v>
      </c>
      <c r="CP35" s="241">
        <f t="shared" si="29"/>
        <v>0</v>
      </c>
      <c r="CS35" s="241">
        <f t="shared" si="30"/>
        <v>0</v>
      </c>
      <c r="CV35" s="241">
        <f t="shared" si="31"/>
        <v>0</v>
      </c>
      <c r="CY35" s="241">
        <f t="shared" si="32"/>
        <v>0</v>
      </c>
      <c r="DB35" s="241">
        <f t="shared" si="33"/>
        <v>0</v>
      </c>
      <c r="DE35" s="241">
        <f t="shared" si="34"/>
        <v>0</v>
      </c>
      <c r="DH35" s="241">
        <f t="shared" si="35"/>
        <v>0</v>
      </c>
      <c r="DK35" s="241">
        <f t="shared" si="36"/>
        <v>0</v>
      </c>
      <c r="DN35" s="241">
        <f t="shared" si="37"/>
        <v>0</v>
      </c>
      <c r="DQ35" s="241">
        <f t="shared" si="38"/>
        <v>0</v>
      </c>
      <c r="DT35" s="241">
        <f t="shared" si="39"/>
        <v>0</v>
      </c>
      <c r="DW35" s="241">
        <f t="shared" si="40"/>
        <v>0</v>
      </c>
      <c r="DZ35" s="241"/>
      <c r="EA35" s="241"/>
      <c r="EB35" s="261">
        <f t="shared" si="41"/>
        <v>503350000</v>
      </c>
      <c r="EC35" s="261">
        <f t="shared" si="42"/>
        <v>0</v>
      </c>
      <c r="ED35" s="241">
        <f t="shared" si="43"/>
        <v>65055.208333333328</v>
      </c>
      <c r="EE35" s="242">
        <f t="shared" si="44"/>
        <v>4.652801231747293E-2</v>
      </c>
      <c r="EG35" s="261">
        <f t="shared" si="45"/>
        <v>0</v>
      </c>
      <c r="EH35" s="241">
        <f t="shared" si="46"/>
        <v>0</v>
      </c>
      <c r="EI35" s="242">
        <f t="shared" si="47"/>
        <v>0</v>
      </c>
      <c r="EJ35" s="242"/>
      <c r="EK35" s="261">
        <f t="shared" si="48"/>
        <v>503350000</v>
      </c>
      <c r="EL35" s="261">
        <f t="shared" si="49"/>
        <v>0</v>
      </c>
      <c r="EM35" s="261">
        <f t="shared" si="50"/>
        <v>65055.208333333328</v>
      </c>
      <c r="EN35" s="242">
        <f t="shared" si="51"/>
        <v>4.652801231747293E-2</v>
      </c>
      <c r="EP35" s="241"/>
    </row>
    <row r="36" spans="1:146" x14ac:dyDescent="0.25">
      <c r="A36" s="255">
        <f t="shared" si="52"/>
        <v>45742</v>
      </c>
      <c r="B36" s="241">
        <v>0</v>
      </c>
      <c r="C36" s="242">
        <v>4.6214700000000004E-2</v>
      </c>
      <c r="D36" s="241">
        <f t="shared" si="1"/>
        <v>0</v>
      </c>
      <c r="G36" s="241">
        <f t="shared" si="2"/>
        <v>0</v>
      </c>
      <c r="J36" s="241">
        <f t="shared" si="3"/>
        <v>0</v>
      </c>
      <c r="M36" s="241">
        <f t="shared" si="4"/>
        <v>0</v>
      </c>
      <c r="P36" s="241">
        <f t="shared" si="5"/>
        <v>0</v>
      </c>
      <c r="S36" s="241">
        <f t="shared" si="6"/>
        <v>0</v>
      </c>
      <c r="V36" s="241">
        <f t="shared" si="7"/>
        <v>0</v>
      </c>
      <c r="Y36" s="241">
        <f t="shared" si="8"/>
        <v>0</v>
      </c>
      <c r="AB36" s="241">
        <f t="shared" si="9"/>
        <v>0</v>
      </c>
      <c r="AE36" s="241">
        <v>0</v>
      </c>
      <c r="AH36" s="241">
        <v>0</v>
      </c>
      <c r="AI36" s="256">
        <f>70000000+65000000+15600000</f>
        <v>150600000</v>
      </c>
      <c r="AJ36" s="257">
        <v>4.65E-2</v>
      </c>
      <c r="AK36" s="241">
        <f t="shared" si="10"/>
        <v>19452.5</v>
      </c>
      <c r="AL36" s="256"/>
      <c r="AM36" s="257"/>
      <c r="AN36" s="241">
        <f t="shared" si="11"/>
        <v>0</v>
      </c>
      <c r="AO36" s="256">
        <f t="shared" si="58"/>
        <v>100000000</v>
      </c>
      <c r="AP36" s="257">
        <v>4.7E-2</v>
      </c>
      <c r="AQ36" s="241">
        <f t="shared" si="12"/>
        <v>13055.555555555555</v>
      </c>
      <c r="AR36" s="256">
        <f t="shared" si="57"/>
        <v>12000000</v>
      </c>
      <c r="AS36" s="257">
        <v>4.58E-2</v>
      </c>
      <c r="AT36" s="241">
        <f t="shared" si="13"/>
        <v>1526.6666666666667</v>
      </c>
      <c r="AU36" s="241">
        <f t="shared" si="56"/>
        <v>55000000</v>
      </c>
      <c r="AV36" s="242">
        <v>4.5999999999999999E-2</v>
      </c>
      <c r="AW36" s="241">
        <f t="shared" si="14"/>
        <v>7027.7777777777774</v>
      </c>
      <c r="AX36" s="241">
        <f t="shared" si="59"/>
        <v>176000000</v>
      </c>
      <c r="AY36" s="242">
        <v>4.65E-2</v>
      </c>
      <c r="AZ36" s="241">
        <f t="shared" si="15"/>
        <v>22733.333333333332</v>
      </c>
      <c r="BC36" s="241">
        <f t="shared" si="16"/>
        <v>0</v>
      </c>
      <c r="BF36" s="241">
        <f t="shared" si="17"/>
        <v>0</v>
      </c>
      <c r="BI36" s="241">
        <f t="shared" si="18"/>
        <v>0</v>
      </c>
      <c r="BL36" s="241">
        <f t="shared" si="19"/>
        <v>0</v>
      </c>
      <c r="BO36" s="241">
        <f t="shared" si="20"/>
        <v>0</v>
      </c>
      <c r="BR36" s="241">
        <f t="shared" si="21"/>
        <v>0</v>
      </c>
      <c r="BU36" s="241">
        <f t="shared" si="22"/>
        <v>0</v>
      </c>
      <c r="BX36" s="241">
        <f t="shared" si="23"/>
        <v>0</v>
      </c>
      <c r="CA36" s="241">
        <f t="shared" si="24"/>
        <v>0</v>
      </c>
      <c r="CD36" s="241">
        <f t="shared" si="25"/>
        <v>0</v>
      </c>
      <c r="CG36" s="241">
        <f t="shared" si="26"/>
        <v>0</v>
      </c>
      <c r="CJ36" s="241">
        <f t="shared" si="27"/>
        <v>0</v>
      </c>
      <c r="CM36" s="241">
        <f t="shared" si="28"/>
        <v>0</v>
      </c>
      <c r="CP36" s="241">
        <f t="shared" si="29"/>
        <v>0</v>
      </c>
      <c r="CS36" s="241">
        <f t="shared" si="30"/>
        <v>0</v>
      </c>
      <c r="CV36" s="241">
        <f t="shared" si="31"/>
        <v>0</v>
      </c>
      <c r="CY36" s="241">
        <f t="shared" si="32"/>
        <v>0</v>
      </c>
      <c r="DB36" s="241">
        <f t="shared" si="33"/>
        <v>0</v>
      </c>
      <c r="DE36" s="241">
        <f t="shared" si="34"/>
        <v>0</v>
      </c>
      <c r="DH36" s="241">
        <f t="shared" si="35"/>
        <v>0</v>
      </c>
      <c r="DK36" s="241">
        <f t="shared" si="36"/>
        <v>0</v>
      </c>
      <c r="DN36" s="241">
        <f t="shared" si="37"/>
        <v>0</v>
      </c>
      <c r="DQ36" s="241">
        <f t="shared" si="38"/>
        <v>0</v>
      </c>
      <c r="DT36" s="241">
        <f t="shared" si="39"/>
        <v>0</v>
      </c>
      <c r="DW36" s="241">
        <f t="shared" si="40"/>
        <v>0</v>
      </c>
      <c r="DZ36" s="241"/>
      <c r="EA36" s="241"/>
      <c r="EB36" s="261">
        <f t="shared" si="41"/>
        <v>493600000</v>
      </c>
      <c r="EC36" s="261">
        <f t="shared" si="42"/>
        <v>0</v>
      </c>
      <c r="ED36" s="241">
        <f t="shared" si="43"/>
        <v>63795.833333333328</v>
      </c>
      <c r="EE36" s="242">
        <f t="shared" si="44"/>
        <v>4.6528565640194489E-2</v>
      </c>
      <c r="EG36" s="261">
        <f t="shared" si="45"/>
        <v>0</v>
      </c>
      <c r="EH36" s="241">
        <f t="shared" si="46"/>
        <v>0</v>
      </c>
      <c r="EI36" s="242">
        <f t="shared" si="47"/>
        <v>0</v>
      </c>
      <c r="EJ36" s="242"/>
      <c r="EK36" s="261">
        <f t="shared" si="48"/>
        <v>493600000</v>
      </c>
      <c r="EL36" s="261">
        <f t="shared" si="49"/>
        <v>0</v>
      </c>
      <c r="EM36" s="261">
        <f t="shared" si="50"/>
        <v>63795.833333333328</v>
      </c>
      <c r="EN36" s="242">
        <f t="shared" si="51"/>
        <v>4.6528565640194489E-2</v>
      </c>
      <c r="EP36" s="241"/>
    </row>
    <row r="37" spans="1:146" x14ac:dyDescent="0.25">
      <c r="A37" s="255">
        <f t="shared" si="52"/>
        <v>45743</v>
      </c>
      <c r="B37" s="241">
        <v>5100000</v>
      </c>
      <c r="C37" s="242">
        <v>4.6252050000000003E-2</v>
      </c>
      <c r="D37" s="241">
        <f t="shared" si="1"/>
        <v>655.23737500000004</v>
      </c>
      <c r="G37" s="241">
        <f t="shared" si="2"/>
        <v>0</v>
      </c>
      <c r="J37" s="241">
        <f t="shared" si="3"/>
        <v>0</v>
      </c>
      <c r="M37" s="241">
        <f t="shared" si="4"/>
        <v>0</v>
      </c>
      <c r="P37" s="241">
        <f t="shared" si="5"/>
        <v>0</v>
      </c>
      <c r="S37" s="241">
        <f t="shared" si="6"/>
        <v>0</v>
      </c>
      <c r="V37" s="241">
        <f t="shared" si="7"/>
        <v>0</v>
      </c>
      <c r="Y37" s="241">
        <f t="shared" si="8"/>
        <v>0</v>
      </c>
      <c r="AB37" s="241">
        <f t="shared" si="9"/>
        <v>0</v>
      </c>
      <c r="AE37" s="241">
        <v>0</v>
      </c>
      <c r="AH37" s="241">
        <v>0</v>
      </c>
      <c r="AI37" s="256">
        <f>70000000+42825000</f>
        <v>112825000</v>
      </c>
      <c r="AJ37" s="257">
        <v>4.65E-2</v>
      </c>
      <c r="AK37" s="241">
        <f t="shared" si="10"/>
        <v>14573.229166666666</v>
      </c>
      <c r="AL37" s="256"/>
      <c r="AM37" s="257"/>
      <c r="AN37" s="241">
        <f t="shared" si="11"/>
        <v>0</v>
      </c>
      <c r="AO37" s="256">
        <f t="shared" si="58"/>
        <v>100000000</v>
      </c>
      <c r="AP37" s="257">
        <v>4.7E-2</v>
      </c>
      <c r="AQ37" s="241">
        <f t="shared" si="12"/>
        <v>13055.555555555555</v>
      </c>
      <c r="AR37" s="256">
        <f t="shared" si="57"/>
        <v>12000000</v>
      </c>
      <c r="AS37" s="257">
        <v>4.58E-2</v>
      </c>
      <c r="AT37" s="241">
        <f t="shared" si="13"/>
        <v>1526.6666666666667</v>
      </c>
      <c r="AU37" s="241">
        <f t="shared" si="56"/>
        <v>55000000</v>
      </c>
      <c r="AV37" s="242">
        <v>4.5999999999999999E-2</v>
      </c>
      <c r="AW37" s="241">
        <f t="shared" si="14"/>
        <v>7027.7777777777774</v>
      </c>
      <c r="AX37" s="241">
        <f t="shared" si="59"/>
        <v>176000000</v>
      </c>
      <c r="AY37" s="242">
        <v>4.65E-2</v>
      </c>
      <c r="AZ37" s="241">
        <f t="shared" si="15"/>
        <v>22733.333333333332</v>
      </c>
      <c r="BA37" s="241">
        <f>75000000</f>
        <v>75000000</v>
      </c>
      <c r="BB37" s="242">
        <v>4.6699999999999998E-2</v>
      </c>
      <c r="BC37" s="241">
        <f t="shared" si="16"/>
        <v>9729.1666666666661</v>
      </c>
      <c r="BF37" s="241">
        <f t="shared" si="17"/>
        <v>0</v>
      </c>
      <c r="BI37" s="241">
        <f t="shared" si="18"/>
        <v>0</v>
      </c>
      <c r="BL37" s="241">
        <f t="shared" si="19"/>
        <v>0</v>
      </c>
      <c r="BO37" s="241">
        <f t="shared" si="20"/>
        <v>0</v>
      </c>
      <c r="BR37" s="241">
        <f t="shared" si="21"/>
        <v>0</v>
      </c>
      <c r="BU37" s="241">
        <f t="shared" si="22"/>
        <v>0</v>
      </c>
      <c r="BX37" s="241">
        <f t="shared" si="23"/>
        <v>0</v>
      </c>
      <c r="CA37" s="241">
        <f t="shared" si="24"/>
        <v>0</v>
      </c>
      <c r="CD37" s="241">
        <f t="shared" si="25"/>
        <v>0</v>
      </c>
      <c r="CG37" s="241">
        <f t="shared" si="26"/>
        <v>0</v>
      </c>
      <c r="CJ37" s="241">
        <f t="shared" si="27"/>
        <v>0</v>
      </c>
      <c r="CM37" s="241">
        <f t="shared" si="28"/>
        <v>0</v>
      </c>
      <c r="CP37" s="241">
        <f t="shared" si="29"/>
        <v>0</v>
      </c>
      <c r="CS37" s="241">
        <f t="shared" si="30"/>
        <v>0</v>
      </c>
      <c r="CV37" s="241">
        <f t="shared" si="31"/>
        <v>0</v>
      </c>
      <c r="CY37" s="241">
        <f t="shared" si="32"/>
        <v>0</v>
      </c>
      <c r="DB37" s="241">
        <f t="shared" si="33"/>
        <v>0</v>
      </c>
      <c r="DE37" s="241">
        <f t="shared" si="34"/>
        <v>0</v>
      </c>
      <c r="DH37" s="241">
        <f t="shared" si="35"/>
        <v>0</v>
      </c>
      <c r="DK37" s="241">
        <f t="shared" si="36"/>
        <v>0</v>
      </c>
      <c r="DN37" s="241">
        <f t="shared" si="37"/>
        <v>0</v>
      </c>
      <c r="DQ37" s="241">
        <f t="shared" si="38"/>
        <v>0</v>
      </c>
      <c r="DT37" s="241">
        <f t="shared" si="39"/>
        <v>0</v>
      </c>
      <c r="DW37" s="241">
        <f t="shared" si="40"/>
        <v>0</v>
      </c>
      <c r="DZ37" s="241"/>
      <c r="EA37" s="241"/>
      <c r="EB37" s="261">
        <f t="shared" si="41"/>
        <v>535925000</v>
      </c>
      <c r="EC37" s="261">
        <f t="shared" si="42"/>
        <v>5100000</v>
      </c>
      <c r="ED37" s="241">
        <f t="shared" si="43"/>
        <v>69300.966541666668</v>
      </c>
      <c r="EE37" s="242">
        <f t="shared" si="44"/>
        <v>4.6551939086625922E-2</v>
      </c>
      <c r="EG37" s="261">
        <f t="shared" si="45"/>
        <v>0</v>
      </c>
      <c r="EH37" s="241">
        <f t="shared" si="46"/>
        <v>0</v>
      </c>
      <c r="EI37" s="242">
        <f t="shared" si="47"/>
        <v>0</v>
      </c>
      <c r="EJ37" s="242"/>
      <c r="EK37" s="261">
        <f t="shared" si="48"/>
        <v>530825000</v>
      </c>
      <c r="EL37" s="261">
        <f t="shared" si="49"/>
        <v>0</v>
      </c>
      <c r="EM37" s="261">
        <f t="shared" si="50"/>
        <v>68645.729166666672</v>
      </c>
      <c r="EN37" s="242">
        <f t="shared" si="51"/>
        <v>4.6554820326849725E-2</v>
      </c>
      <c r="EP37" s="241"/>
    </row>
    <row r="38" spans="1:146" x14ac:dyDescent="0.25">
      <c r="A38" s="255">
        <f t="shared" si="52"/>
        <v>45744</v>
      </c>
      <c r="B38" s="241">
        <v>0</v>
      </c>
      <c r="C38" s="242">
        <v>4.6258830000000001E-2</v>
      </c>
      <c r="D38" s="241">
        <f t="shared" si="1"/>
        <v>0</v>
      </c>
      <c r="G38" s="241">
        <f t="shared" si="2"/>
        <v>0</v>
      </c>
      <c r="J38" s="241">
        <f t="shared" si="3"/>
        <v>0</v>
      </c>
      <c r="M38" s="241">
        <f t="shared" si="4"/>
        <v>0</v>
      </c>
      <c r="P38" s="241">
        <f t="shared" si="5"/>
        <v>0</v>
      </c>
      <c r="S38" s="241">
        <f t="shared" si="6"/>
        <v>0</v>
      </c>
      <c r="V38" s="241">
        <f t="shared" si="7"/>
        <v>0</v>
      </c>
      <c r="Y38" s="241">
        <f t="shared" si="8"/>
        <v>0</v>
      </c>
      <c r="AB38" s="241">
        <f t="shared" si="9"/>
        <v>0</v>
      </c>
      <c r="AE38" s="241">
        <v>0</v>
      </c>
      <c r="AH38" s="241">
        <v>0</v>
      </c>
      <c r="AI38" s="256">
        <f>30000000+50000000+25000000+20000000+24225000</f>
        <v>149225000</v>
      </c>
      <c r="AJ38" s="257">
        <v>4.65E-2</v>
      </c>
      <c r="AK38" s="241">
        <f t="shared" si="10"/>
        <v>19274.895833333332</v>
      </c>
      <c r="AL38" s="256"/>
      <c r="AM38" s="257"/>
      <c r="AN38" s="241">
        <f t="shared" si="11"/>
        <v>0</v>
      </c>
      <c r="AO38" s="256">
        <f t="shared" si="58"/>
        <v>100000000</v>
      </c>
      <c r="AP38" s="257">
        <v>4.7E-2</v>
      </c>
      <c r="AQ38" s="241">
        <f t="shared" si="12"/>
        <v>13055.555555555555</v>
      </c>
      <c r="AR38" s="256">
        <f t="shared" si="57"/>
        <v>12000000</v>
      </c>
      <c r="AS38" s="257">
        <v>4.58E-2</v>
      </c>
      <c r="AT38" s="241">
        <f t="shared" si="13"/>
        <v>1526.6666666666667</v>
      </c>
      <c r="AU38" s="241">
        <f t="shared" si="56"/>
        <v>55000000</v>
      </c>
      <c r="AV38" s="242">
        <v>4.5999999999999999E-2</v>
      </c>
      <c r="AW38" s="241">
        <f t="shared" si="14"/>
        <v>7027.7777777777774</v>
      </c>
      <c r="AX38" s="241">
        <f t="shared" si="59"/>
        <v>176000000</v>
      </c>
      <c r="AY38" s="242">
        <v>4.65E-2</v>
      </c>
      <c r="AZ38" s="241">
        <f t="shared" si="15"/>
        <v>22733.333333333332</v>
      </c>
      <c r="BA38" s="241">
        <f>75000000</f>
        <v>75000000</v>
      </c>
      <c r="BB38" s="242">
        <v>4.6699999999999998E-2</v>
      </c>
      <c r="BC38" s="241">
        <f t="shared" si="16"/>
        <v>9729.1666666666661</v>
      </c>
      <c r="BF38" s="241">
        <f t="shared" si="17"/>
        <v>0</v>
      </c>
      <c r="BI38" s="241">
        <f t="shared" si="18"/>
        <v>0</v>
      </c>
      <c r="BL38" s="241">
        <f t="shared" si="19"/>
        <v>0</v>
      </c>
      <c r="BO38" s="241">
        <f t="shared" si="20"/>
        <v>0</v>
      </c>
      <c r="BR38" s="241">
        <f t="shared" si="21"/>
        <v>0</v>
      </c>
      <c r="BU38" s="241">
        <f t="shared" si="22"/>
        <v>0</v>
      </c>
      <c r="BX38" s="241">
        <f t="shared" si="23"/>
        <v>0</v>
      </c>
      <c r="CA38" s="241">
        <f t="shared" si="24"/>
        <v>0</v>
      </c>
      <c r="CD38" s="241">
        <f t="shared" si="25"/>
        <v>0</v>
      </c>
      <c r="CG38" s="241">
        <f t="shared" si="26"/>
        <v>0</v>
      </c>
      <c r="CJ38" s="241">
        <f t="shared" si="27"/>
        <v>0</v>
      </c>
      <c r="CM38" s="241">
        <f t="shared" si="28"/>
        <v>0</v>
      </c>
      <c r="CP38" s="241">
        <f t="shared" si="29"/>
        <v>0</v>
      </c>
      <c r="CS38" s="241">
        <f t="shared" si="30"/>
        <v>0</v>
      </c>
      <c r="CV38" s="241">
        <f t="shared" si="31"/>
        <v>0</v>
      </c>
      <c r="CY38" s="241">
        <f t="shared" si="32"/>
        <v>0</v>
      </c>
      <c r="DB38" s="241">
        <f t="shared" si="33"/>
        <v>0</v>
      </c>
      <c r="DE38" s="241">
        <f t="shared" si="34"/>
        <v>0</v>
      </c>
      <c r="DH38" s="241">
        <f t="shared" si="35"/>
        <v>0</v>
      </c>
      <c r="DK38" s="241">
        <f t="shared" si="36"/>
        <v>0</v>
      </c>
      <c r="DN38" s="241">
        <f t="shared" si="37"/>
        <v>0</v>
      </c>
      <c r="DQ38" s="241">
        <f t="shared" si="38"/>
        <v>0</v>
      </c>
      <c r="DT38" s="241">
        <f t="shared" si="39"/>
        <v>0</v>
      </c>
      <c r="DW38" s="241">
        <f t="shared" si="40"/>
        <v>0</v>
      </c>
      <c r="DZ38" s="241"/>
      <c r="EA38" s="241"/>
      <c r="EB38" s="261">
        <f t="shared" si="41"/>
        <v>567225000</v>
      </c>
      <c r="EC38" s="261">
        <f t="shared" si="42"/>
        <v>0</v>
      </c>
      <c r="ED38" s="241">
        <f t="shared" si="43"/>
        <v>73347.395833333328</v>
      </c>
      <c r="EE38" s="242">
        <f t="shared" si="44"/>
        <v>4.6551302393230194E-2</v>
      </c>
      <c r="EG38" s="261">
        <f t="shared" si="45"/>
        <v>0</v>
      </c>
      <c r="EH38" s="241">
        <f t="shared" si="46"/>
        <v>0</v>
      </c>
      <c r="EI38" s="242">
        <f t="shared" si="47"/>
        <v>0</v>
      </c>
      <c r="EJ38" s="242"/>
      <c r="EK38" s="261">
        <f t="shared" si="48"/>
        <v>567225000</v>
      </c>
      <c r="EL38" s="261">
        <f t="shared" si="49"/>
        <v>0</v>
      </c>
      <c r="EM38" s="261">
        <f t="shared" si="50"/>
        <v>73347.395833333328</v>
      </c>
      <c r="EN38" s="242">
        <f t="shared" si="51"/>
        <v>4.6551302393230194E-2</v>
      </c>
      <c r="EP38" s="241"/>
    </row>
    <row r="39" spans="1:146" x14ac:dyDescent="0.25">
      <c r="A39" s="255">
        <f t="shared" si="52"/>
        <v>45745</v>
      </c>
      <c r="B39" s="241">
        <v>0</v>
      </c>
      <c r="C39" s="242">
        <v>4.6258830000000001E-2</v>
      </c>
      <c r="D39" s="241">
        <f t="shared" si="1"/>
        <v>0</v>
      </c>
      <c r="G39" s="241">
        <f t="shared" si="2"/>
        <v>0</v>
      </c>
      <c r="J39" s="241">
        <f t="shared" si="3"/>
        <v>0</v>
      </c>
      <c r="M39" s="241">
        <f t="shared" si="4"/>
        <v>0</v>
      </c>
      <c r="P39" s="241">
        <f t="shared" si="5"/>
        <v>0</v>
      </c>
      <c r="S39" s="241">
        <f t="shared" si="6"/>
        <v>0</v>
      </c>
      <c r="V39" s="241">
        <f t="shared" si="7"/>
        <v>0</v>
      </c>
      <c r="Y39" s="241">
        <f t="shared" si="8"/>
        <v>0</v>
      </c>
      <c r="AB39" s="241">
        <f t="shared" si="9"/>
        <v>0</v>
      </c>
      <c r="AE39" s="241">
        <v>0</v>
      </c>
      <c r="AH39" s="241">
        <v>0</v>
      </c>
      <c r="AI39" s="256">
        <f>30000000+50000000+25000000+20000000+24225000</f>
        <v>149225000</v>
      </c>
      <c r="AJ39" s="257">
        <v>4.65E-2</v>
      </c>
      <c r="AK39" s="241">
        <f t="shared" si="10"/>
        <v>19274.895833333332</v>
      </c>
      <c r="AL39" s="256"/>
      <c r="AM39" s="257"/>
      <c r="AN39" s="241">
        <f t="shared" si="11"/>
        <v>0</v>
      </c>
      <c r="AO39" s="256">
        <f>75000000+25000000</f>
        <v>100000000</v>
      </c>
      <c r="AP39" s="257">
        <v>4.7E-2</v>
      </c>
      <c r="AQ39" s="241">
        <f t="shared" si="12"/>
        <v>13055.555555555555</v>
      </c>
      <c r="AR39" s="256">
        <f>12000000</f>
        <v>12000000</v>
      </c>
      <c r="AS39" s="257">
        <v>4.58E-2</v>
      </c>
      <c r="AT39" s="241">
        <f t="shared" si="13"/>
        <v>1526.6666666666667</v>
      </c>
      <c r="AU39" s="241">
        <f>35000000+20000000</f>
        <v>55000000</v>
      </c>
      <c r="AV39" s="242">
        <v>4.5999999999999999E-2</v>
      </c>
      <c r="AW39" s="241">
        <f t="shared" si="14"/>
        <v>7027.7777777777774</v>
      </c>
      <c r="AX39" s="241">
        <f>88000000+88000000</f>
        <v>176000000</v>
      </c>
      <c r="AY39" s="242">
        <v>4.65E-2</v>
      </c>
      <c r="AZ39" s="241">
        <f t="shared" si="15"/>
        <v>22733.333333333332</v>
      </c>
      <c r="BA39" s="241">
        <f>75000000</f>
        <v>75000000</v>
      </c>
      <c r="BB39" s="242">
        <v>4.6699999999999998E-2</v>
      </c>
      <c r="BC39" s="241">
        <f t="shared" si="16"/>
        <v>9729.1666666666661</v>
      </c>
      <c r="BF39" s="241">
        <f t="shared" si="17"/>
        <v>0</v>
      </c>
      <c r="BI39" s="241">
        <f t="shared" si="18"/>
        <v>0</v>
      </c>
      <c r="BL39" s="241">
        <f t="shared" si="19"/>
        <v>0</v>
      </c>
      <c r="BO39" s="241">
        <f t="shared" si="20"/>
        <v>0</v>
      </c>
      <c r="BR39" s="241">
        <f t="shared" si="21"/>
        <v>0</v>
      </c>
      <c r="BU39" s="241">
        <f t="shared" si="22"/>
        <v>0</v>
      </c>
      <c r="BX39" s="241">
        <f t="shared" si="23"/>
        <v>0</v>
      </c>
      <c r="CA39" s="241">
        <f t="shared" si="24"/>
        <v>0</v>
      </c>
      <c r="CD39" s="241">
        <f t="shared" si="25"/>
        <v>0</v>
      </c>
      <c r="CG39" s="241">
        <f t="shared" si="26"/>
        <v>0</v>
      </c>
      <c r="CJ39" s="241">
        <f t="shared" si="27"/>
        <v>0</v>
      </c>
      <c r="CM39" s="241">
        <f t="shared" si="28"/>
        <v>0</v>
      </c>
      <c r="CP39" s="241">
        <f t="shared" si="29"/>
        <v>0</v>
      </c>
      <c r="CS39" s="241">
        <f t="shared" si="30"/>
        <v>0</v>
      </c>
      <c r="CV39" s="241">
        <f t="shared" si="31"/>
        <v>0</v>
      </c>
      <c r="CY39" s="241">
        <f t="shared" si="32"/>
        <v>0</v>
      </c>
      <c r="DB39" s="241">
        <f t="shared" si="33"/>
        <v>0</v>
      </c>
      <c r="DE39" s="241">
        <f t="shared" si="34"/>
        <v>0</v>
      </c>
      <c r="DH39" s="241">
        <f t="shared" si="35"/>
        <v>0</v>
      </c>
      <c r="DK39" s="241">
        <f t="shared" si="36"/>
        <v>0</v>
      </c>
      <c r="DN39" s="241">
        <f t="shared" si="37"/>
        <v>0</v>
      </c>
      <c r="DQ39" s="241">
        <f t="shared" si="38"/>
        <v>0</v>
      </c>
      <c r="DT39" s="241">
        <f t="shared" si="39"/>
        <v>0</v>
      </c>
      <c r="DW39" s="241">
        <f t="shared" si="40"/>
        <v>0</v>
      </c>
      <c r="DZ39" s="241"/>
      <c r="EA39" s="241"/>
      <c r="EB39" s="261">
        <f t="shared" si="41"/>
        <v>567225000</v>
      </c>
      <c r="EC39" s="261">
        <f t="shared" si="42"/>
        <v>0</v>
      </c>
      <c r="ED39" s="241">
        <f t="shared" si="43"/>
        <v>73347.395833333328</v>
      </c>
      <c r="EE39" s="242">
        <f t="shared" si="44"/>
        <v>4.6551302393230194E-2</v>
      </c>
      <c r="EG39" s="261">
        <f t="shared" si="45"/>
        <v>0</v>
      </c>
      <c r="EH39" s="241">
        <f t="shared" si="46"/>
        <v>0</v>
      </c>
      <c r="EI39" s="242">
        <f t="shared" si="47"/>
        <v>0</v>
      </c>
      <c r="EJ39" s="242"/>
      <c r="EK39" s="261">
        <f t="shared" si="48"/>
        <v>567225000</v>
      </c>
      <c r="EL39" s="261">
        <f t="shared" si="49"/>
        <v>0</v>
      </c>
      <c r="EM39" s="261">
        <f t="shared" si="50"/>
        <v>73347.395833333328</v>
      </c>
      <c r="EN39" s="242">
        <f t="shared" si="51"/>
        <v>4.6551302393230194E-2</v>
      </c>
      <c r="EP39" s="241"/>
    </row>
    <row r="40" spans="1:146" x14ac:dyDescent="0.25">
      <c r="A40" s="255">
        <f t="shared" si="52"/>
        <v>45746</v>
      </c>
      <c r="B40" s="241">
        <v>0</v>
      </c>
      <c r="C40" s="242">
        <v>4.6258830000000001E-2</v>
      </c>
      <c r="D40" s="241">
        <f t="shared" si="1"/>
        <v>0</v>
      </c>
      <c r="G40" s="241">
        <f t="shared" si="2"/>
        <v>0</v>
      </c>
      <c r="J40" s="241">
        <f t="shared" si="3"/>
        <v>0</v>
      </c>
      <c r="M40" s="241">
        <f t="shared" si="4"/>
        <v>0</v>
      </c>
      <c r="P40" s="241">
        <f t="shared" si="5"/>
        <v>0</v>
      </c>
      <c r="S40" s="241">
        <f t="shared" si="6"/>
        <v>0</v>
      </c>
      <c r="V40" s="241">
        <f t="shared" si="7"/>
        <v>0</v>
      </c>
      <c r="Y40" s="241">
        <f t="shared" si="8"/>
        <v>0</v>
      </c>
      <c r="AB40" s="241">
        <f t="shared" si="9"/>
        <v>0</v>
      </c>
      <c r="AE40" s="241">
        <v>0</v>
      </c>
      <c r="AH40" s="241">
        <v>0</v>
      </c>
      <c r="AI40" s="256">
        <f>30000000+50000000+25000000+20000000+24225000</f>
        <v>149225000</v>
      </c>
      <c r="AJ40" s="257">
        <v>4.65E-2</v>
      </c>
      <c r="AK40" s="241">
        <f t="shared" si="10"/>
        <v>19274.895833333332</v>
      </c>
      <c r="AL40" s="256"/>
      <c r="AM40" s="257"/>
      <c r="AN40" s="241">
        <f t="shared" si="11"/>
        <v>0</v>
      </c>
      <c r="AO40" s="256">
        <f>75000000+25000000</f>
        <v>100000000</v>
      </c>
      <c r="AP40" s="257">
        <v>4.7E-2</v>
      </c>
      <c r="AQ40" s="241">
        <f t="shared" si="12"/>
        <v>13055.555555555555</v>
      </c>
      <c r="AR40" s="256">
        <f>12000000</f>
        <v>12000000</v>
      </c>
      <c r="AS40" s="257">
        <v>4.58E-2</v>
      </c>
      <c r="AT40" s="241">
        <f t="shared" si="13"/>
        <v>1526.6666666666667</v>
      </c>
      <c r="AU40" s="241">
        <f>35000000+20000000</f>
        <v>55000000</v>
      </c>
      <c r="AV40" s="242">
        <v>4.5999999999999999E-2</v>
      </c>
      <c r="AW40" s="241">
        <f t="shared" si="14"/>
        <v>7027.7777777777774</v>
      </c>
      <c r="AX40" s="241">
        <f>88000000+88000000</f>
        <v>176000000</v>
      </c>
      <c r="AY40" s="242">
        <v>4.65E-2</v>
      </c>
      <c r="AZ40" s="241">
        <f t="shared" si="15"/>
        <v>22733.333333333332</v>
      </c>
      <c r="BA40" s="241">
        <f>75000000</f>
        <v>75000000</v>
      </c>
      <c r="BB40" s="242">
        <v>4.6699999999999998E-2</v>
      </c>
      <c r="BC40" s="241">
        <f t="shared" si="16"/>
        <v>9729.1666666666661</v>
      </c>
      <c r="BF40" s="241">
        <f t="shared" si="17"/>
        <v>0</v>
      </c>
      <c r="BI40" s="241">
        <f t="shared" si="18"/>
        <v>0</v>
      </c>
      <c r="BL40" s="241">
        <f t="shared" si="19"/>
        <v>0</v>
      </c>
      <c r="BO40" s="241">
        <f t="shared" si="20"/>
        <v>0</v>
      </c>
      <c r="BR40" s="241">
        <f t="shared" si="21"/>
        <v>0</v>
      </c>
      <c r="BU40" s="241">
        <f t="shared" si="22"/>
        <v>0</v>
      </c>
      <c r="BX40" s="241">
        <f t="shared" si="23"/>
        <v>0</v>
      </c>
      <c r="CA40" s="241">
        <f t="shared" si="24"/>
        <v>0</v>
      </c>
      <c r="CD40" s="241">
        <f t="shared" si="25"/>
        <v>0</v>
      </c>
      <c r="CG40" s="241">
        <f t="shared" si="26"/>
        <v>0</v>
      </c>
      <c r="CJ40" s="241">
        <f t="shared" si="27"/>
        <v>0</v>
      </c>
      <c r="CM40" s="241">
        <f t="shared" si="28"/>
        <v>0</v>
      </c>
      <c r="CP40" s="241">
        <f t="shared" si="29"/>
        <v>0</v>
      </c>
      <c r="CS40" s="241">
        <f t="shared" si="30"/>
        <v>0</v>
      </c>
      <c r="CV40" s="241">
        <f t="shared" si="31"/>
        <v>0</v>
      </c>
      <c r="CY40" s="241">
        <f t="shared" si="32"/>
        <v>0</v>
      </c>
      <c r="DB40" s="241">
        <f t="shared" si="33"/>
        <v>0</v>
      </c>
      <c r="DE40" s="241">
        <f t="shared" si="34"/>
        <v>0</v>
      </c>
      <c r="DH40" s="241">
        <f t="shared" si="35"/>
        <v>0</v>
      </c>
      <c r="DK40" s="241">
        <f t="shared" si="36"/>
        <v>0</v>
      </c>
      <c r="DN40" s="241">
        <f t="shared" si="37"/>
        <v>0</v>
      </c>
      <c r="DQ40" s="241">
        <f t="shared" si="38"/>
        <v>0</v>
      </c>
      <c r="DT40" s="241">
        <f t="shared" si="39"/>
        <v>0</v>
      </c>
      <c r="DW40" s="241">
        <f t="shared" si="40"/>
        <v>0</v>
      </c>
      <c r="DZ40" s="241"/>
      <c r="EA40" s="241"/>
      <c r="EB40" s="261">
        <f t="shared" si="41"/>
        <v>567225000</v>
      </c>
      <c r="EC40" s="261">
        <f t="shared" si="42"/>
        <v>0</v>
      </c>
      <c r="ED40" s="241">
        <f t="shared" si="43"/>
        <v>73347.395833333328</v>
      </c>
      <c r="EE40" s="242">
        <f t="shared" si="44"/>
        <v>4.6551302393230194E-2</v>
      </c>
      <c r="EG40" s="261">
        <f t="shared" si="45"/>
        <v>0</v>
      </c>
      <c r="EH40" s="241">
        <f t="shared" si="46"/>
        <v>0</v>
      </c>
      <c r="EI40" s="242">
        <f t="shared" si="47"/>
        <v>0</v>
      </c>
      <c r="EJ40" s="242"/>
      <c r="EK40" s="261">
        <f t="shared" si="48"/>
        <v>567225000</v>
      </c>
      <c r="EL40" s="261">
        <f t="shared" si="49"/>
        <v>0</v>
      </c>
      <c r="EM40" s="261">
        <f t="shared" si="50"/>
        <v>73347.395833333328</v>
      </c>
      <c r="EN40" s="242">
        <f t="shared" si="51"/>
        <v>4.6551302393230194E-2</v>
      </c>
      <c r="EP40" s="241"/>
    </row>
    <row r="41" spans="1:146" x14ac:dyDescent="0.25">
      <c r="A41" s="255">
        <f t="shared" si="52"/>
        <v>45747</v>
      </c>
      <c r="B41" s="241">
        <v>0</v>
      </c>
      <c r="C41" s="242">
        <v>4.6282719999999999E-2</v>
      </c>
      <c r="D41" s="241">
        <f t="shared" si="1"/>
        <v>0</v>
      </c>
      <c r="G41" s="241">
        <f t="shared" si="2"/>
        <v>0</v>
      </c>
      <c r="J41" s="241">
        <f t="shared" si="3"/>
        <v>0</v>
      </c>
      <c r="M41" s="241">
        <f t="shared" si="4"/>
        <v>0</v>
      </c>
      <c r="P41" s="241">
        <f t="shared" si="5"/>
        <v>0</v>
      </c>
      <c r="S41" s="241">
        <f t="shared" si="6"/>
        <v>0</v>
      </c>
      <c r="V41" s="241">
        <f t="shared" si="7"/>
        <v>0</v>
      </c>
      <c r="Y41" s="241">
        <f t="shared" si="8"/>
        <v>0</v>
      </c>
      <c r="AB41" s="241">
        <f t="shared" si="9"/>
        <v>0</v>
      </c>
      <c r="AE41" s="241">
        <v>0</v>
      </c>
      <c r="AH41" s="241">
        <v>0</v>
      </c>
      <c r="AI41" s="256">
        <f>55000000+30000000+50000000+45000000</f>
        <v>180000000</v>
      </c>
      <c r="AJ41" s="257">
        <v>4.65E-2</v>
      </c>
      <c r="AK41" s="241">
        <f t="shared" si="10"/>
        <v>23250</v>
      </c>
      <c r="AL41" s="256">
        <f>20000000+11550000</f>
        <v>31550000</v>
      </c>
      <c r="AM41" s="257">
        <v>4.6300000000000001E-2</v>
      </c>
      <c r="AN41" s="241">
        <f t="shared" si="11"/>
        <v>4057.6805555555557</v>
      </c>
      <c r="AO41" s="256">
        <f>75000000+25000000</f>
        <v>100000000</v>
      </c>
      <c r="AP41" s="257">
        <v>4.7E-2</v>
      </c>
      <c r="AQ41" s="241">
        <f t="shared" si="12"/>
        <v>13055.555555555555</v>
      </c>
      <c r="AR41" s="256">
        <f>12000000</f>
        <v>12000000</v>
      </c>
      <c r="AS41" s="257">
        <v>4.58E-2</v>
      </c>
      <c r="AT41" s="241">
        <f t="shared" si="13"/>
        <v>1526.6666666666667</v>
      </c>
      <c r="AU41" s="241">
        <f>35000000+20000000</f>
        <v>55000000</v>
      </c>
      <c r="AV41" s="242">
        <v>4.5999999999999999E-2</v>
      </c>
      <c r="AW41" s="241">
        <f t="shared" si="14"/>
        <v>7027.7777777777774</v>
      </c>
      <c r="AX41" s="241">
        <f>88000000+88000000</f>
        <v>176000000</v>
      </c>
      <c r="AY41" s="242">
        <v>4.65E-2</v>
      </c>
      <c r="AZ41" s="241">
        <f t="shared" si="15"/>
        <v>22733.333333333332</v>
      </c>
      <c r="BA41" s="241">
        <f>75000000</f>
        <v>75000000</v>
      </c>
      <c r="BB41" s="242">
        <v>4.6699999999999998E-2</v>
      </c>
      <c r="BC41" s="241">
        <f t="shared" si="16"/>
        <v>9729.1666666666661</v>
      </c>
      <c r="BF41" s="241">
        <f t="shared" si="17"/>
        <v>0</v>
      </c>
      <c r="BI41" s="241">
        <f t="shared" si="18"/>
        <v>0</v>
      </c>
      <c r="BL41" s="241">
        <f t="shared" si="19"/>
        <v>0</v>
      </c>
      <c r="BO41" s="241">
        <f t="shared" si="20"/>
        <v>0</v>
      </c>
      <c r="BR41" s="241">
        <f t="shared" si="21"/>
        <v>0</v>
      </c>
      <c r="BU41" s="241">
        <f t="shared" si="22"/>
        <v>0</v>
      </c>
      <c r="BX41" s="241">
        <f t="shared" si="23"/>
        <v>0</v>
      </c>
      <c r="CA41" s="241">
        <f t="shared" si="24"/>
        <v>0</v>
      </c>
      <c r="CD41" s="241">
        <f t="shared" si="25"/>
        <v>0</v>
      </c>
      <c r="CG41" s="241">
        <f t="shared" si="26"/>
        <v>0</v>
      </c>
      <c r="CJ41" s="241">
        <f t="shared" si="27"/>
        <v>0</v>
      </c>
      <c r="CM41" s="241">
        <f t="shared" si="28"/>
        <v>0</v>
      </c>
      <c r="CP41" s="241">
        <f t="shared" si="29"/>
        <v>0</v>
      </c>
      <c r="CS41" s="241">
        <f t="shared" si="30"/>
        <v>0</v>
      </c>
      <c r="CV41" s="241">
        <f t="shared" si="31"/>
        <v>0</v>
      </c>
      <c r="CY41" s="241">
        <f t="shared" si="32"/>
        <v>0</v>
      </c>
      <c r="DB41" s="241">
        <f t="shared" si="33"/>
        <v>0</v>
      </c>
      <c r="DE41" s="241">
        <f t="shared" si="34"/>
        <v>0</v>
      </c>
      <c r="DH41" s="241">
        <f t="shared" si="35"/>
        <v>0</v>
      </c>
      <c r="DK41" s="241">
        <f t="shared" si="36"/>
        <v>0</v>
      </c>
      <c r="DN41" s="241">
        <f t="shared" si="37"/>
        <v>0</v>
      </c>
      <c r="DQ41" s="241">
        <f t="shared" si="38"/>
        <v>0</v>
      </c>
      <c r="DT41" s="241">
        <f t="shared" si="39"/>
        <v>0</v>
      </c>
      <c r="DW41" s="241">
        <f t="shared" si="40"/>
        <v>0</v>
      </c>
      <c r="DZ41" s="241"/>
      <c r="EA41" s="241"/>
      <c r="EB41" s="261">
        <f t="shared" si="41"/>
        <v>629550000</v>
      </c>
      <c r="EC41" s="261">
        <f t="shared" si="42"/>
        <v>0</v>
      </c>
      <c r="ED41" s="241">
        <f t="shared" si="43"/>
        <v>81380.180555555547</v>
      </c>
      <c r="EE41" s="242">
        <f t="shared" si="44"/>
        <v>4.6536200460646493E-2</v>
      </c>
      <c r="EG41" s="261">
        <f t="shared" si="45"/>
        <v>0</v>
      </c>
      <c r="EH41" s="241">
        <f t="shared" si="46"/>
        <v>0</v>
      </c>
      <c r="EI41" s="242">
        <f t="shared" si="47"/>
        <v>0</v>
      </c>
      <c r="EJ41" s="242"/>
      <c r="EK41" s="261">
        <f t="shared" si="48"/>
        <v>629550000</v>
      </c>
      <c r="EL41" s="261">
        <f t="shared" si="49"/>
        <v>0</v>
      </c>
      <c r="EM41" s="261">
        <f t="shared" si="50"/>
        <v>81380.180555555562</v>
      </c>
      <c r="EN41" s="242">
        <f t="shared" si="51"/>
        <v>4.6536200460646493E-2</v>
      </c>
      <c r="EP41" s="241"/>
    </row>
    <row r="42" spans="1:146" x14ac:dyDescent="0.25">
      <c r="A42" s="276" t="s">
        <v>35</v>
      </c>
      <c r="D42" s="258">
        <f>SUM(D11:D41)</f>
        <v>655.23737500000004</v>
      </c>
      <c r="G42" s="258">
        <f>SUM(G11:G41)</f>
        <v>0</v>
      </c>
      <c r="J42" s="258">
        <f>SUM(J11:J41)</f>
        <v>0</v>
      </c>
      <c r="M42" s="258">
        <f>SUM(M11:M41)</f>
        <v>0</v>
      </c>
      <c r="P42" s="258">
        <f>SUM(P11:P41)</f>
        <v>0</v>
      </c>
      <c r="S42" s="258">
        <f>SUM(S11:S41)</f>
        <v>0</v>
      </c>
      <c r="V42" s="258">
        <f>SUM(V11:V41)</f>
        <v>0</v>
      </c>
      <c r="Y42" s="258">
        <f>SUM(Y11:Y41)</f>
        <v>0</v>
      </c>
      <c r="AB42" s="258">
        <f>SUM(AB11:AB41)</f>
        <v>0</v>
      </c>
      <c r="AE42" s="258">
        <f>SUM(AE11:AE41)</f>
        <v>0</v>
      </c>
      <c r="AH42" s="258">
        <f>SUM(AH11:AH41)</f>
        <v>0</v>
      </c>
      <c r="AK42" s="258">
        <f>SUM(AK11:AK41)</f>
        <v>423517.64027777774</v>
      </c>
      <c r="AN42" s="258">
        <f>SUM(AN11:AN41)</f>
        <v>264379.76194444438</v>
      </c>
      <c r="AQ42" s="258">
        <f>SUM(AQ11:AQ41)</f>
        <v>363031.9444444445</v>
      </c>
      <c r="AT42" s="258">
        <f>SUM(AT11:AT41)</f>
        <v>153429.99999999988</v>
      </c>
      <c r="AW42" s="258">
        <f>SUM(AW11:AW41)</f>
        <v>182722.22222222228</v>
      </c>
      <c r="AZ42" s="258">
        <f>SUM(AZ11:AZ41)</f>
        <v>465383.6458333332</v>
      </c>
      <c r="BC42" s="258">
        <f>SUM(BC11:BC41)</f>
        <v>48645.833333333328</v>
      </c>
      <c r="BF42" s="258">
        <f>SUM(BF11:BF41)</f>
        <v>0</v>
      </c>
      <c r="BI42" s="258">
        <f>SUM(BI11:BI41)</f>
        <v>0</v>
      </c>
      <c r="BL42" s="258">
        <f>SUM(BL11:BL41)</f>
        <v>0</v>
      </c>
      <c r="BO42" s="258">
        <f>SUM(BO11:BO41)</f>
        <v>0</v>
      </c>
      <c r="BR42" s="258">
        <f>SUM(BR11:BR41)</f>
        <v>0</v>
      </c>
      <c r="BU42" s="258">
        <f>SUM(BU11:BU41)</f>
        <v>0</v>
      </c>
      <c r="BX42" s="258">
        <f>SUM(BX11:BX41)</f>
        <v>0</v>
      </c>
      <c r="CA42" s="258">
        <f>SUM(CA11:CA41)</f>
        <v>0</v>
      </c>
      <c r="CD42" s="258">
        <f>SUM(CD11:CD41)</f>
        <v>0</v>
      </c>
      <c r="CG42" s="258">
        <f>SUM(CG11:CG41)</f>
        <v>0</v>
      </c>
      <c r="CJ42" s="258">
        <f>SUM(CJ11:CJ41)</f>
        <v>0</v>
      </c>
      <c r="CM42" s="258">
        <f>SUM(CM11:CM41)</f>
        <v>0</v>
      </c>
      <c r="CP42" s="258">
        <f>SUM(CP11:CP41)</f>
        <v>0</v>
      </c>
      <c r="CS42" s="258">
        <f>SUM(CS11:CS41)</f>
        <v>0</v>
      </c>
      <c r="CV42" s="258">
        <f>SUM(CV11:CV41)</f>
        <v>0</v>
      </c>
      <c r="CY42" s="258">
        <f>SUM(CY11:CY41)</f>
        <v>0</v>
      </c>
      <c r="DB42" s="258">
        <f>SUM(DB11:DB41)</f>
        <v>0</v>
      </c>
      <c r="DE42" s="258">
        <f>SUM(DE11:DE41)</f>
        <v>0</v>
      </c>
      <c r="DH42" s="258">
        <f>SUM(DH11:DH41)</f>
        <v>0</v>
      </c>
      <c r="DK42" s="258">
        <f>SUM(DK11:DK41)</f>
        <v>0</v>
      </c>
      <c r="DN42" s="258">
        <f>SUM(DN11:DN41)</f>
        <v>0</v>
      </c>
      <c r="DQ42" s="258">
        <f>SUM(DQ11:DQ41)</f>
        <v>0</v>
      </c>
      <c r="DT42" s="258">
        <f>SUM(DT11:DT41)</f>
        <v>0</v>
      </c>
      <c r="DW42" s="258">
        <f>SUM(DW11:DW41)</f>
        <v>0</v>
      </c>
      <c r="DZ42" s="241"/>
      <c r="EA42" s="241"/>
      <c r="EB42" s="241"/>
      <c r="EC42" s="241"/>
      <c r="ED42" s="258">
        <f>SUM(ED11:ED41)</f>
        <v>1901766.2854305548</v>
      </c>
      <c r="EE42" s="242"/>
      <c r="EG42" s="241"/>
      <c r="EH42" s="258">
        <f>SUM(EH11:EH41)</f>
        <v>0</v>
      </c>
      <c r="EI42" s="242"/>
      <c r="EJ42" s="242"/>
      <c r="EK42" s="241"/>
      <c r="EL42" s="241"/>
      <c r="EM42" s="258">
        <f>SUM(EM11:EM41)</f>
        <v>1901111.048055555</v>
      </c>
      <c r="EN42" s="242"/>
    </row>
    <row r="44" spans="1:146" x14ac:dyDescent="0.25">
      <c r="EM44" s="259"/>
    </row>
    <row r="45" spans="1:146" x14ac:dyDescent="0.25">
      <c r="EM45" s="241"/>
    </row>
    <row r="46" spans="1:146" x14ac:dyDescent="0.25">
      <c r="EM46" s="241"/>
    </row>
    <row r="48" spans="1:146" x14ac:dyDescent="0.25">
      <c r="EM48" s="241"/>
    </row>
  </sheetData>
  <pageMargins left="0.7" right="0.7" top="0.75" bottom="0.75" header="0.3" footer="0.3"/>
  <pageSetup scale="60" orientation="portrait" r:id="rId1"/>
  <headerFooter>
    <oddFooter>&amp;CSchedule RL-1</oddFooter>
  </headerFooter>
  <colBreaks count="5" manualBreakCount="5">
    <brk id="7" max="1048575" man="1"/>
    <brk id="43" max="1048575" man="1"/>
    <brk id="52" max="41" man="1"/>
    <brk id="130" max="1048575" man="1"/>
    <brk id="14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2">
    <pageSetUpPr fitToPage="1"/>
  </sheetPr>
  <dimension ref="A1:N43"/>
  <sheetViews>
    <sheetView workbookViewId="0">
      <selection activeCell="A15" sqref="A15"/>
    </sheetView>
  </sheetViews>
  <sheetFormatPr defaultColWidth="13.42578125" defaultRowHeight="15" x14ac:dyDescent="0.25"/>
  <cols>
    <col min="1" max="1" width="47" customWidth="1"/>
    <col min="2" max="2" width="17.85546875" customWidth="1"/>
    <col min="3" max="3" width="19.28515625" bestFit="1" customWidth="1"/>
    <col min="4" max="5" width="21.140625" bestFit="1" customWidth="1"/>
    <col min="6" max="14" width="21.140625" customWidth="1"/>
  </cols>
  <sheetData>
    <row r="1" spans="1:14" x14ac:dyDescent="0.25">
      <c r="A1" t="s">
        <v>0</v>
      </c>
    </row>
    <row r="2" spans="1:14" ht="15.75" thickBot="1" x14ac:dyDescent="0.3">
      <c r="A2" t="s">
        <v>1</v>
      </c>
    </row>
    <row r="3" spans="1:14" ht="15.75" thickBot="1" x14ac:dyDescent="0.3">
      <c r="A3" t="s">
        <v>243</v>
      </c>
      <c r="C3" s="279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1"/>
    </row>
    <row r="4" spans="1:14" x14ac:dyDescent="0.25">
      <c r="A4" s="1"/>
      <c r="B4" s="73">
        <v>45474</v>
      </c>
      <c r="C4" s="72">
        <v>45505</v>
      </c>
      <c r="D4" s="73">
        <v>45536</v>
      </c>
      <c r="E4" s="73">
        <v>45566</v>
      </c>
      <c r="F4" s="73">
        <v>45597</v>
      </c>
      <c r="G4" s="73">
        <v>45627</v>
      </c>
      <c r="H4" s="73">
        <v>45658</v>
      </c>
      <c r="I4" s="73">
        <v>45689</v>
      </c>
      <c r="J4" s="73">
        <v>45717</v>
      </c>
      <c r="K4" s="73">
        <v>45748</v>
      </c>
      <c r="L4" s="73">
        <v>45778</v>
      </c>
      <c r="M4" s="73">
        <v>45809</v>
      </c>
      <c r="N4" s="76">
        <v>45839</v>
      </c>
    </row>
    <row r="5" spans="1:14" x14ac:dyDescent="0.25">
      <c r="A5" s="2" t="s">
        <v>16</v>
      </c>
      <c r="B5" s="2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48"/>
    </row>
    <row r="6" spans="1:14" x14ac:dyDescent="0.25">
      <c r="A6" s="3" t="s">
        <v>230</v>
      </c>
      <c r="B6" s="81"/>
      <c r="C6" s="96"/>
      <c r="D6" s="82"/>
      <c r="E6" s="82"/>
      <c r="F6" s="82"/>
      <c r="G6" s="82"/>
      <c r="H6" s="82"/>
      <c r="I6" s="82"/>
      <c r="J6" s="82"/>
      <c r="K6" s="97"/>
      <c r="L6" s="97"/>
      <c r="M6" s="97"/>
      <c r="N6" s="98"/>
    </row>
    <row r="7" spans="1:14" x14ac:dyDescent="0.25">
      <c r="A7" s="3" t="s">
        <v>231</v>
      </c>
      <c r="B7" s="81"/>
      <c r="C7" s="96"/>
      <c r="D7" s="82"/>
      <c r="E7" s="82"/>
      <c r="F7" s="82"/>
      <c r="G7" s="82"/>
      <c r="H7" s="82"/>
      <c r="I7" s="82"/>
      <c r="J7" s="82"/>
      <c r="K7" s="97"/>
      <c r="L7" s="97"/>
      <c r="M7" s="97"/>
      <c r="N7" s="98"/>
    </row>
    <row r="8" spans="1:14" x14ac:dyDescent="0.25">
      <c r="A8" s="3" t="s">
        <v>232</v>
      </c>
      <c r="B8" s="81"/>
      <c r="C8" s="96"/>
      <c r="D8" s="82"/>
      <c r="E8" s="82"/>
      <c r="F8" s="82"/>
      <c r="G8" s="82"/>
      <c r="H8" s="82"/>
      <c r="I8" s="82"/>
      <c r="J8" s="82"/>
      <c r="K8" s="97"/>
      <c r="L8" s="97"/>
      <c r="M8" s="97"/>
      <c r="N8" s="98"/>
    </row>
    <row r="9" spans="1:14" x14ac:dyDescent="0.25">
      <c r="A9" s="3" t="s">
        <v>233</v>
      </c>
      <c r="B9" s="81"/>
      <c r="C9" s="96"/>
      <c r="D9" s="82"/>
      <c r="E9" s="82"/>
      <c r="F9" s="82"/>
      <c r="G9" s="82"/>
      <c r="H9" s="82"/>
      <c r="I9" s="82"/>
      <c r="J9" s="82"/>
      <c r="K9" s="97"/>
      <c r="L9" s="97"/>
      <c r="M9" s="97"/>
      <c r="N9" s="98"/>
    </row>
    <row r="10" spans="1:14" x14ac:dyDescent="0.25">
      <c r="A10" s="3" t="s">
        <v>234</v>
      </c>
      <c r="B10" s="81"/>
      <c r="C10" s="96"/>
      <c r="D10" s="82"/>
      <c r="E10" s="82"/>
      <c r="F10" s="82"/>
      <c r="G10" s="82"/>
      <c r="H10" s="82"/>
      <c r="I10" s="82"/>
      <c r="J10" s="82"/>
      <c r="K10" s="97"/>
      <c r="L10" s="97"/>
      <c r="M10" s="97"/>
      <c r="N10" s="98"/>
    </row>
    <row r="11" spans="1:14" x14ac:dyDescent="0.25">
      <c r="A11" s="3" t="s">
        <v>235</v>
      </c>
      <c r="B11" s="81"/>
      <c r="C11" s="96"/>
      <c r="D11" s="82"/>
      <c r="E11" s="82"/>
      <c r="F11" s="82"/>
      <c r="G11" s="82"/>
      <c r="H11" s="82"/>
      <c r="I11" s="82"/>
      <c r="J11" s="82"/>
      <c r="K11" s="97"/>
      <c r="L11" s="97"/>
      <c r="M11" s="97"/>
      <c r="N11" s="98"/>
    </row>
    <row r="12" spans="1:14" x14ac:dyDescent="0.25">
      <c r="A12" s="3" t="s">
        <v>236</v>
      </c>
      <c r="B12" s="81"/>
      <c r="C12" s="96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8"/>
    </row>
    <row r="13" spans="1:14" x14ac:dyDescent="0.25">
      <c r="A13" s="3" t="s">
        <v>237</v>
      </c>
      <c r="B13" s="81"/>
      <c r="C13" s="96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8"/>
    </row>
    <row r="14" spans="1:14" x14ac:dyDescent="0.25">
      <c r="A14" s="3" t="s">
        <v>238</v>
      </c>
      <c r="B14" s="81"/>
      <c r="C14" s="96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8"/>
    </row>
    <row r="15" spans="1:14" x14ac:dyDescent="0.25">
      <c r="A15" s="3" t="s">
        <v>2</v>
      </c>
      <c r="B15" s="81"/>
      <c r="C15" s="96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8"/>
    </row>
    <row r="16" spans="1:14" x14ac:dyDescent="0.25">
      <c r="A16" s="3" t="s">
        <v>3</v>
      </c>
      <c r="B16" s="81"/>
      <c r="C16" s="96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8"/>
    </row>
    <row r="17" spans="1:14" x14ac:dyDescent="0.25">
      <c r="A17" s="3" t="s">
        <v>4</v>
      </c>
      <c r="B17" s="81"/>
      <c r="C17" s="96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8"/>
    </row>
    <row r="18" spans="1:14" x14ac:dyDescent="0.25">
      <c r="A18" s="3" t="s">
        <v>117</v>
      </c>
      <c r="B18" s="81"/>
      <c r="C18" s="96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8"/>
    </row>
    <row r="19" spans="1:14" x14ac:dyDescent="0.25">
      <c r="A19" s="3" t="s">
        <v>5</v>
      </c>
      <c r="B19" s="81"/>
      <c r="C19" s="96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8"/>
    </row>
    <row r="20" spans="1:14" ht="15.75" thickBot="1" x14ac:dyDescent="0.3">
      <c r="A20" s="2" t="s">
        <v>6</v>
      </c>
      <c r="B20" s="2"/>
      <c r="C20" s="77">
        <f t="shared" ref="C20:N20" si="0">SUM(C6:C19)</f>
        <v>0</v>
      </c>
      <c r="D20" s="78">
        <f t="shared" si="0"/>
        <v>0</v>
      </c>
      <c r="E20" s="78">
        <f t="shared" si="0"/>
        <v>0</v>
      </c>
      <c r="F20" s="78">
        <f t="shared" si="0"/>
        <v>0</v>
      </c>
      <c r="G20" s="78">
        <f t="shared" si="0"/>
        <v>0</v>
      </c>
      <c r="H20" s="78">
        <f t="shared" si="0"/>
        <v>0</v>
      </c>
      <c r="I20" s="78">
        <f t="shared" si="0"/>
        <v>0</v>
      </c>
      <c r="J20" s="78">
        <f t="shared" si="0"/>
        <v>0</v>
      </c>
      <c r="K20" s="78">
        <f t="shared" si="0"/>
        <v>0</v>
      </c>
      <c r="L20" s="78">
        <f t="shared" si="0"/>
        <v>0</v>
      </c>
      <c r="M20" s="78">
        <f t="shared" si="0"/>
        <v>0</v>
      </c>
      <c r="N20" s="79">
        <f t="shared" si="0"/>
        <v>0</v>
      </c>
    </row>
    <row r="21" spans="1:14" x14ac:dyDescent="0.25">
      <c r="B21" s="80"/>
      <c r="C21" s="2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52"/>
    </row>
    <row r="22" spans="1:14" x14ac:dyDescent="0.25">
      <c r="A22" s="3" t="s">
        <v>116</v>
      </c>
      <c r="B22" s="81"/>
      <c r="C22" s="2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94">
        <v>-3054255.34</v>
      </c>
      <c r="J22" s="94">
        <v>-3410518.5500000003</v>
      </c>
      <c r="K22" s="94">
        <v>-2814899.78</v>
      </c>
      <c r="L22" s="94">
        <v>-2762900.73</v>
      </c>
      <c r="M22" s="94">
        <v>-6034780.6399999997</v>
      </c>
      <c r="N22" s="101">
        <v>-4331591.43</v>
      </c>
    </row>
    <row r="23" spans="1:14" x14ac:dyDescent="0.25">
      <c r="A23" s="3" t="s">
        <v>17</v>
      </c>
      <c r="B23" s="81"/>
      <c r="C23" s="2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53">
        <v>0</v>
      </c>
    </row>
    <row r="24" spans="1:14" x14ac:dyDescent="0.25">
      <c r="A24" s="3" t="s">
        <v>18</v>
      </c>
      <c r="B24" s="81"/>
      <c r="C24" s="2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53">
        <v>0</v>
      </c>
    </row>
    <row r="25" spans="1:14" x14ac:dyDescent="0.25">
      <c r="A25" s="2" t="s">
        <v>19</v>
      </c>
      <c r="B25" s="2"/>
      <c r="C25" s="96">
        <f t="shared" ref="C25:H25" si="1">+C23+C24</f>
        <v>0</v>
      </c>
      <c r="D25" s="82">
        <f t="shared" si="1"/>
        <v>0</v>
      </c>
      <c r="E25" s="82">
        <f t="shared" si="1"/>
        <v>0</v>
      </c>
      <c r="F25" s="82">
        <f t="shared" si="1"/>
        <v>0</v>
      </c>
      <c r="G25" s="82">
        <f t="shared" si="1"/>
        <v>0</v>
      </c>
      <c r="H25" s="82">
        <f t="shared" si="1"/>
        <v>0</v>
      </c>
      <c r="I25" s="82">
        <f t="shared" ref="I25:N25" si="2">+I23+I24+I22</f>
        <v>-3054255.34</v>
      </c>
      <c r="J25" s="82">
        <f t="shared" si="2"/>
        <v>-3410518.5500000003</v>
      </c>
      <c r="K25" s="82">
        <f t="shared" si="2"/>
        <v>-2814899.78</v>
      </c>
      <c r="L25" s="82">
        <f t="shared" si="2"/>
        <v>-2762900.73</v>
      </c>
      <c r="M25" s="82">
        <f t="shared" si="2"/>
        <v>-6034780.6399999997</v>
      </c>
      <c r="N25" s="83">
        <f t="shared" si="2"/>
        <v>-4331591.43</v>
      </c>
    </row>
    <row r="26" spans="1:14" ht="15.75" thickBot="1" x14ac:dyDescent="0.3">
      <c r="A26" s="4" t="s">
        <v>7</v>
      </c>
      <c r="B26" s="4"/>
      <c r="C26" s="29">
        <f t="shared" ref="C26:H26" si="3">-C25+C20</f>
        <v>0</v>
      </c>
      <c r="D26" s="20">
        <f t="shared" si="3"/>
        <v>0</v>
      </c>
      <c r="E26" s="20">
        <f t="shared" si="3"/>
        <v>0</v>
      </c>
      <c r="F26" s="20">
        <f t="shared" si="3"/>
        <v>0</v>
      </c>
      <c r="G26" s="20">
        <f t="shared" si="3"/>
        <v>0</v>
      </c>
      <c r="H26" s="20">
        <f t="shared" si="3"/>
        <v>0</v>
      </c>
      <c r="I26" s="20">
        <f t="shared" ref="I26:N26" si="4">I25</f>
        <v>-3054255.34</v>
      </c>
      <c r="J26" s="20">
        <f t="shared" si="4"/>
        <v>-3410518.5500000003</v>
      </c>
      <c r="K26" s="20">
        <f t="shared" si="4"/>
        <v>-2814899.78</v>
      </c>
      <c r="L26" s="20">
        <f t="shared" si="4"/>
        <v>-2762900.73</v>
      </c>
      <c r="M26" s="20">
        <f t="shared" si="4"/>
        <v>-6034780.6399999997</v>
      </c>
      <c r="N26" s="55">
        <f t="shared" si="4"/>
        <v>-4331591.43</v>
      </c>
    </row>
    <row r="27" spans="1:14" x14ac:dyDescent="0.25">
      <c r="A27" s="2"/>
      <c r="B27" s="2"/>
      <c r="C27" s="12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48"/>
    </row>
    <row r="28" spans="1:14" x14ac:dyDescent="0.25">
      <c r="A28" s="34" t="s">
        <v>8</v>
      </c>
      <c r="B28" s="34"/>
      <c r="C28" s="84">
        <f>+'Aug 24 Int'!G6/12</f>
        <v>4.6366415493178407E-3</v>
      </c>
      <c r="D28" s="85">
        <f>+'Sept 24 Int'!G6/12</f>
        <v>4.4211239201055784E-3</v>
      </c>
      <c r="E28" s="85">
        <f>+'Oct 24 Int'!G6/12</f>
        <v>4.1172865931109479E-3</v>
      </c>
      <c r="F28" s="85">
        <f>'Nov 24 Int'!G6/12</f>
        <v>4.0372997902493627E-3</v>
      </c>
      <c r="G28" s="85">
        <f>'Dec 24 Int'!G6/12</f>
        <v>3.9086784964514603E-3</v>
      </c>
      <c r="H28" s="85">
        <f>'Jan 25 Int'!G6/12</f>
        <v>3.7914794777146178E-3</v>
      </c>
      <c r="I28" s="85">
        <f>'Feb 25 Int'!G6/12</f>
        <v>3.8006368137405364E-3</v>
      </c>
      <c r="J28" s="85">
        <f>'Mar 25 Int'!G6/12</f>
        <v>3.8491771398324812E-3</v>
      </c>
      <c r="K28" s="85">
        <f>'Apr 25 Int'!G6/12</f>
        <v>3.8483317509430694E-3</v>
      </c>
      <c r="L28" s="85">
        <f>'May 25 Int'!G6/12</f>
        <v>3.8286059334735208E-3</v>
      </c>
      <c r="M28" s="85">
        <f>'Jun 25 Int'!G6/12</f>
        <v>3.8315826075828296E-3</v>
      </c>
      <c r="N28" s="86">
        <f>'Jul 25 Int'!G6/12</f>
        <v>3.8358682095427418E-3</v>
      </c>
    </row>
    <row r="29" spans="1:14" x14ac:dyDescent="0.25">
      <c r="A29" s="6" t="s">
        <v>9</v>
      </c>
      <c r="B29" s="6"/>
      <c r="C29" s="87">
        <f>(C26+B33)*C28</f>
        <v>174610.66167674598</v>
      </c>
      <c r="D29" s="88">
        <f t="shared" ref="D29:N29" si="5">(D26+C33)*D28</f>
        <v>167266.4875826631</v>
      </c>
      <c r="E29" s="88">
        <f t="shared" si="5"/>
        <v>156459.94930299709</v>
      </c>
      <c r="F29" s="88">
        <f t="shared" si="5"/>
        <v>154052.06709193165</v>
      </c>
      <c r="G29" s="88">
        <f t="shared" si="5"/>
        <v>149746.37829470393</v>
      </c>
      <c r="H29" s="88">
        <f t="shared" si="5"/>
        <v>145824.09713116474</v>
      </c>
      <c r="I29" s="88">
        <f>(I26+H33)*I28</f>
        <v>144910.14948431618</v>
      </c>
      <c r="J29" s="88">
        <f t="shared" si="5"/>
        <v>134190.98305354343</v>
      </c>
      <c r="K29" s="88">
        <f t="shared" si="5"/>
        <v>123845.25411480651</v>
      </c>
      <c r="L29" s="88">
        <f t="shared" si="5"/>
        <v>113106.54341594288</v>
      </c>
      <c r="M29" s="88">
        <f t="shared" si="5"/>
        <v>90505.098297739678</v>
      </c>
      <c r="N29" s="99">
        <f t="shared" si="5"/>
        <v>74338.079468794778</v>
      </c>
    </row>
    <row r="30" spans="1:14" x14ac:dyDescent="0.25">
      <c r="A30" s="6"/>
      <c r="B30" s="6"/>
      <c r="C30" s="87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99"/>
    </row>
    <row r="31" spans="1:14" x14ac:dyDescent="0.25">
      <c r="A31" s="2" t="s">
        <v>258</v>
      </c>
      <c r="B31" s="6"/>
      <c r="C31" s="87"/>
      <c r="D31" s="88"/>
      <c r="E31" s="88"/>
      <c r="F31" s="88"/>
      <c r="G31" s="88"/>
      <c r="H31" s="100">
        <f>-'Monthly Cost Tracker 5'!H31</f>
        <v>2575290.2400000002</v>
      </c>
      <c r="I31" s="88"/>
      <c r="J31" s="88"/>
      <c r="K31" s="88"/>
      <c r="L31" s="88"/>
      <c r="M31" s="88"/>
      <c r="N31" s="99"/>
    </row>
    <row r="32" spans="1:14" x14ac:dyDescent="0.25">
      <c r="A32" s="2"/>
      <c r="B32" s="2"/>
      <c r="C32" s="90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2"/>
    </row>
    <row r="33" spans="1:14" ht="15.75" thickBot="1" x14ac:dyDescent="0.3">
      <c r="A33" s="4" t="s">
        <v>10</v>
      </c>
      <c r="B33" s="95">
        <v>37658865.758651391</v>
      </c>
      <c r="C33" s="29">
        <f>C26+C29+B33</f>
        <v>37833476.42032814</v>
      </c>
      <c r="D33" s="20">
        <f>D26+D29+C33</f>
        <v>38000742.907910801</v>
      </c>
      <c r="E33" s="20">
        <f t="shared" ref="E33:N33" si="6">E26+E29+D33</f>
        <v>38157202.857213795</v>
      </c>
      <c r="F33" s="20">
        <f t="shared" si="6"/>
        <v>38311254.92430573</v>
      </c>
      <c r="G33" s="20">
        <f t="shared" si="6"/>
        <v>38461001.302600436</v>
      </c>
      <c r="H33" s="20">
        <f>H26+H29+G33+H31</f>
        <v>41182115.639731601</v>
      </c>
      <c r="I33" s="20">
        <f t="shared" si="6"/>
        <v>38272770.449215919</v>
      </c>
      <c r="J33" s="20">
        <f t="shared" si="6"/>
        <v>34996442.882269464</v>
      </c>
      <c r="K33" s="20">
        <f t="shared" si="6"/>
        <v>32305388.35638427</v>
      </c>
      <c r="L33" s="20">
        <f t="shared" si="6"/>
        <v>29655594.169800214</v>
      </c>
      <c r="M33" s="20">
        <f t="shared" si="6"/>
        <v>23711318.628097955</v>
      </c>
      <c r="N33" s="55">
        <f t="shared" si="6"/>
        <v>19454065.27756675</v>
      </c>
    </row>
    <row r="34" spans="1:14" x14ac:dyDescent="0.25">
      <c r="B34" s="2"/>
    </row>
    <row r="40" spans="1:14" x14ac:dyDescent="0.25">
      <c r="C40" s="15"/>
      <c r="D40" s="15"/>
      <c r="E40" s="15"/>
      <c r="F40" s="15"/>
      <c r="G40" s="15"/>
      <c r="H40" s="15"/>
      <c r="I40" s="15"/>
    </row>
    <row r="41" spans="1:14" x14ac:dyDescent="0.25">
      <c r="C41" s="16"/>
      <c r="D41" s="16"/>
      <c r="E41" s="16"/>
      <c r="F41" s="16"/>
      <c r="G41" s="16"/>
      <c r="H41" s="16"/>
      <c r="I41" s="16"/>
    </row>
    <row r="42" spans="1:14" x14ac:dyDescent="0.25">
      <c r="C42" s="16"/>
      <c r="D42" s="16"/>
      <c r="E42" s="16"/>
      <c r="F42" s="16"/>
      <c r="G42" s="16"/>
      <c r="H42" s="16"/>
      <c r="I42" s="16"/>
    </row>
    <row r="43" spans="1:14" x14ac:dyDescent="0.25">
      <c r="C43" s="16"/>
      <c r="D43" s="16"/>
      <c r="E43" s="16"/>
      <c r="F43" s="16"/>
      <c r="G43" s="16"/>
      <c r="H43" s="16"/>
      <c r="I43" s="16"/>
    </row>
  </sheetData>
  <mergeCells count="1">
    <mergeCell ref="C3:N3"/>
  </mergeCells>
  <pageMargins left="0.7" right="0.7" top="0.75" bottom="0.75" header="0.3" footer="0.3"/>
  <pageSetup scale="38" fitToHeight="0" orientation="landscape" r:id="rId1"/>
  <headerFooter>
    <oddFooter>&amp;CSchedule RL-1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7"/>
  <dimension ref="A1:EQ47"/>
  <sheetViews>
    <sheetView zoomScaleNormal="100" workbookViewId="0">
      <selection activeCell="EO21" sqref="EO21"/>
    </sheetView>
  </sheetViews>
  <sheetFormatPr defaultRowHeight="15" x14ac:dyDescent="0.25"/>
  <cols>
    <col min="1" max="1" width="14.5703125" style="175" bestFit="1" customWidth="1"/>
    <col min="2" max="2" width="15.5703125" style="241" bestFit="1" customWidth="1"/>
    <col min="3" max="3" width="15.42578125" style="242" bestFit="1" customWidth="1"/>
    <col min="4" max="4" width="15.42578125" style="175" bestFit="1" customWidth="1"/>
    <col min="5" max="5" width="15.5703125" style="241" bestFit="1" customWidth="1"/>
    <col min="6" max="6" width="12.28515625" style="242" bestFit="1" customWidth="1"/>
    <col min="7" max="7" width="18.42578125" style="175" bestFit="1" customWidth="1"/>
    <col min="8" max="8" width="15.42578125" style="241" hidden="1" customWidth="1"/>
    <col min="9" max="9" width="10.28515625" style="242" hidden="1" customWidth="1"/>
    <col min="10" max="10" width="13.42578125" style="175" hidden="1" customWidth="1"/>
    <col min="11" max="11" width="14.42578125" style="241" hidden="1" customWidth="1"/>
    <col min="12" max="12" width="10.28515625" style="242" hidden="1" customWidth="1"/>
    <col min="13" max="13" width="11.7109375" style="175" hidden="1" customWidth="1"/>
    <col min="14" max="14" width="14.42578125" style="241" hidden="1" customWidth="1"/>
    <col min="15" max="15" width="10.28515625" style="242" hidden="1" customWidth="1"/>
    <col min="16" max="16" width="11.7109375" style="175" hidden="1" customWidth="1"/>
    <col min="17" max="17" width="15.42578125" style="241" hidden="1" customWidth="1"/>
    <col min="18" max="18" width="10.28515625" style="242" hidden="1" customWidth="1"/>
    <col min="19" max="19" width="11.7109375" style="175" hidden="1" customWidth="1"/>
    <col min="20" max="20" width="15.42578125" style="241" hidden="1" customWidth="1"/>
    <col min="21" max="21" width="10.28515625" style="242" hidden="1" customWidth="1"/>
    <col min="22" max="22" width="11.7109375" style="175" hidden="1" customWidth="1"/>
    <col min="23" max="23" width="15.42578125" style="241" hidden="1" customWidth="1"/>
    <col min="24" max="24" width="10.28515625" style="242" hidden="1" customWidth="1"/>
    <col min="25" max="25" width="11.7109375" style="175" hidden="1" customWidth="1"/>
    <col min="26" max="26" width="15.42578125" style="241" hidden="1" customWidth="1"/>
    <col min="27" max="27" width="10.28515625" style="242" hidden="1" customWidth="1"/>
    <col min="28" max="28" width="11.7109375" style="175" hidden="1" customWidth="1"/>
    <col min="29" max="29" width="15.42578125" style="241" hidden="1" customWidth="1"/>
    <col min="30" max="30" width="10.28515625" style="242" hidden="1" customWidth="1"/>
    <col min="31" max="31" width="11.7109375" style="175" hidden="1" customWidth="1"/>
    <col min="32" max="32" width="14.42578125" style="241" hidden="1" customWidth="1"/>
    <col min="33" max="33" width="10.28515625" style="242" hidden="1" customWidth="1"/>
    <col min="34" max="34" width="10.7109375" style="175" hidden="1" customWidth="1"/>
    <col min="35" max="35" width="14.42578125" style="241" customWidth="1"/>
    <col min="36" max="36" width="13.42578125" style="242" customWidth="1"/>
    <col min="37" max="37" width="12.7109375" style="175" bestFit="1" customWidth="1"/>
    <col min="38" max="38" width="14.42578125" style="241" customWidth="1"/>
    <col min="39" max="39" width="12" style="242" customWidth="1"/>
    <col min="40" max="40" width="12" style="175" bestFit="1" customWidth="1"/>
    <col min="41" max="41" width="15.42578125" style="241" bestFit="1" customWidth="1"/>
    <col min="42" max="42" width="12.28515625" style="242" bestFit="1" customWidth="1"/>
    <col min="43" max="43" width="11.7109375" style="175" bestFit="1" customWidth="1"/>
    <col min="44" max="44" width="15.42578125" style="241" bestFit="1" customWidth="1"/>
    <col min="45" max="45" width="13.42578125" style="242" customWidth="1"/>
    <col min="46" max="46" width="13.7109375" style="175" bestFit="1" customWidth="1"/>
    <col min="47" max="47" width="16.5703125" style="241" customWidth="1"/>
    <col min="48" max="48" width="12.42578125" style="242" customWidth="1"/>
    <col min="49" max="49" width="12.5703125" style="175" bestFit="1" customWidth="1"/>
    <col min="50" max="50" width="18.42578125" style="241" customWidth="1"/>
    <col min="51" max="51" width="12.85546875" style="242" customWidth="1"/>
    <col min="52" max="52" width="12.5703125" style="175" bestFit="1" customWidth="1"/>
    <col min="53" max="53" width="14.42578125" style="241" customWidth="1"/>
    <col min="54" max="54" width="10.28515625" style="242" customWidth="1"/>
    <col min="55" max="55" width="10.7109375" style="175" customWidth="1"/>
    <col min="56" max="56" width="14.42578125" style="241" customWidth="1"/>
    <col min="57" max="57" width="10.28515625" style="242" customWidth="1"/>
    <col min="58" max="58" width="10.7109375" style="175" customWidth="1"/>
    <col min="59" max="59" width="14.42578125" style="241" customWidth="1"/>
    <col min="60" max="60" width="10.28515625" style="242" customWidth="1"/>
    <col min="61" max="61" width="10.7109375" style="175" customWidth="1"/>
    <col min="62" max="62" width="14.42578125" style="241" customWidth="1"/>
    <col min="63" max="63" width="10.28515625" style="242" customWidth="1"/>
    <col min="64" max="64" width="10.7109375" style="175" customWidth="1"/>
    <col min="65" max="65" width="14.42578125" style="241" hidden="1" customWidth="1"/>
    <col min="66" max="66" width="10.28515625" style="242" hidden="1" customWidth="1"/>
    <col min="67" max="67" width="10.7109375" style="175" hidden="1" customWidth="1"/>
    <col min="68" max="68" width="14.42578125" style="241" hidden="1" customWidth="1"/>
    <col min="69" max="69" width="10.28515625" style="242" hidden="1" customWidth="1"/>
    <col min="70" max="70" width="10.7109375" style="175" hidden="1" customWidth="1"/>
    <col min="71" max="71" width="14.42578125" style="241" hidden="1" customWidth="1"/>
    <col min="72" max="72" width="10.28515625" style="242" hidden="1" customWidth="1"/>
    <col min="73" max="73" width="10.7109375" style="175" hidden="1" customWidth="1"/>
    <col min="74" max="74" width="14.42578125" style="241" hidden="1" customWidth="1"/>
    <col min="75" max="75" width="10.28515625" style="242" hidden="1" customWidth="1"/>
    <col min="76" max="76" width="10.7109375" style="175" hidden="1" customWidth="1"/>
    <col min="77" max="77" width="14.42578125" style="241" hidden="1" customWidth="1"/>
    <col min="78" max="78" width="10.28515625" style="242" hidden="1" customWidth="1"/>
    <col min="79" max="79" width="10.7109375" style="175" hidden="1" customWidth="1"/>
    <col min="80" max="80" width="14.42578125" style="241" hidden="1" customWidth="1"/>
    <col min="81" max="81" width="10.28515625" style="242" hidden="1" customWidth="1"/>
    <col min="82" max="82" width="10.7109375" style="175" hidden="1" customWidth="1"/>
    <col min="83" max="83" width="14.42578125" style="241" hidden="1" customWidth="1"/>
    <col min="84" max="84" width="10.28515625" style="242" hidden="1" customWidth="1"/>
    <col min="85" max="85" width="10.7109375" style="175" hidden="1" customWidth="1"/>
    <col min="86" max="86" width="14.42578125" style="241" hidden="1" customWidth="1"/>
    <col min="87" max="87" width="10.28515625" style="242" hidden="1" customWidth="1"/>
    <col min="88" max="88" width="10.7109375" style="175" hidden="1" customWidth="1"/>
    <col min="89" max="89" width="14.42578125" style="241" hidden="1" customWidth="1"/>
    <col min="90" max="90" width="10.28515625" style="242" hidden="1" customWidth="1"/>
    <col min="91" max="91" width="10.7109375" style="175" hidden="1" customWidth="1"/>
    <col min="92" max="92" width="14.42578125" style="241" hidden="1" customWidth="1"/>
    <col min="93" max="93" width="10.28515625" style="242" hidden="1" customWidth="1"/>
    <col min="94" max="94" width="10.7109375" style="175" hidden="1" customWidth="1"/>
    <col min="95" max="95" width="14.42578125" style="241" hidden="1" customWidth="1"/>
    <col min="96" max="96" width="10.28515625" style="242" hidden="1" customWidth="1"/>
    <col min="97" max="97" width="10.7109375" style="175" hidden="1" customWidth="1"/>
    <col min="98" max="98" width="14.42578125" style="241" hidden="1" customWidth="1"/>
    <col min="99" max="99" width="10.28515625" style="242" hidden="1" customWidth="1"/>
    <col min="100" max="100" width="10.7109375" style="175" hidden="1" customWidth="1"/>
    <col min="101" max="101" width="14.42578125" style="241" hidden="1" customWidth="1"/>
    <col min="102" max="102" width="10.28515625" style="242" hidden="1" customWidth="1"/>
    <col min="103" max="103" width="10.7109375" style="175" hidden="1" customWidth="1"/>
    <col min="104" max="104" width="14.42578125" style="241" hidden="1" customWidth="1"/>
    <col min="105" max="105" width="10.28515625" style="242" hidden="1" customWidth="1"/>
    <col min="106" max="106" width="10.7109375" style="175" hidden="1" customWidth="1"/>
    <col min="107" max="107" width="14.42578125" style="241" hidden="1" customWidth="1"/>
    <col min="108" max="108" width="10.28515625" style="242" hidden="1" customWidth="1"/>
    <col min="109" max="109" width="10.7109375" style="175" hidden="1" customWidth="1"/>
    <col min="110" max="110" width="14.42578125" style="241" hidden="1" customWidth="1"/>
    <col min="111" max="111" width="10.28515625" style="242" hidden="1" customWidth="1"/>
    <col min="112" max="112" width="10.7109375" style="175" hidden="1" customWidth="1"/>
    <col min="113" max="113" width="14.42578125" style="241" hidden="1" customWidth="1"/>
    <col min="114" max="114" width="10.28515625" style="242" hidden="1" customWidth="1"/>
    <col min="115" max="115" width="10.7109375" style="175" hidden="1" customWidth="1"/>
    <col min="116" max="116" width="14.42578125" style="241" hidden="1" customWidth="1"/>
    <col min="117" max="117" width="10.28515625" style="242" hidden="1" customWidth="1"/>
    <col min="118" max="118" width="10.7109375" style="175" hidden="1" customWidth="1"/>
    <col min="119" max="119" width="14.42578125" style="241" hidden="1" customWidth="1"/>
    <col min="120" max="120" width="10.28515625" style="242" hidden="1" customWidth="1"/>
    <col min="121" max="121" width="10.7109375" style="175" hidden="1" customWidth="1"/>
    <col min="122" max="122" width="14.42578125" style="241" hidden="1" customWidth="1"/>
    <col min="123" max="123" width="10.28515625" style="242" hidden="1" customWidth="1"/>
    <col min="124" max="124" width="10.7109375" style="175" hidden="1" customWidth="1"/>
    <col min="125" max="125" width="14.42578125" style="241" hidden="1" customWidth="1"/>
    <col min="126" max="126" width="10.28515625" style="242" hidden="1" customWidth="1"/>
    <col min="127" max="127" width="10.7109375" style="175" hidden="1" customWidth="1"/>
    <col min="128" max="128" width="14.42578125" style="241" hidden="1" customWidth="1"/>
    <col min="129" max="129" width="10.28515625" style="242" hidden="1" customWidth="1"/>
    <col min="130" max="130" width="10.7109375" style="175" hidden="1" customWidth="1"/>
    <col min="131" max="131" width="2.7109375" style="175" customWidth="1"/>
    <col min="132" max="132" width="18.28515625" style="175" customWidth="1"/>
    <col min="133" max="133" width="15.42578125" style="175" hidden="1" customWidth="1"/>
    <col min="134" max="134" width="14.42578125" style="175" bestFit="1" customWidth="1"/>
    <col min="135" max="135" width="19.85546875" style="175" customWidth="1"/>
    <col min="136" max="136" width="2.7109375" style="175" customWidth="1"/>
    <col min="137" max="137" width="15.42578125" style="175" hidden="1" customWidth="1"/>
    <col min="138" max="138" width="14.42578125" style="175" hidden="1" customWidth="1"/>
    <col min="139" max="139" width="12.42578125" style="175" hidden="1" customWidth="1"/>
    <col min="140" max="140" width="2.7109375" style="175" hidden="1" customWidth="1"/>
    <col min="141" max="141" width="18.28515625" style="175" customWidth="1"/>
    <col min="142" max="142" width="15.42578125" style="175" hidden="1" customWidth="1"/>
    <col min="143" max="143" width="14.42578125" style="175" bestFit="1" customWidth="1"/>
    <col min="144" max="144" width="18.42578125" style="175" bestFit="1" customWidth="1"/>
    <col min="145" max="145" width="42.85546875" style="175" bestFit="1" customWidth="1"/>
    <col min="146" max="146" width="19.42578125" style="175" bestFit="1" customWidth="1"/>
    <col min="147" max="147" width="23.140625" style="175" bestFit="1" customWidth="1"/>
    <col min="148" max="16384" width="9.140625" style="175"/>
  </cols>
  <sheetData>
    <row r="1" spans="1:147" s="202" customFormat="1" x14ac:dyDescent="0.25">
      <c r="A1" s="260" t="s">
        <v>0</v>
      </c>
      <c r="B1" s="261"/>
      <c r="C1" s="262"/>
      <c r="E1" s="261"/>
      <c r="F1" s="262"/>
      <c r="H1" s="261"/>
      <c r="I1" s="262"/>
      <c r="K1" s="261"/>
      <c r="L1" s="262"/>
      <c r="N1" s="261"/>
      <c r="O1" s="262"/>
      <c r="Q1" s="261"/>
      <c r="R1" s="262"/>
      <c r="T1" s="261"/>
      <c r="U1" s="262"/>
      <c r="W1" s="261"/>
      <c r="X1" s="262"/>
      <c r="Z1" s="261"/>
      <c r="AA1" s="262"/>
      <c r="AC1" s="261"/>
      <c r="AD1" s="262"/>
      <c r="AF1" s="261"/>
      <c r="AG1" s="262"/>
      <c r="AI1" s="261"/>
      <c r="AJ1" s="262"/>
      <c r="AL1" s="261"/>
      <c r="AM1" s="262"/>
      <c r="AO1" s="261"/>
      <c r="AP1" s="262"/>
      <c r="AR1" s="261"/>
      <c r="AS1" s="262"/>
      <c r="AU1" s="261"/>
      <c r="AV1" s="262"/>
      <c r="AX1" s="261"/>
      <c r="AY1" s="262"/>
      <c r="BA1" s="261"/>
      <c r="BB1" s="262"/>
      <c r="BD1" s="261"/>
      <c r="BE1" s="262"/>
      <c r="BG1" s="261"/>
      <c r="BH1" s="262"/>
      <c r="BJ1" s="261"/>
      <c r="BK1" s="262"/>
      <c r="BM1" s="261"/>
      <c r="BN1" s="262"/>
      <c r="BP1" s="261"/>
      <c r="BQ1" s="262"/>
      <c r="BS1" s="261"/>
      <c r="BT1" s="262"/>
      <c r="BV1" s="261"/>
      <c r="BW1" s="262"/>
      <c r="BY1" s="261"/>
      <c r="BZ1" s="262"/>
      <c r="CB1" s="261"/>
      <c r="CC1" s="262"/>
      <c r="CE1" s="261"/>
      <c r="CF1" s="262"/>
      <c r="CH1" s="261"/>
      <c r="CI1" s="262"/>
      <c r="CK1" s="261"/>
      <c r="CL1" s="262"/>
      <c r="CN1" s="261"/>
      <c r="CO1" s="262"/>
      <c r="CQ1" s="261"/>
      <c r="CR1" s="262"/>
      <c r="CT1" s="261"/>
      <c r="CU1" s="262"/>
      <c r="CW1" s="261"/>
      <c r="CX1" s="262"/>
      <c r="CZ1" s="261"/>
      <c r="DA1" s="262"/>
      <c r="DC1" s="261"/>
      <c r="DD1" s="262"/>
      <c r="DF1" s="261"/>
      <c r="DG1" s="262"/>
      <c r="DI1" s="261"/>
      <c r="DJ1" s="262"/>
      <c r="DL1" s="261"/>
      <c r="DM1" s="262"/>
      <c r="DO1" s="261"/>
      <c r="DP1" s="262"/>
      <c r="DR1" s="261"/>
      <c r="DS1" s="262"/>
      <c r="DU1" s="261"/>
      <c r="DV1" s="262"/>
      <c r="DX1" s="261"/>
      <c r="DY1" s="262"/>
      <c r="DZ1" s="263"/>
      <c r="ED1" s="191"/>
      <c r="EE1" s="264" t="s">
        <v>37</v>
      </c>
      <c r="EI1" s="191" t="s">
        <v>38</v>
      </c>
      <c r="EM1" s="191"/>
      <c r="EN1" s="191" t="s">
        <v>39</v>
      </c>
      <c r="EO1" s="260" t="s">
        <v>40</v>
      </c>
      <c r="EP1" s="260" t="s">
        <v>41</v>
      </c>
      <c r="EQ1" s="260" t="s">
        <v>42</v>
      </c>
    </row>
    <row r="2" spans="1:147" s="202" customFormat="1" ht="15.75" thickBot="1" x14ac:dyDescent="0.3">
      <c r="A2" s="260" t="s">
        <v>43</v>
      </c>
      <c r="B2" s="261"/>
      <c r="C2" s="262"/>
      <c r="E2" s="263"/>
      <c r="F2" s="262"/>
      <c r="G2" s="191"/>
      <c r="H2" s="261"/>
      <c r="I2" s="262"/>
      <c r="K2" s="261"/>
      <c r="L2" s="262"/>
      <c r="N2" s="261"/>
      <c r="O2" s="262"/>
      <c r="Q2" s="261"/>
      <c r="R2" s="262"/>
      <c r="T2" s="261"/>
      <c r="U2" s="262"/>
      <c r="W2" s="261"/>
      <c r="X2" s="262"/>
      <c r="Z2" s="261"/>
      <c r="AA2" s="262"/>
      <c r="AC2" s="261"/>
      <c r="AD2" s="262"/>
      <c r="AF2" s="261"/>
      <c r="AG2" s="262"/>
      <c r="AI2" s="261"/>
      <c r="AJ2" s="262"/>
      <c r="AL2" s="261"/>
      <c r="AM2" s="262"/>
      <c r="AO2" s="261"/>
      <c r="AP2" s="262"/>
      <c r="AR2" s="261"/>
      <c r="AS2" s="262"/>
      <c r="AU2" s="261"/>
      <c r="AV2" s="262"/>
      <c r="AX2" s="261"/>
      <c r="AY2" s="262"/>
      <c r="BA2" s="261"/>
      <c r="BB2" s="262"/>
      <c r="BD2" s="261"/>
      <c r="BE2" s="262"/>
      <c r="BG2" s="261"/>
      <c r="BH2" s="262"/>
      <c r="BJ2" s="261"/>
      <c r="BK2" s="262"/>
      <c r="BM2" s="261"/>
      <c r="BN2" s="262"/>
      <c r="BP2" s="261"/>
      <c r="BQ2" s="262"/>
      <c r="BS2" s="261"/>
      <c r="BT2" s="262"/>
      <c r="BV2" s="261"/>
      <c r="BW2" s="262"/>
      <c r="BY2" s="261"/>
      <c r="BZ2" s="262"/>
      <c r="CB2" s="261"/>
      <c r="CC2" s="262"/>
      <c r="CE2" s="261"/>
      <c r="CF2" s="262"/>
      <c r="CH2" s="261"/>
      <c r="CI2" s="262"/>
      <c r="CK2" s="261"/>
      <c r="CL2" s="262"/>
      <c r="CN2" s="261"/>
      <c r="CO2" s="262"/>
      <c r="CQ2" s="261"/>
      <c r="CR2" s="262"/>
      <c r="CT2" s="261"/>
      <c r="CU2" s="262"/>
      <c r="CW2" s="261"/>
      <c r="CX2" s="262"/>
      <c r="CZ2" s="261"/>
      <c r="DA2" s="262"/>
      <c r="DC2" s="261"/>
      <c r="DD2" s="262"/>
      <c r="DF2" s="261"/>
      <c r="DG2" s="262"/>
      <c r="DI2" s="261"/>
      <c r="DJ2" s="262"/>
      <c r="DL2" s="261"/>
      <c r="DM2" s="262"/>
      <c r="DO2" s="261"/>
      <c r="DP2" s="262"/>
      <c r="DR2" s="261"/>
      <c r="DS2" s="262"/>
      <c r="DU2" s="261"/>
      <c r="DV2" s="262"/>
      <c r="DX2" s="261"/>
      <c r="DY2" s="262"/>
      <c r="EB2" s="175" t="s">
        <v>44</v>
      </c>
      <c r="EC2" s="175"/>
      <c r="ED2" s="241"/>
      <c r="EE2" s="241">
        <f>EB40</f>
        <v>114550000</v>
      </c>
      <c r="EI2" s="241">
        <f>EG40</f>
        <v>0</v>
      </c>
      <c r="EM2" s="241"/>
      <c r="EN2" s="241">
        <f>EK40</f>
        <v>114550000</v>
      </c>
      <c r="EO2" s="265">
        <v>0</v>
      </c>
      <c r="EP2" s="261">
        <f>EN2+EO2</f>
        <v>114550000</v>
      </c>
      <c r="EQ2" s="261">
        <f>EE2+EO2</f>
        <v>114550000</v>
      </c>
    </row>
    <row r="3" spans="1:147" ht="15.75" thickTop="1" x14ac:dyDescent="0.25">
      <c r="A3" s="266" t="s">
        <v>245</v>
      </c>
      <c r="E3" s="267" t="s">
        <v>45</v>
      </c>
      <c r="F3" s="243"/>
      <c r="G3" s="244"/>
      <c r="EB3" s="175" t="s">
        <v>46</v>
      </c>
      <c r="ED3" s="241"/>
      <c r="EE3" s="241">
        <f>AVERAGE(EB11:EB40)</f>
        <v>142413333.33333334</v>
      </c>
      <c r="EI3" s="241">
        <f>AVERAGE(EG11:EG40)</f>
        <v>0</v>
      </c>
      <c r="EM3" s="241"/>
      <c r="EN3" s="241">
        <f>AVERAGE(EK11:EK40)</f>
        <v>142205833.33333334</v>
      </c>
    </row>
    <row r="4" spans="1:147" x14ac:dyDescent="0.25">
      <c r="E4" s="245" t="s">
        <v>44</v>
      </c>
      <c r="F4" s="241"/>
      <c r="G4" s="246">
        <f>EQ2</f>
        <v>114550000</v>
      </c>
      <c r="AI4" s="260" t="s">
        <v>47</v>
      </c>
      <c r="EB4" s="175" t="s">
        <v>48</v>
      </c>
      <c r="ED4" s="242"/>
      <c r="EE4" s="242">
        <f>IF(EE3=0,0,360*(AVERAGE(ED11:ED40)/EE3))</f>
        <v>4.6179981011316831E-2</v>
      </c>
      <c r="EI4" s="242">
        <f>IF(EI3=0,0,360*(AVERAGE(EH11:EH40)/EI3))</f>
        <v>0</v>
      </c>
      <c r="EM4" s="242"/>
      <c r="EN4" s="242">
        <f>IF(EN3=0,0,360*(AVERAGE(EM11:EM40)/EN3))</f>
        <v>4.6179320585770622E-2</v>
      </c>
      <c r="EO4" s="202" t="s">
        <v>241</v>
      </c>
      <c r="EQ4" s="191" t="s">
        <v>47</v>
      </c>
    </row>
    <row r="5" spans="1:147" x14ac:dyDescent="0.25">
      <c r="E5" s="245" t="s">
        <v>46</v>
      </c>
      <c r="F5" s="241"/>
      <c r="G5" s="246">
        <f>EE3</f>
        <v>142413333.33333334</v>
      </c>
      <c r="AI5" s="268" t="s">
        <v>39</v>
      </c>
      <c r="EB5" s="175" t="s">
        <v>49</v>
      </c>
      <c r="ED5" s="241"/>
      <c r="EE5" s="241">
        <f>MAX(EB11:EB40)</f>
        <v>649650000</v>
      </c>
      <c r="EI5" s="241">
        <f>MAX(EG11:EG40)</f>
        <v>0</v>
      </c>
      <c r="EM5" s="241"/>
      <c r="EN5" s="241">
        <f>MAX(EK11:EK40)</f>
        <v>649650000</v>
      </c>
      <c r="EO5" s="175" t="s">
        <v>242</v>
      </c>
    </row>
    <row r="6" spans="1:147" x14ac:dyDescent="0.25">
      <c r="E6" s="245" t="s">
        <v>48</v>
      </c>
      <c r="F6" s="241"/>
      <c r="G6" s="247">
        <f>EE4</f>
        <v>4.6179981011316831E-2</v>
      </c>
    </row>
    <row r="7" spans="1:147" ht="15.75" thickBot="1" x14ac:dyDescent="0.3">
      <c r="E7" s="248" t="s">
        <v>49</v>
      </c>
      <c r="F7" s="249"/>
      <c r="G7" s="250">
        <f>EE5</f>
        <v>649650000</v>
      </c>
      <c r="AI7" s="268" t="s">
        <v>39</v>
      </c>
      <c r="EB7" s="269" t="s">
        <v>50</v>
      </c>
      <c r="EC7" s="269"/>
      <c r="ED7" s="251"/>
      <c r="EE7" s="251"/>
      <c r="EG7" s="269" t="s">
        <v>51</v>
      </c>
      <c r="EH7" s="251"/>
      <c r="EI7" s="251"/>
      <c r="EJ7" s="174"/>
      <c r="EK7" s="269" t="s">
        <v>52</v>
      </c>
      <c r="EL7" s="269"/>
      <c r="EM7" s="251"/>
      <c r="EN7" s="251"/>
    </row>
    <row r="8" spans="1:147" ht="15.75" thickTop="1" x14ac:dyDescent="0.25">
      <c r="AI8" s="263" t="s">
        <v>53</v>
      </c>
      <c r="AL8" s="263" t="s">
        <v>53</v>
      </c>
      <c r="AO8" s="263" t="s">
        <v>53</v>
      </c>
      <c r="AR8" s="263" t="s">
        <v>53</v>
      </c>
      <c r="AU8" s="263" t="s">
        <v>53</v>
      </c>
      <c r="AX8" s="263" t="s">
        <v>53</v>
      </c>
      <c r="BA8" s="263" t="s">
        <v>53</v>
      </c>
      <c r="BD8" s="263" t="s">
        <v>53</v>
      </c>
      <c r="BG8" s="263" t="s">
        <v>53</v>
      </c>
      <c r="BJ8" s="263" t="s">
        <v>53</v>
      </c>
      <c r="BM8" s="263" t="s">
        <v>53</v>
      </c>
      <c r="BP8" s="263" t="s">
        <v>53</v>
      </c>
      <c r="BS8" s="263" t="s">
        <v>53</v>
      </c>
      <c r="BV8" s="263" t="s">
        <v>53</v>
      </c>
      <c r="BY8" s="263" t="s">
        <v>53</v>
      </c>
      <c r="CB8" s="263" t="s">
        <v>53</v>
      </c>
      <c r="CE8" s="263" t="s">
        <v>53</v>
      </c>
      <c r="CH8" s="263" t="s">
        <v>53</v>
      </c>
      <c r="CK8" s="263" t="s">
        <v>53</v>
      </c>
      <c r="CN8" s="263" t="s">
        <v>53</v>
      </c>
      <c r="CQ8" s="263" t="s">
        <v>53</v>
      </c>
      <c r="CT8" s="263" t="s">
        <v>53</v>
      </c>
      <c r="CW8" s="263" t="s">
        <v>53</v>
      </c>
      <c r="CZ8" s="263" t="s">
        <v>53</v>
      </c>
      <c r="DC8" s="263" t="s">
        <v>53</v>
      </c>
      <c r="DF8" s="263" t="s">
        <v>53</v>
      </c>
      <c r="DI8" s="263" t="s">
        <v>53</v>
      </c>
      <c r="DL8" s="263" t="s">
        <v>53</v>
      </c>
      <c r="DO8" s="263" t="s">
        <v>53</v>
      </c>
      <c r="DR8" s="263" t="s">
        <v>53</v>
      </c>
      <c r="EB8" s="252"/>
      <c r="EC8" s="252"/>
      <c r="ED8" s="252"/>
      <c r="EE8" s="252" t="s">
        <v>54</v>
      </c>
      <c r="EG8" s="252"/>
      <c r="EH8" s="270" t="s">
        <v>38</v>
      </c>
      <c r="EI8" s="252" t="s">
        <v>54</v>
      </c>
      <c r="EJ8" s="252"/>
      <c r="EK8" s="191" t="s">
        <v>55</v>
      </c>
      <c r="EL8" s="191" t="s">
        <v>56</v>
      </c>
      <c r="EM8" s="270" t="s">
        <v>57</v>
      </c>
      <c r="EN8" s="252" t="s">
        <v>54</v>
      </c>
    </row>
    <row r="9" spans="1:147" x14ac:dyDescent="0.25">
      <c r="B9" s="253" t="s">
        <v>58</v>
      </c>
      <c r="C9" s="254"/>
      <c r="D9" s="251"/>
      <c r="E9" s="253" t="s">
        <v>59</v>
      </c>
      <c r="F9" s="254"/>
      <c r="G9" s="251"/>
      <c r="H9" s="253" t="s">
        <v>60</v>
      </c>
      <c r="I9" s="254"/>
      <c r="J9" s="251"/>
      <c r="K9" s="253" t="s">
        <v>61</v>
      </c>
      <c r="L9" s="254"/>
      <c r="M9" s="251"/>
      <c r="N9" s="253" t="s">
        <v>62</v>
      </c>
      <c r="O9" s="254"/>
      <c r="P9" s="251"/>
      <c r="Q9" s="253" t="s">
        <v>63</v>
      </c>
      <c r="R9" s="254"/>
      <c r="S9" s="251"/>
      <c r="T9" s="253" t="s">
        <v>64</v>
      </c>
      <c r="U9" s="254"/>
      <c r="V9" s="251"/>
      <c r="W9" s="253" t="s">
        <v>65</v>
      </c>
      <c r="X9" s="254"/>
      <c r="Y9" s="251"/>
      <c r="Z9" s="253" t="s">
        <v>66</v>
      </c>
      <c r="AA9" s="254"/>
      <c r="AB9" s="251"/>
      <c r="AC9" s="271" t="s">
        <v>67</v>
      </c>
      <c r="AD9" s="254"/>
      <c r="AE9" s="251"/>
      <c r="AF9" s="271" t="s">
        <v>68</v>
      </c>
      <c r="AG9" s="254"/>
      <c r="AH9" s="251"/>
      <c r="AI9" s="253" t="s">
        <v>69</v>
      </c>
      <c r="AJ9" s="254"/>
      <c r="AK9" s="251"/>
      <c r="AL9" s="253" t="s">
        <v>70</v>
      </c>
      <c r="AM9" s="254"/>
      <c r="AN9" s="251"/>
      <c r="AO9" s="253" t="s">
        <v>71</v>
      </c>
      <c r="AP9" s="254"/>
      <c r="AQ9" s="251"/>
      <c r="AR9" s="253" t="s">
        <v>72</v>
      </c>
      <c r="AS9" s="254"/>
      <c r="AT9" s="251"/>
      <c r="AU9" s="253" t="s">
        <v>73</v>
      </c>
      <c r="AV9" s="254"/>
      <c r="AW9" s="251"/>
      <c r="AX9" s="253" t="s">
        <v>74</v>
      </c>
      <c r="AY9" s="254"/>
      <c r="AZ9" s="251"/>
      <c r="BA9" s="253" t="s">
        <v>75</v>
      </c>
      <c r="BB9" s="254"/>
      <c r="BC9" s="251"/>
      <c r="BD9" s="253" t="s">
        <v>76</v>
      </c>
      <c r="BE9" s="254"/>
      <c r="BF9" s="251"/>
      <c r="BG9" s="253" t="s">
        <v>77</v>
      </c>
      <c r="BH9" s="254"/>
      <c r="BI9" s="251"/>
      <c r="BJ9" s="253" t="s">
        <v>78</v>
      </c>
      <c r="BK9" s="254"/>
      <c r="BL9" s="251"/>
      <c r="BM9" s="253" t="s">
        <v>79</v>
      </c>
      <c r="BN9" s="254"/>
      <c r="BO9" s="251"/>
      <c r="BP9" s="253" t="s">
        <v>80</v>
      </c>
      <c r="BQ9" s="254"/>
      <c r="BR9" s="251"/>
      <c r="BS9" s="253" t="s">
        <v>81</v>
      </c>
      <c r="BT9" s="254"/>
      <c r="BU9" s="251"/>
      <c r="BV9" s="253" t="s">
        <v>82</v>
      </c>
      <c r="BW9" s="254"/>
      <c r="BX9" s="251"/>
      <c r="BY9" s="253" t="s">
        <v>83</v>
      </c>
      <c r="BZ9" s="254"/>
      <c r="CA9" s="251"/>
      <c r="CB9" s="253" t="s">
        <v>84</v>
      </c>
      <c r="CC9" s="254"/>
      <c r="CD9" s="251"/>
      <c r="CE9" s="253" t="s">
        <v>85</v>
      </c>
      <c r="CF9" s="254"/>
      <c r="CG9" s="251"/>
      <c r="CH9" s="253" t="s">
        <v>86</v>
      </c>
      <c r="CI9" s="254"/>
      <c r="CJ9" s="251"/>
      <c r="CK9" s="253" t="s">
        <v>87</v>
      </c>
      <c r="CL9" s="254"/>
      <c r="CM9" s="251"/>
      <c r="CN9" s="253" t="s">
        <v>88</v>
      </c>
      <c r="CO9" s="254"/>
      <c r="CP9" s="251"/>
      <c r="CQ9" s="253" t="s">
        <v>89</v>
      </c>
      <c r="CR9" s="254"/>
      <c r="CS9" s="251"/>
      <c r="CT9" s="253" t="s">
        <v>90</v>
      </c>
      <c r="CU9" s="254"/>
      <c r="CV9" s="251"/>
      <c r="CW9" s="253" t="s">
        <v>91</v>
      </c>
      <c r="CX9" s="254"/>
      <c r="CY9" s="251"/>
      <c r="CZ9" s="253" t="s">
        <v>92</v>
      </c>
      <c r="DA9" s="254"/>
      <c r="DB9" s="251"/>
      <c r="DC9" s="253" t="s">
        <v>93</v>
      </c>
      <c r="DD9" s="254"/>
      <c r="DE9" s="251"/>
      <c r="DF9" s="253" t="s">
        <v>94</v>
      </c>
      <c r="DG9" s="254"/>
      <c r="DH9" s="251"/>
      <c r="DI9" s="253" t="s">
        <v>95</v>
      </c>
      <c r="DJ9" s="254"/>
      <c r="DK9" s="251"/>
      <c r="DL9" s="253" t="s">
        <v>96</v>
      </c>
      <c r="DM9" s="254"/>
      <c r="DN9" s="251"/>
      <c r="DO9" s="253" t="s">
        <v>97</v>
      </c>
      <c r="DP9" s="254"/>
      <c r="DQ9" s="251"/>
      <c r="DR9" s="253" t="s">
        <v>98</v>
      </c>
      <c r="DS9" s="254"/>
      <c r="DT9" s="251"/>
      <c r="DU9" s="253" t="s">
        <v>99</v>
      </c>
      <c r="DV9" s="254"/>
      <c r="DW9" s="251"/>
      <c r="DX9" s="272" t="s">
        <v>100</v>
      </c>
      <c r="DY9" s="254"/>
      <c r="DZ9" s="251"/>
      <c r="EA9" s="174"/>
      <c r="EB9" s="191" t="s">
        <v>101</v>
      </c>
      <c r="EC9" s="191" t="s">
        <v>102</v>
      </c>
      <c r="ED9" s="252" t="s">
        <v>103</v>
      </c>
      <c r="EE9" s="252" t="s">
        <v>104</v>
      </c>
      <c r="EG9" s="270" t="s">
        <v>105</v>
      </c>
      <c r="EH9" s="252" t="s">
        <v>103</v>
      </c>
      <c r="EI9" s="252" t="s">
        <v>104</v>
      </c>
      <c r="EJ9" s="252"/>
      <c r="EK9" s="270" t="s">
        <v>57</v>
      </c>
      <c r="EL9" s="270" t="s">
        <v>57</v>
      </c>
      <c r="EM9" s="252" t="s">
        <v>103</v>
      </c>
      <c r="EN9" s="252" t="s">
        <v>104</v>
      </c>
    </row>
    <row r="10" spans="1:147" x14ac:dyDescent="0.25">
      <c r="A10" s="252" t="s">
        <v>106</v>
      </c>
      <c r="B10" s="273" t="s">
        <v>107</v>
      </c>
      <c r="C10" s="274" t="s">
        <v>108</v>
      </c>
      <c r="D10" s="275" t="s">
        <v>12</v>
      </c>
      <c r="E10" s="273" t="s">
        <v>107</v>
      </c>
      <c r="F10" s="274" t="s">
        <v>108</v>
      </c>
      <c r="G10" s="275" t="s">
        <v>12</v>
      </c>
      <c r="H10" s="273" t="s">
        <v>107</v>
      </c>
      <c r="I10" s="274" t="s">
        <v>108</v>
      </c>
      <c r="J10" s="275" t="s">
        <v>12</v>
      </c>
      <c r="K10" s="273" t="s">
        <v>107</v>
      </c>
      <c r="L10" s="274" t="s">
        <v>108</v>
      </c>
      <c r="M10" s="275" t="s">
        <v>12</v>
      </c>
      <c r="N10" s="273" t="s">
        <v>107</v>
      </c>
      <c r="O10" s="274" t="s">
        <v>108</v>
      </c>
      <c r="P10" s="275" t="s">
        <v>12</v>
      </c>
      <c r="Q10" s="273" t="s">
        <v>107</v>
      </c>
      <c r="R10" s="274" t="s">
        <v>108</v>
      </c>
      <c r="S10" s="275" t="s">
        <v>12</v>
      </c>
      <c r="T10" s="273" t="s">
        <v>107</v>
      </c>
      <c r="U10" s="274" t="s">
        <v>108</v>
      </c>
      <c r="V10" s="275" t="s">
        <v>12</v>
      </c>
      <c r="W10" s="273" t="s">
        <v>107</v>
      </c>
      <c r="X10" s="274" t="s">
        <v>108</v>
      </c>
      <c r="Y10" s="275" t="s">
        <v>12</v>
      </c>
      <c r="Z10" s="273" t="s">
        <v>107</v>
      </c>
      <c r="AA10" s="274" t="s">
        <v>108</v>
      </c>
      <c r="AB10" s="275" t="s">
        <v>12</v>
      </c>
      <c r="AC10" s="273" t="s">
        <v>107</v>
      </c>
      <c r="AD10" s="274" t="s">
        <v>108</v>
      </c>
      <c r="AE10" s="275" t="s">
        <v>12</v>
      </c>
      <c r="AF10" s="273" t="s">
        <v>107</v>
      </c>
      <c r="AG10" s="274" t="s">
        <v>108</v>
      </c>
      <c r="AH10" s="275" t="s">
        <v>12</v>
      </c>
      <c r="AI10" s="273" t="s">
        <v>107</v>
      </c>
      <c r="AJ10" s="274" t="s">
        <v>108</v>
      </c>
      <c r="AK10" s="275" t="s">
        <v>12</v>
      </c>
      <c r="AL10" s="273" t="s">
        <v>107</v>
      </c>
      <c r="AM10" s="274" t="s">
        <v>108</v>
      </c>
      <c r="AN10" s="275" t="s">
        <v>12</v>
      </c>
      <c r="AO10" s="273" t="s">
        <v>107</v>
      </c>
      <c r="AP10" s="274" t="s">
        <v>108</v>
      </c>
      <c r="AQ10" s="275" t="s">
        <v>12</v>
      </c>
      <c r="AR10" s="273" t="s">
        <v>107</v>
      </c>
      <c r="AS10" s="274" t="s">
        <v>108</v>
      </c>
      <c r="AT10" s="275" t="s">
        <v>12</v>
      </c>
      <c r="AU10" s="273" t="s">
        <v>107</v>
      </c>
      <c r="AV10" s="274" t="s">
        <v>108</v>
      </c>
      <c r="AW10" s="275" t="s">
        <v>12</v>
      </c>
      <c r="AX10" s="273" t="s">
        <v>107</v>
      </c>
      <c r="AY10" s="274" t="s">
        <v>108</v>
      </c>
      <c r="AZ10" s="275" t="s">
        <v>12</v>
      </c>
      <c r="BA10" s="273" t="s">
        <v>107</v>
      </c>
      <c r="BB10" s="274" t="s">
        <v>108</v>
      </c>
      <c r="BC10" s="275" t="s">
        <v>12</v>
      </c>
      <c r="BD10" s="273" t="s">
        <v>107</v>
      </c>
      <c r="BE10" s="274" t="s">
        <v>108</v>
      </c>
      <c r="BF10" s="275" t="s">
        <v>12</v>
      </c>
      <c r="BG10" s="273" t="s">
        <v>107</v>
      </c>
      <c r="BH10" s="274" t="s">
        <v>108</v>
      </c>
      <c r="BI10" s="275" t="s">
        <v>12</v>
      </c>
      <c r="BJ10" s="273" t="s">
        <v>107</v>
      </c>
      <c r="BK10" s="274" t="s">
        <v>108</v>
      </c>
      <c r="BL10" s="275" t="s">
        <v>12</v>
      </c>
      <c r="BM10" s="273" t="s">
        <v>107</v>
      </c>
      <c r="BN10" s="274" t="s">
        <v>108</v>
      </c>
      <c r="BO10" s="275" t="s">
        <v>12</v>
      </c>
      <c r="BP10" s="273" t="s">
        <v>107</v>
      </c>
      <c r="BQ10" s="274" t="s">
        <v>108</v>
      </c>
      <c r="BR10" s="275" t="s">
        <v>12</v>
      </c>
      <c r="BS10" s="273" t="s">
        <v>107</v>
      </c>
      <c r="BT10" s="274" t="s">
        <v>108</v>
      </c>
      <c r="BU10" s="275" t="s">
        <v>12</v>
      </c>
      <c r="BV10" s="273" t="s">
        <v>107</v>
      </c>
      <c r="BW10" s="274" t="s">
        <v>108</v>
      </c>
      <c r="BX10" s="275" t="s">
        <v>12</v>
      </c>
      <c r="BY10" s="273" t="s">
        <v>107</v>
      </c>
      <c r="BZ10" s="274" t="s">
        <v>108</v>
      </c>
      <c r="CA10" s="275" t="s">
        <v>12</v>
      </c>
      <c r="CB10" s="273" t="s">
        <v>107</v>
      </c>
      <c r="CC10" s="274" t="s">
        <v>108</v>
      </c>
      <c r="CD10" s="275" t="s">
        <v>12</v>
      </c>
      <c r="CE10" s="273" t="s">
        <v>107</v>
      </c>
      <c r="CF10" s="274" t="s">
        <v>108</v>
      </c>
      <c r="CG10" s="275" t="s">
        <v>12</v>
      </c>
      <c r="CH10" s="273" t="s">
        <v>107</v>
      </c>
      <c r="CI10" s="274" t="s">
        <v>108</v>
      </c>
      <c r="CJ10" s="275" t="s">
        <v>12</v>
      </c>
      <c r="CK10" s="273" t="s">
        <v>107</v>
      </c>
      <c r="CL10" s="274" t="s">
        <v>108</v>
      </c>
      <c r="CM10" s="275" t="s">
        <v>12</v>
      </c>
      <c r="CN10" s="273" t="s">
        <v>107</v>
      </c>
      <c r="CO10" s="274" t="s">
        <v>108</v>
      </c>
      <c r="CP10" s="275" t="s">
        <v>12</v>
      </c>
      <c r="CQ10" s="273" t="s">
        <v>107</v>
      </c>
      <c r="CR10" s="274" t="s">
        <v>108</v>
      </c>
      <c r="CS10" s="275" t="s">
        <v>12</v>
      </c>
      <c r="CT10" s="273" t="s">
        <v>107</v>
      </c>
      <c r="CU10" s="274" t="s">
        <v>108</v>
      </c>
      <c r="CV10" s="275" t="s">
        <v>12</v>
      </c>
      <c r="CW10" s="273" t="s">
        <v>107</v>
      </c>
      <c r="CX10" s="274" t="s">
        <v>108</v>
      </c>
      <c r="CY10" s="275" t="s">
        <v>12</v>
      </c>
      <c r="CZ10" s="273" t="s">
        <v>107</v>
      </c>
      <c r="DA10" s="274" t="s">
        <v>108</v>
      </c>
      <c r="DB10" s="275" t="s">
        <v>12</v>
      </c>
      <c r="DC10" s="273" t="s">
        <v>107</v>
      </c>
      <c r="DD10" s="274" t="s">
        <v>108</v>
      </c>
      <c r="DE10" s="275" t="s">
        <v>12</v>
      </c>
      <c r="DF10" s="273" t="s">
        <v>107</v>
      </c>
      <c r="DG10" s="274" t="s">
        <v>108</v>
      </c>
      <c r="DH10" s="275" t="s">
        <v>12</v>
      </c>
      <c r="DI10" s="273" t="s">
        <v>107</v>
      </c>
      <c r="DJ10" s="274" t="s">
        <v>108</v>
      </c>
      <c r="DK10" s="275" t="s">
        <v>12</v>
      </c>
      <c r="DL10" s="273" t="s">
        <v>107</v>
      </c>
      <c r="DM10" s="274" t="s">
        <v>108</v>
      </c>
      <c r="DN10" s="275" t="s">
        <v>12</v>
      </c>
      <c r="DO10" s="273" t="s">
        <v>107</v>
      </c>
      <c r="DP10" s="274" t="s">
        <v>108</v>
      </c>
      <c r="DQ10" s="275" t="s">
        <v>12</v>
      </c>
      <c r="DR10" s="273" t="s">
        <v>107</v>
      </c>
      <c r="DS10" s="274" t="s">
        <v>108</v>
      </c>
      <c r="DT10" s="275" t="s">
        <v>12</v>
      </c>
      <c r="DU10" s="273" t="s">
        <v>107</v>
      </c>
      <c r="DV10" s="274" t="s">
        <v>108</v>
      </c>
      <c r="DW10" s="275" t="s">
        <v>12</v>
      </c>
      <c r="DX10" s="273" t="s">
        <v>107</v>
      </c>
      <c r="DY10" s="274"/>
      <c r="DZ10" s="275"/>
      <c r="EA10" s="275"/>
      <c r="EB10" s="275" t="s">
        <v>109</v>
      </c>
      <c r="EC10" s="275" t="s">
        <v>109</v>
      </c>
      <c r="ED10" s="275" t="s">
        <v>12</v>
      </c>
      <c r="EE10" s="275" t="s">
        <v>108</v>
      </c>
      <c r="EG10" s="275" t="s">
        <v>109</v>
      </c>
      <c r="EH10" s="275" t="s">
        <v>12</v>
      </c>
      <c r="EI10" s="275" t="s">
        <v>108</v>
      </c>
      <c r="EJ10" s="275"/>
      <c r="EK10" s="275" t="s">
        <v>109</v>
      </c>
      <c r="EL10" s="275" t="s">
        <v>109</v>
      </c>
      <c r="EM10" s="275" t="s">
        <v>12</v>
      </c>
      <c r="EN10" s="275" t="s">
        <v>108</v>
      </c>
    </row>
    <row r="11" spans="1:147" x14ac:dyDescent="0.25">
      <c r="A11" s="255">
        <v>45748</v>
      </c>
      <c r="B11" s="241">
        <v>0</v>
      </c>
      <c r="C11" s="242">
        <v>4.6227739999999996E-2</v>
      </c>
      <c r="D11" s="241">
        <f>(B11*C11)/360</f>
        <v>0</v>
      </c>
      <c r="G11" s="241">
        <f>(E11*F11)/360</f>
        <v>0</v>
      </c>
      <c r="J11" s="241">
        <f>(H11*I11)/360</f>
        <v>0</v>
      </c>
      <c r="M11" s="241">
        <f>(K11*L11)/360</f>
        <v>0</v>
      </c>
      <c r="P11" s="241">
        <f>(N11*O11)/360</f>
        <v>0</v>
      </c>
      <c r="S11" s="241">
        <f>(Q11*R11)/360</f>
        <v>0</v>
      </c>
      <c r="V11" s="241">
        <f>(T11*U11)/360</f>
        <v>0</v>
      </c>
      <c r="Y11" s="241">
        <f>(W11*X11)/360</f>
        <v>0</v>
      </c>
      <c r="AB11" s="241">
        <f>(Z11*AA11)/360</f>
        <v>0</v>
      </c>
      <c r="AE11" s="241">
        <v>0</v>
      </c>
      <c r="AH11" s="241">
        <v>0</v>
      </c>
      <c r="AI11" s="256">
        <f>51650000</f>
        <v>51650000</v>
      </c>
      <c r="AJ11" s="257">
        <v>4.6100000000000002E-2</v>
      </c>
      <c r="AK11" s="241">
        <f>(AI11*AJ11)/360</f>
        <v>6614.0694444444443</v>
      </c>
      <c r="AL11" s="256">
        <f>12000000</f>
        <v>12000000</v>
      </c>
      <c r="AM11" s="257">
        <v>4.58E-2</v>
      </c>
      <c r="AN11" s="241">
        <f>(AL11*AM11)/360</f>
        <v>1526.6666666666667</v>
      </c>
      <c r="AO11" s="256">
        <f>35000000+20000000</f>
        <v>55000000</v>
      </c>
      <c r="AP11" s="257">
        <v>4.5999999999999999E-2</v>
      </c>
      <c r="AQ11" s="241">
        <f>(AO11*AP11)/360</f>
        <v>7027.7777777777774</v>
      </c>
      <c r="AR11" s="256">
        <f>88000000+88000000+50000000+45000000+55000000+30000000</f>
        <v>356000000</v>
      </c>
      <c r="AS11" s="257">
        <v>4.65E-2</v>
      </c>
      <c r="AT11" s="241">
        <f>(AR11*AS11)/360</f>
        <v>45983.333333333336</v>
      </c>
      <c r="AU11" s="241">
        <f>75000000</f>
        <v>75000000</v>
      </c>
      <c r="AV11" s="242">
        <v>4.6699999999999998E-2</v>
      </c>
      <c r="AW11" s="241">
        <f>(AU11*AV11)/360</f>
        <v>9729.1666666666661</v>
      </c>
      <c r="AX11" s="241">
        <f>25000000+75000000</f>
        <v>100000000</v>
      </c>
      <c r="AY11" s="242">
        <v>4.7E-2</v>
      </c>
      <c r="AZ11" s="241">
        <f>(AX11*AY11)/360</f>
        <v>13055.555555555555</v>
      </c>
      <c r="BC11" s="241">
        <f>(BA11*BB11)/360</f>
        <v>0</v>
      </c>
      <c r="BF11" s="241">
        <f>(BD11*BE11)/360</f>
        <v>0</v>
      </c>
      <c r="BI11" s="241">
        <f>(BG11*BH11)/360</f>
        <v>0</v>
      </c>
      <c r="BL11" s="241">
        <f>(BJ11*BK11)/360</f>
        <v>0</v>
      </c>
      <c r="BO11" s="241">
        <f>(BM11*BN11)/360</f>
        <v>0</v>
      </c>
      <c r="BR11" s="241">
        <f>(BP11*BQ11)/360</f>
        <v>0</v>
      </c>
      <c r="BU11" s="241">
        <f>(BS11*BT11)/360</f>
        <v>0</v>
      </c>
      <c r="BX11" s="241">
        <f>(BV11*BW11)/360</f>
        <v>0</v>
      </c>
      <c r="CA11" s="241">
        <f>(BY11*BZ11)/360</f>
        <v>0</v>
      </c>
      <c r="CD11" s="241">
        <f>(CB11*CC11)/360</f>
        <v>0</v>
      </c>
      <c r="CG11" s="241">
        <f>(CE11*CF11)/360</f>
        <v>0</v>
      </c>
      <c r="CJ11" s="241">
        <f>(CH11*CI11)/360</f>
        <v>0</v>
      </c>
      <c r="CM11" s="241">
        <f>(CK11*CL11)/360</f>
        <v>0</v>
      </c>
      <c r="CP11" s="241">
        <f>(CN11*CO11)/360</f>
        <v>0</v>
      </c>
      <c r="CS11" s="241">
        <f>(CQ11*CR11)/360</f>
        <v>0</v>
      </c>
      <c r="CV11" s="241">
        <f>(CT11*CU11)/360</f>
        <v>0</v>
      </c>
      <c r="CY11" s="241">
        <f>(CW11*CX11)/360</f>
        <v>0</v>
      </c>
      <c r="DB11" s="241">
        <f>(CZ11*DA11)/360</f>
        <v>0</v>
      </c>
      <c r="DE11" s="241">
        <f>(DC11*DD11)/360</f>
        <v>0</v>
      </c>
      <c r="DH11" s="241">
        <f>(DF11*DG11)/360</f>
        <v>0</v>
      </c>
      <c r="DK11" s="241">
        <f>(DI11*DJ11)/360</f>
        <v>0</v>
      </c>
      <c r="DN11" s="241">
        <f>(DL11*DM11)/360</f>
        <v>0</v>
      </c>
      <c r="DQ11" s="241">
        <f>(DO11*DP11)/360</f>
        <v>0</v>
      </c>
      <c r="DT11" s="241">
        <f>(DR11*DS11)/360</f>
        <v>0</v>
      </c>
      <c r="DW11" s="241">
        <f>(DU11*DV11)/360</f>
        <v>0</v>
      </c>
      <c r="DZ11" s="241"/>
      <c r="EA11" s="241"/>
      <c r="EB11" s="261">
        <f>B11+E11+H11+K11+N11+Q11+T11+W11+Z11+AC11+AF11+AL11+AO11+AR11+AU11+AX11+BA11+BD11+BG11+DU11+AI11+DR11+DO11+DL11+DI11+DF11+DC11+CZ11+CW11+CT11+CQ11+CN11+CK11+CH11+CE11+CB11+BY11+BV11+BS11+BP11+BM11+BJ11</f>
        <v>649650000</v>
      </c>
      <c r="EC11" s="261">
        <f>EB11-EK11+EL11</f>
        <v>0</v>
      </c>
      <c r="ED11" s="241">
        <f>D11+G11+J11+M11+P11+S11+V11+Y11+AB11+AE11+AH11+AK11+AN11+AQ11+AT11+AW11+AZ11+BC11+BF11+BI11+DW11+DT11+DQ11+DN11+DK11+DH11+DE11+DB11+CY11+CV11+CS11+CP11+CM11+CJ11+CG11+CD11+CA11+BX11+BU11+BR11+BO11+BL11</f>
        <v>83936.569444444438</v>
      </c>
      <c r="EE11" s="242">
        <f>IF(EB11&lt;&gt;0,((ED11/EB11)*360),0)</f>
        <v>4.6512991610867388E-2</v>
      </c>
      <c r="EG11" s="261">
        <f>Q11+T11+W11+Z11+AC11+AF11</f>
        <v>0</v>
      </c>
      <c r="EH11" s="241">
        <f>S11+V11+Y11+AB11+AE11+AH11</f>
        <v>0</v>
      </c>
      <c r="EI11" s="242">
        <f>IF(EG11&lt;&gt;0,((EH11/EG11)*360),0)</f>
        <v>0</v>
      </c>
      <c r="EJ11" s="242"/>
      <c r="EK11" s="261">
        <f>DR11+DL11+DI11+DF11+DC11+CZ11+CW11+CT11+CQ11+CN11+CK11+CH11+CE11+CB11+BY11+BV11+BS11+BP11+BM11+BJ11+BG11+BD11+BA11+AX11+AU11+AR11+AO11+AL11+AI11+DO11</f>
        <v>649650000</v>
      </c>
      <c r="EL11" s="261">
        <f>DX11</f>
        <v>0</v>
      </c>
      <c r="EM11" s="261">
        <f>DT11+DQ11+DN11+DK11+DH11+DE11+DB11+CY11+CV11+CS11+CP11+CM11+CJ11+CG11+CD11+CA11+BX11+BU11+BR11+BO11+BL11+BI11+BF11+BC11+AZ11+AW11+AT11+AQ11+AN11+AK11</f>
        <v>83936.569444444453</v>
      </c>
      <c r="EN11" s="242">
        <f>IF(EK11&lt;&gt;0,((EM11/EK11)*360),0)</f>
        <v>4.6512991610867388E-2</v>
      </c>
      <c r="EP11" s="241"/>
    </row>
    <row r="12" spans="1:147" x14ac:dyDescent="0.25">
      <c r="A12" s="255">
        <f>1+A11</f>
        <v>45749</v>
      </c>
      <c r="B12" s="241">
        <v>0</v>
      </c>
      <c r="C12" s="242">
        <v>4.6313920000000001E-2</v>
      </c>
      <c r="D12" s="241">
        <f t="shared" ref="D12:D40" si="0">(B12*C12)/360</f>
        <v>0</v>
      </c>
      <c r="G12" s="241">
        <f t="shared" ref="G12:G40" si="1">(E12*F12)/360</f>
        <v>0</v>
      </c>
      <c r="J12" s="241">
        <f t="shared" ref="J12:J40" si="2">(H12*I12)/360</f>
        <v>0</v>
      </c>
      <c r="M12" s="241">
        <f t="shared" ref="M12:M40" si="3">(K12*L12)/360</f>
        <v>0</v>
      </c>
      <c r="P12" s="241">
        <f t="shared" ref="P12:P40" si="4">(N12*O12)/360</f>
        <v>0</v>
      </c>
      <c r="S12" s="241">
        <f t="shared" ref="S12:S40" si="5">(Q12*R12)/360</f>
        <v>0</v>
      </c>
      <c r="V12" s="241">
        <f t="shared" ref="V12:V40" si="6">(T12*U12)/360</f>
        <v>0</v>
      </c>
      <c r="Y12" s="241">
        <f t="shared" ref="Y12:Y40" si="7">(W12*X12)/360</f>
        <v>0</v>
      </c>
      <c r="AB12" s="241">
        <f t="shared" ref="AB12:AB40" si="8">(Z12*AA12)/360</f>
        <v>0</v>
      </c>
      <c r="AE12" s="241">
        <v>0</v>
      </c>
      <c r="AH12" s="241">
        <v>0</v>
      </c>
      <c r="AI12" s="256">
        <f>34850000+45000000</f>
        <v>79850000</v>
      </c>
      <c r="AJ12" s="257">
        <v>4.6100000000000002E-2</v>
      </c>
      <c r="AK12" s="241">
        <f t="shared" ref="AK12:AK40" si="9">(AI12*AJ12)/360</f>
        <v>10225.236111111111</v>
      </c>
      <c r="AL12" s="256">
        <f>12000000</f>
        <v>12000000</v>
      </c>
      <c r="AM12" s="257">
        <v>4.58E-2</v>
      </c>
      <c r="AN12" s="241">
        <f t="shared" ref="AN12:AN40" si="10">(AL12*AM12)/360</f>
        <v>1526.6666666666667</v>
      </c>
      <c r="AO12" s="256">
        <f>20000000</f>
        <v>20000000</v>
      </c>
      <c r="AP12" s="257">
        <v>4.5999999999999999E-2</v>
      </c>
      <c r="AQ12" s="241">
        <f t="shared" ref="AQ12:AQ40" si="11">(AO12*AP12)/360</f>
        <v>2555.5555555555557</v>
      </c>
      <c r="AR12" s="256">
        <f>88000000+88000000+50000000+45000000+55000000+30000000</f>
        <v>356000000</v>
      </c>
      <c r="AS12" s="257">
        <v>4.65E-2</v>
      </c>
      <c r="AT12" s="241">
        <f t="shared" ref="AT12:AT40" si="12">(AR12*AS12)/360</f>
        <v>45983.333333333336</v>
      </c>
      <c r="AU12" s="241">
        <f>75000000</f>
        <v>75000000</v>
      </c>
      <c r="AV12" s="242">
        <v>4.6699999999999998E-2</v>
      </c>
      <c r="AW12" s="241">
        <f t="shared" ref="AW12:AW40" si="13">(AU12*AV12)/360</f>
        <v>9729.1666666666661</v>
      </c>
      <c r="AX12" s="241">
        <f>25000000+75000000</f>
        <v>100000000</v>
      </c>
      <c r="AY12" s="242">
        <v>4.7E-2</v>
      </c>
      <c r="AZ12" s="241">
        <f t="shared" ref="AZ12:AZ40" si="14">(AX12*AY12)/360</f>
        <v>13055.555555555555</v>
      </c>
      <c r="BC12" s="241">
        <f t="shared" ref="BC12:BC40" si="15">(BA12*BB12)/360</f>
        <v>0</v>
      </c>
      <c r="BF12" s="241">
        <f t="shared" ref="BF12:BF40" si="16">(BD12*BE12)/360</f>
        <v>0</v>
      </c>
      <c r="BI12" s="241">
        <f t="shared" ref="BI12:BI40" si="17">(BG12*BH12)/360</f>
        <v>0</v>
      </c>
      <c r="BL12" s="241">
        <f t="shared" ref="BL12:BL40" si="18">(BJ12*BK12)/360</f>
        <v>0</v>
      </c>
      <c r="BO12" s="241">
        <f t="shared" ref="BO12:BO40" si="19">(BM12*BN12)/360</f>
        <v>0</v>
      </c>
      <c r="BR12" s="241">
        <f t="shared" ref="BR12:BR40" si="20">(BP12*BQ12)/360</f>
        <v>0</v>
      </c>
      <c r="BU12" s="241">
        <f t="shared" ref="BU12:BU40" si="21">(BS12*BT12)/360</f>
        <v>0</v>
      </c>
      <c r="BX12" s="241">
        <f t="shared" ref="BX12:BX40" si="22">(BV12*BW12)/360</f>
        <v>0</v>
      </c>
      <c r="CA12" s="241">
        <f t="shared" ref="CA12:CA40" si="23">(BY12*BZ12)/360</f>
        <v>0</v>
      </c>
      <c r="CD12" s="241">
        <f t="shared" ref="CD12:CD40" si="24">(CB12*CC12)/360</f>
        <v>0</v>
      </c>
      <c r="CG12" s="241">
        <f t="shared" ref="CG12:CG40" si="25">(CE12*CF12)/360</f>
        <v>0</v>
      </c>
      <c r="CJ12" s="241">
        <f t="shared" ref="CJ12:CJ40" si="26">(CH12*CI12)/360</f>
        <v>0</v>
      </c>
      <c r="CM12" s="241">
        <f t="shared" ref="CM12:CM40" si="27">(CK12*CL12)/360</f>
        <v>0</v>
      </c>
      <c r="CP12" s="241">
        <f t="shared" ref="CP12:CP40" si="28">(CN12*CO12)/360</f>
        <v>0</v>
      </c>
      <c r="CS12" s="241">
        <f t="shared" ref="CS12:CS40" si="29">(CQ12*CR12)/360</f>
        <v>0</v>
      </c>
      <c r="CV12" s="241">
        <f t="shared" ref="CV12:CV40" si="30">(CT12*CU12)/360</f>
        <v>0</v>
      </c>
      <c r="CY12" s="241">
        <f t="shared" ref="CY12:CY40" si="31">(CW12*CX12)/360</f>
        <v>0</v>
      </c>
      <c r="DB12" s="241">
        <f t="shared" ref="DB12:DB40" si="32">(CZ12*DA12)/360</f>
        <v>0</v>
      </c>
      <c r="DE12" s="241">
        <f t="shared" ref="DE12:DE40" si="33">(DC12*DD12)/360</f>
        <v>0</v>
      </c>
      <c r="DH12" s="241">
        <f t="shared" ref="DH12:DH40" si="34">(DF12*DG12)/360</f>
        <v>0</v>
      </c>
      <c r="DK12" s="241">
        <f t="shared" ref="DK12:DK40" si="35">(DI12*DJ12)/360</f>
        <v>0</v>
      </c>
      <c r="DN12" s="241">
        <f t="shared" ref="DN12:DN40" si="36">(DL12*DM12)/360</f>
        <v>0</v>
      </c>
      <c r="DQ12" s="241">
        <f t="shared" ref="DQ12:DQ40" si="37">(DO12*DP12)/360</f>
        <v>0</v>
      </c>
      <c r="DT12" s="241">
        <f t="shared" ref="DT12:DT40" si="38">(DR12*DS12)/360</f>
        <v>0</v>
      </c>
      <c r="DW12" s="241">
        <f t="shared" ref="DW12:DW40" si="39">(DU12*DV12)/360</f>
        <v>0</v>
      </c>
      <c r="DZ12" s="241"/>
      <c r="EA12" s="241"/>
      <c r="EB12" s="261">
        <f t="shared" ref="EB12:EB40" si="40">B12+E12+H12+K12+N12+Q12+T12+W12+Z12+AC12+AF12+AL12+AO12+AR12+AU12+AX12+BA12+BD12+BG12+DU12+AI12+DR12+DO12+DL12+DI12+DF12+DC12+CZ12+CW12+CT12+CQ12+CN12+CK12+CH12+CE12+CB12+BY12+BV12+BS12+BP12+BM12+BJ12</f>
        <v>642850000</v>
      </c>
      <c r="EC12" s="261">
        <f t="shared" ref="EC12:EC40" si="41">EB12-EK12+EL12</f>
        <v>0</v>
      </c>
      <c r="ED12" s="241">
        <f t="shared" ref="ED12:ED40" si="42">D12+G12+J12+M12+P12+S12+V12+Y12+AB12+AE12+AH12+AK12+AN12+AQ12+AT12+AW12+AZ12+BC12+BF12+BI12+DW12+DT12+DQ12+DN12+DK12+DH12+DE12+DB12+CY12+CV12+CS12+CP12+CM12+CJ12+CG12+CD12+CA12+BX12+BU12+BR12+BO12+BL12</f>
        <v>83075.513888888905</v>
      </c>
      <c r="EE12" s="242">
        <f t="shared" ref="EE12:EE40" si="43">IF(EB12&lt;&gt;0,((ED12/EB12)*360),0)</f>
        <v>4.6522804697829989E-2</v>
      </c>
      <c r="EG12" s="261">
        <f t="shared" ref="EG12:EG40" si="44">Q12+T12+W12+Z12+AC12+AF12</f>
        <v>0</v>
      </c>
      <c r="EH12" s="241">
        <f t="shared" ref="EH12:EH40" si="45">S12+V12+Y12+AB12+AE12+AH12</f>
        <v>0</v>
      </c>
      <c r="EI12" s="242">
        <f t="shared" ref="EI12:EI40" si="46">IF(EG12&lt;&gt;0,((EH12/EG12)*360),0)</f>
        <v>0</v>
      </c>
      <c r="EJ12" s="242"/>
      <c r="EK12" s="261">
        <f t="shared" ref="EK12:EK40" si="47">DR12+DL12+DI12+DF12+DC12+CZ12+CW12+CT12+CQ12+CN12+CK12+CH12+CE12+CB12+BY12+BV12+BS12+BP12+BM12+BJ12+BG12+BD12+BA12+AX12+AU12+AR12+AO12+AL12+AI12+DO12</f>
        <v>642850000</v>
      </c>
      <c r="EL12" s="261">
        <f t="shared" ref="EL12:EL40" si="48">DX12</f>
        <v>0</v>
      </c>
      <c r="EM12" s="261">
        <f t="shared" ref="EM12:EM40" si="49">DT12+DQ12+DN12+DK12+DH12+DE12+DB12+CY12+CV12+CS12+CP12+CM12+CJ12+CG12+CD12+CA12+BX12+BU12+BR12+BO12+BL12+BI12+BF12+BC12+AZ12+AW12+AT12+AQ12+AN12+AK12</f>
        <v>83075.513888888905</v>
      </c>
      <c r="EN12" s="242">
        <f t="shared" ref="EN12:EN40" si="50">IF(EK12&lt;&gt;0,((EM12/EK12)*360),0)</f>
        <v>4.6522804697829989E-2</v>
      </c>
      <c r="EP12" s="241"/>
    </row>
    <row r="13" spans="1:147" x14ac:dyDescent="0.25">
      <c r="A13" s="255">
        <f t="shared" ref="A13:A40" si="51">1+A12</f>
        <v>45750</v>
      </c>
      <c r="B13" s="241">
        <v>0</v>
      </c>
      <c r="C13" s="242">
        <v>4.6469319999999995E-2</v>
      </c>
      <c r="D13" s="241">
        <f t="shared" si="0"/>
        <v>0</v>
      </c>
      <c r="G13" s="241">
        <f t="shared" si="1"/>
        <v>0</v>
      </c>
      <c r="J13" s="241">
        <f t="shared" si="2"/>
        <v>0</v>
      </c>
      <c r="M13" s="241">
        <f t="shared" si="3"/>
        <v>0</v>
      </c>
      <c r="P13" s="241">
        <f t="shared" si="4"/>
        <v>0</v>
      </c>
      <c r="S13" s="241">
        <f t="shared" si="5"/>
        <v>0</v>
      </c>
      <c r="V13" s="241">
        <f t="shared" si="6"/>
        <v>0</v>
      </c>
      <c r="Y13" s="241">
        <f t="shared" si="7"/>
        <v>0</v>
      </c>
      <c r="AB13" s="241">
        <f t="shared" si="8"/>
        <v>0</v>
      </c>
      <c r="AE13" s="241">
        <v>0</v>
      </c>
      <c r="AH13" s="241">
        <v>0</v>
      </c>
      <c r="AI13" s="256">
        <f>60000000+32900000</f>
        <v>92900000</v>
      </c>
      <c r="AJ13" s="257">
        <v>4.5900000000000003E-2</v>
      </c>
      <c r="AK13" s="241">
        <f t="shared" si="9"/>
        <v>11844.75</v>
      </c>
      <c r="AL13" s="256">
        <f>12000000</f>
        <v>12000000</v>
      </c>
      <c r="AM13" s="257">
        <v>4.58E-2</v>
      </c>
      <c r="AN13" s="241">
        <f t="shared" si="10"/>
        <v>1526.6666666666667</v>
      </c>
      <c r="AO13" s="256"/>
      <c r="AP13" s="257"/>
      <c r="AQ13" s="241">
        <f t="shared" si="11"/>
        <v>0</v>
      </c>
      <c r="AR13" s="256">
        <f>88000000+88000000+50000000+45000000+55000000+30000000</f>
        <v>356000000</v>
      </c>
      <c r="AS13" s="257">
        <v>4.65E-2</v>
      </c>
      <c r="AT13" s="241">
        <f t="shared" si="12"/>
        <v>45983.333333333336</v>
      </c>
      <c r="AU13" s="241">
        <f>75000000</f>
        <v>75000000</v>
      </c>
      <c r="AV13" s="242">
        <v>4.6699999999999998E-2</v>
      </c>
      <c r="AW13" s="241">
        <f t="shared" si="13"/>
        <v>9729.1666666666661</v>
      </c>
      <c r="AX13" s="241">
        <f>25000000+75000000</f>
        <v>100000000</v>
      </c>
      <c r="AY13" s="242">
        <v>4.7E-2</v>
      </c>
      <c r="AZ13" s="241">
        <f t="shared" si="14"/>
        <v>13055.555555555555</v>
      </c>
      <c r="BC13" s="241">
        <f t="shared" si="15"/>
        <v>0</v>
      </c>
      <c r="BF13" s="241">
        <f t="shared" si="16"/>
        <v>0</v>
      </c>
      <c r="BI13" s="241">
        <f t="shared" si="17"/>
        <v>0</v>
      </c>
      <c r="BL13" s="241">
        <f t="shared" si="18"/>
        <v>0</v>
      </c>
      <c r="BO13" s="241">
        <f t="shared" si="19"/>
        <v>0</v>
      </c>
      <c r="BR13" s="241">
        <f t="shared" si="20"/>
        <v>0</v>
      </c>
      <c r="BU13" s="241">
        <f t="shared" si="21"/>
        <v>0</v>
      </c>
      <c r="BX13" s="241">
        <f t="shared" si="22"/>
        <v>0</v>
      </c>
      <c r="CA13" s="241">
        <f t="shared" si="23"/>
        <v>0</v>
      </c>
      <c r="CD13" s="241">
        <f t="shared" si="24"/>
        <v>0</v>
      </c>
      <c r="CG13" s="241">
        <f t="shared" si="25"/>
        <v>0</v>
      </c>
      <c r="CJ13" s="241">
        <f t="shared" si="26"/>
        <v>0</v>
      </c>
      <c r="CM13" s="241">
        <f t="shared" si="27"/>
        <v>0</v>
      </c>
      <c r="CP13" s="241">
        <f t="shared" si="28"/>
        <v>0</v>
      </c>
      <c r="CS13" s="241">
        <f t="shared" si="29"/>
        <v>0</v>
      </c>
      <c r="CV13" s="241">
        <f t="shared" si="30"/>
        <v>0</v>
      </c>
      <c r="CY13" s="241">
        <f t="shared" si="31"/>
        <v>0</v>
      </c>
      <c r="DB13" s="241">
        <f t="shared" si="32"/>
        <v>0</v>
      </c>
      <c r="DE13" s="241">
        <f t="shared" si="33"/>
        <v>0</v>
      </c>
      <c r="DH13" s="241">
        <f t="shared" si="34"/>
        <v>0</v>
      </c>
      <c r="DK13" s="241">
        <f t="shared" si="35"/>
        <v>0</v>
      </c>
      <c r="DN13" s="241">
        <f t="shared" si="36"/>
        <v>0</v>
      </c>
      <c r="DQ13" s="241">
        <f t="shared" si="37"/>
        <v>0</v>
      </c>
      <c r="DT13" s="241">
        <f t="shared" si="38"/>
        <v>0</v>
      </c>
      <c r="DW13" s="241">
        <f t="shared" si="39"/>
        <v>0</v>
      </c>
      <c r="DZ13" s="241"/>
      <c r="EA13" s="241"/>
      <c r="EB13" s="261">
        <f t="shared" si="40"/>
        <v>635900000</v>
      </c>
      <c r="EC13" s="261">
        <f t="shared" si="41"/>
        <v>0</v>
      </c>
      <c r="ED13" s="241">
        <f t="shared" si="42"/>
        <v>82139.472222222219</v>
      </c>
      <c r="EE13" s="242">
        <f t="shared" si="43"/>
        <v>4.6501352413901555E-2</v>
      </c>
      <c r="EG13" s="261">
        <f t="shared" si="44"/>
        <v>0</v>
      </c>
      <c r="EH13" s="241">
        <f t="shared" si="45"/>
        <v>0</v>
      </c>
      <c r="EI13" s="242">
        <f t="shared" si="46"/>
        <v>0</v>
      </c>
      <c r="EJ13" s="242"/>
      <c r="EK13" s="261">
        <f t="shared" si="47"/>
        <v>635900000</v>
      </c>
      <c r="EL13" s="261">
        <f t="shared" si="48"/>
        <v>0</v>
      </c>
      <c r="EM13" s="261">
        <f t="shared" si="49"/>
        <v>82139.472222222234</v>
      </c>
      <c r="EN13" s="242">
        <f t="shared" si="50"/>
        <v>4.6501352413901562E-2</v>
      </c>
      <c r="EP13" s="241"/>
    </row>
    <row r="14" spans="1:147" x14ac:dyDescent="0.25">
      <c r="A14" s="255">
        <f t="shared" si="51"/>
        <v>45751</v>
      </c>
      <c r="B14" s="241">
        <v>0</v>
      </c>
      <c r="C14" s="242">
        <v>4.6421840000000006E-2</v>
      </c>
      <c r="D14" s="241">
        <f t="shared" si="0"/>
        <v>0</v>
      </c>
      <c r="G14" s="241">
        <f t="shared" si="1"/>
        <v>0</v>
      </c>
      <c r="J14" s="241">
        <f t="shared" si="2"/>
        <v>0</v>
      </c>
      <c r="M14" s="241">
        <f t="shared" si="3"/>
        <v>0</v>
      </c>
      <c r="P14" s="241">
        <f t="shared" si="4"/>
        <v>0</v>
      </c>
      <c r="S14" s="241">
        <f t="shared" si="5"/>
        <v>0</v>
      </c>
      <c r="V14" s="241">
        <f t="shared" si="6"/>
        <v>0</v>
      </c>
      <c r="Y14" s="241">
        <f t="shared" si="7"/>
        <v>0</v>
      </c>
      <c r="AB14" s="241">
        <f t="shared" si="8"/>
        <v>0</v>
      </c>
      <c r="AE14" s="241">
        <v>0</v>
      </c>
      <c r="AH14" s="241">
        <v>0</v>
      </c>
      <c r="AI14" s="256">
        <f>25000000+55000000+40000000+9875000</f>
        <v>129875000</v>
      </c>
      <c r="AJ14" s="257">
        <v>4.5699999999999998E-2</v>
      </c>
      <c r="AK14" s="241">
        <f t="shared" si="9"/>
        <v>16486.909722222223</v>
      </c>
      <c r="AL14" s="256"/>
      <c r="AM14" s="257"/>
      <c r="AN14" s="241">
        <f t="shared" si="10"/>
        <v>0</v>
      </c>
      <c r="AO14" s="256"/>
      <c r="AP14" s="257"/>
      <c r="AQ14" s="241">
        <f t="shared" si="11"/>
        <v>0</v>
      </c>
      <c r="AR14" s="256"/>
      <c r="AS14" s="257"/>
      <c r="AT14" s="241">
        <f t="shared" si="12"/>
        <v>0</v>
      </c>
      <c r="AW14" s="241">
        <f t="shared" si="13"/>
        <v>0</v>
      </c>
      <c r="AZ14" s="241">
        <f t="shared" si="14"/>
        <v>0</v>
      </c>
      <c r="BC14" s="241">
        <f t="shared" si="15"/>
        <v>0</v>
      </c>
      <c r="BF14" s="241">
        <f t="shared" si="16"/>
        <v>0</v>
      </c>
      <c r="BI14" s="241">
        <f t="shared" si="17"/>
        <v>0</v>
      </c>
      <c r="BL14" s="241">
        <f t="shared" si="18"/>
        <v>0</v>
      </c>
      <c r="BO14" s="241">
        <f t="shared" si="19"/>
        <v>0</v>
      </c>
      <c r="BR14" s="241">
        <f t="shared" si="20"/>
        <v>0</v>
      </c>
      <c r="BU14" s="241">
        <f t="shared" si="21"/>
        <v>0</v>
      </c>
      <c r="BX14" s="241">
        <f t="shared" si="22"/>
        <v>0</v>
      </c>
      <c r="CA14" s="241">
        <f t="shared" si="23"/>
        <v>0</v>
      </c>
      <c r="CD14" s="241">
        <f t="shared" si="24"/>
        <v>0</v>
      </c>
      <c r="CG14" s="241">
        <f t="shared" si="25"/>
        <v>0</v>
      </c>
      <c r="CJ14" s="241">
        <f t="shared" si="26"/>
        <v>0</v>
      </c>
      <c r="CM14" s="241">
        <f t="shared" si="27"/>
        <v>0</v>
      </c>
      <c r="CP14" s="241">
        <f t="shared" si="28"/>
        <v>0</v>
      </c>
      <c r="CS14" s="241">
        <f t="shared" si="29"/>
        <v>0</v>
      </c>
      <c r="CV14" s="241">
        <f t="shared" si="30"/>
        <v>0</v>
      </c>
      <c r="CY14" s="241">
        <f t="shared" si="31"/>
        <v>0</v>
      </c>
      <c r="DB14" s="241">
        <f t="shared" si="32"/>
        <v>0</v>
      </c>
      <c r="DE14" s="241">
        <f t="shared" si="33"/>
        <v>0</v>
      </c>
      <c r="DH14" s="241">
        <f t="shared" si="34"/>
        <v>0</v>
      </c>
      <c r="DK14" s="241">
        <f t="shared" si="35"/>
        <v>0</v>
      </c>
      <c r="DN14" s="241">
        <f t="shared" si="36"/>
        <v>0</v>
      </c>
      <c r="DQ14" s="241">
        <f t="shared" si="37"/>
        <v>0</v>
      </c>
      <c r="DT14" s="241">
        <f t="shared" si="38"/>
        <v>0</v>
      </c>
      <c r="DW14" s="241">
        <f t="shared" si="39"/>
        <v>0</v>
      </c>
      <c r="DZ14" s="241"/>
      <c r="EA14" s="241"/>
      <c r="EB14" s="261">
        <f t="shared" si="40"/>
        <v>129875000</v>
      </c>
      <c r="EC14" s="261">
        <f t="shared" si="41"/>
        <v>0</v>
      </c>
      <c r="ED14" s="241">
        <f t="shared" si="42"/>
        <v>16486.909722222223</v>
      </c>
      <c r="EE14" s="242">
        <f t="shared" si="43"/>
        <v>4.5699999999999998E-2</v>
      </c>
      <c r="EG14" s="261">
        <f t="shared" si="44"/>
        <v>0</v>
      </c>
      <c r="EH14" s="241">
        <f t="shared" si="45"/>
        <v>0</v>
      </c>
      <c r="EI14" s="242">
        <f t="shared" si="46"/>
        <v>0</v>
      </c>
      <c r="EJ14" s="242"/>
      <c r="EK14" s="261">
        <f t="shared" si="47"/>
        <v>129875000</v>
      </c>
      <c r="EL14" s="261">
        <f t="shared" si="48"/>
        <v>0</v>
      </c>
      <c r="EM14" s="261">
        <f t="shared" si="49"/>
        <v>16486.909722222223</v>
      </c>
      <c r="EN14" s="242">
        <f t="shared" si="50"/>
        <v>4.5699999999999998E-2</v>
      </c>
      <c r="EP14" s="241"/>
    </row>
    <row r="15" spans="1:147" x14ac:dyDescent="0.25">
      <c r="A15" s="255">
        <f t="shared" si="51"/>
        <v>45752</v>
      </c>
      <c r="B15" s="241">
        <v>0</v>
      </c>
      <c r="C15" s="242">
        <v>4.6421840000000006E-2</v>
      </c>
      <c r="D15" s="241">
        <f t="shared" si="0"/>
        <v>0</v>
      </c>
      <c r="G15" s="241">
        <f t="shared" si="1"/>
        <v>0</v>
      </c>
      <c r="J15" s="241">
        <f t="shared" si="2"/>
        <v>0</v>
      </c>
      <c r="M15" s="241">
        <f t="shared" si="3"/>
        <v>0</v>
      </c>
      <c r="P15" s="241">
        <f t="shared" si="4"/>
        <v>0</v>
      </c>
      <c r="S15" s="241">
        <f t="shared" si="5"/>
        <v>0</v>
      </c>
      <c r="V15" s="241">
        <f t="shared" si="6"/>
        <v>0</v>
      </c>
      <c r="Y15" s="241">
        <f t="shared" si="7"/>
        <v>0</v>
      </c>
      <c r="AB15" s="241">
        <f t="shared" si="8"/>
        <v>0</v>
      </c>
      <c r="AE15" s="241">
        <v>0</v>
      </c>
      <c r="AH15" s="241">
        <v>0</v>
      </c>
      <c r="AI15" s="256">
        <f>25000000+55000000+40000000+9875000</f>
        <v>129875000</v>
      </c>
      <c r="AJ15" s="257">
        <v>4.5699999999999998E-2</v>
      </c>
      <c r="AK15" s="241">
        <f t="shared" si="9"/>
        <v>16486.909722222223</v>
      </c>
      <c r="AL15" s="256"/>
      <c r="AM15" s="257"/>
      <c r="AN15" s="241">
        <f t="shared" si="10"/>
        <v>0</v>
      </c>
      <c r="AO15" s="256"/>
      <c r="AP15" s="257"/>
      <c r="AQ15" s="241">
        <f t="shared" si="11"/>
        <v>0</v>
      </c>
      <c r="AR15" s="256"/>
      <c r="AS15" s="257"/>
      <c r="AT15" s="241">
        <f t="shared" si="12"/>
        <v>0</v>
      </c>
      <c r="AW15" s="241">
        <f t="shared" si="13"/>
        <v>0</v>
      </c>
      <c r="AZ15" s="241">
        <f t="shared" si="14"/>
        <v>0</v>
      </c>
      <c r="BC15" s="241">
        <f t="shared" si="15"/>
        <v>0</v>
      </c>
      <c r="BF15" s="241">
        <f t="shared" si="16"/>
        <v>0</v>
      </c>
      <c r="BI15" s="241">
        <f t="shared" si="17"/>
        <v>0</v>
      </c>
      <c r="BL15" s="241">
        <f t="shared" si="18"/>
        <v>0</v>
      </c>
      <c r="BO15" s="241">
        <f t="shared" si="19"/>
        <v>0</v>
      </c>
      <c r="BR15" s="241">
        <f t="shared" si="20"/>
        <v>0</v>
      </c>
      <c r="BU15" s="241">
        <f t="shared" si="21"/>
        <v>0</v>
      </c>
      <c r="BX15" s="241">
        <f t="shared" si="22"/>
        <v>0</v>
      </c>
      <c r="CA15" s="241">
        <f t="shared" si="23"/>
        <v>0</v>
      </c>
      <c r="CD15" s="241">
        <f t="shared" si="24"/>
        <v>0</v>
      </c>
      <c r="CG15" s="241">
        <f t="shared" si="25"/>
        <v>0</v>
      </c>
      <c r="CJ15" s="241">
        <f t="shared" si="26"/>
        <v>0</v>
      </c>
      <c r="CM15" s="241">
        <f t="shared" si="27"/>
        <v>0</v>
      </c>
      <c r="CP15" s="241">
        <f t="shared" si="28"/>
        <v>0</v>
      </c>
      <c r="CS15" s="241">
        <f t="shared" si="29"/>
        <v>0</v>
      </c>
      <c r="CV15" s="241">
        <f t="shared" si="30"/>
        <v>0</v>
      </c>
      <c r="CY15" s="241">
        <f t="shared" si="31"/>
        <v>0</v>
      </c>
      <c r="DB15" s="241">
        <f t="shared" si="32"/>
        <v>0</v>
      </c>
      <c r="DE15" s="241">
        <f t="shared" si="33"/>
        <v>0</v>
      </c>
      <c r="DH15" s="241">
        <f t="shared" si="34"/>
        <v>0</v>
      </c>
      <c r="DK15" s="241">
        <f t="shared" si="35"/>
        <v>0</v>
      </c>
      <c r="DN15" s="241">
        <f t="shared" si="36"/>
        <v>0</v>
      </c>
      <c r="DQ15" s="241">
        <f t="shared" si="37"/>
        <v>0</v>
      </c>
      <c r="DT15" s="241">
        <f t="shared" si="38"/>
        <v>0</v>
      </c>
      <c r="DW15" s="241">
        <f t="shared" si="39"/>
        <v>0</v>
      </c>
      <c r="DZ15" s="241"/>
      <c r="EA15" s="241"/>
      <c r="EB15" s="261">
        <f t="shared" si="40"/>
        <v>129875000</v>
      </c>
      <c r="EC15" s="261">
        <f t="shared" si="41"/>
        <v>0</v>
      </c>
      <c r="ED15" s="241">
        <f t="shared" si="42"/>
        <v>16486.909722222223</v>
      </c>
      <c r="EE15" s="242">
        <f t="shared" si="43"/>
        <v>4.5699999999999998E-2</v>
      </c>
      <c r="EG15" s="261">
        <f t="shared" si="44"/>
        <v>0</v>
      </c>
      <c r="EH15" s="241">
        <f t="shared" si="45"/>
        <v>0</v>
      </c>
      <c r="EI15" s="242">
        <f t="shared" si="46"/>
        <v>0</v>
      </c>
      <c r="EJ15" s="242"/>
      <c r="EK15" s="261">
        <f t="shared" si="47"/>
        <v>129875000</v>
      </c>
      <c r="EL15" s="261">
        <f t="shared" si="48"/>
        <v>0</v>
      </c>
      <c r="EM15" s="261">
        <f t="shared" si="49"/>
        <v>16486.909722222223</v>
      </c>
      <c r="EN15" s="242">
        <f t="shared" si="50"/>
        <v>4.5699999999999998E-2</v>
      </c>
      <c r="EP15" s="241"/>
    </row>
    <row r="16" spans="1:147" x14ac:dyDescent="0.25">
      <c r="A16" s="255">
        <f t="shared" si="51"/>
        <v>45753</v>
      </c>
      <c r="B16" s="241">
        <v>0</v>
      </c>
      <c r="C16" s="242">
        <v>4.6421840000000006E-2</v>
      </c>
      <c r="D16" s="241">
        <f t="shared" si="0"/>
        <v>0</v>
      </c>
      <c r="G16" s="241">
        <f t="shared" si="1"/>
        <v>0</v>
      </c>
      <c r="J16" s="241">
        <f t="shared" si="2"/>
        <v>0</v>
      </c>
      <c r="M16" s="241">
        <f t="shared" si="3"/>
        <v>0</v>
      </c>
      <c r="P16" s="241">
        <f t="shared" si="4"/>
        <v>0</v>
      </c>
      <c r="S16" s="241">
        <f t="shared" si="5"/>
        <v>0</v>
      </c>
      <c r="V16" s="241">
        <f t="shared" si="6"/>
        <v>0</v>
      </c>
      <c r="Y16" s="241">
        <f t="shared" si="7"/>
        <v>0</v>
      </c>
      <c r="AB16" s="241">
        <f t="shared" si="8"/>
        <v>0</v>
      </c>
      <c r="AE16" s="241">
        <v>0</v>
      </c>
      <c r="AH16" s="241">
        <v>0</v>
      </c>
      <c r="AI16" s="256">
        <f>25000000+55000000+40000000+9875000</f>
        <v>129875000</v>
      </c>
      <c r="AJ16" s="257">
        <v>4.5699999999999998E-2</v>
      </c>
      <c r="AK16" s="241">
        <f t="shared" si="9"/>
        <v>16486.909722222223</v>
      </c>
      <c r="AL16" s="256"/>
      <c r="AM16" s="257"/>
      <c r="AN16" s="241">
        <f t="shared" si="10"/>
        <v>0</v>
      </c>
      <c r="AO16" s="256"/>
      <c r="AP16" s="257"/>
      <c r="AQ16" s="241">
        <f t="shared" si="11"/>
        <v>0</v>
      </c>
      <c r="AR16" s="256"/>
      <c r="AS16" s="257"/>
      <c r="AT16" s="241">
        <f t="shared" si="12"/>
        <v>0</v>
      </c>
      <c r="AW16" s="241">
        <f t="shared" si="13"/>
        <v>0</v>
      </c>
      <c r="AZ16" s="241">
        <f t="shared" si="14"/>
        <v>0</v>
      </c>
      <c r="BC16" s="241">
        <f t="shared" si="15"/>
        <v>0</v>
      </c>
      <c r="BF16" s="241">
        <f t="shared" si="16"/>
        <v>0</v>
      </c>
      <c r="BI16" s="241">
        <f t="shared" si="17"/>
        <v>0</v>
      </c>
      <c r="BL16" s="241">
        <f t="shared" si="18"/>
        <v>0</v>
      </c>
      <c r="BO16" s="241">
        <f t="shared" si="19"/>
        <v>0</v>
      </c>
      <c r="BR16" s="241">
        <f t="shared" si="20"/>
        <v>0</v>
      </c>
      <c r="BU16" s="241">
        <f t="shared" si="21"/>
        <v>0</v>
      </c>
      <c r="BX16" s="241">
        <f t="shared" si="22"/>
        <v>0</v>
      </c>
      <c r="CA16" s="241">
        <f t="shared" si="23"/>
        <v>0</v>
      </c>
      <c r="CD16" s="241">
        <f t="shared" si="24"/>
        <v>0</v>
      </c>
      <c r="CG16" s="241">
        <f t="shared" si="25"/>
        <v>0</v>
      </c>
      <c r="CJ16" s="241">
        <f t="shared" si="26"/>
        <v>0</v>
      </c>
      <c r="CM16" s="241">
        <f t="shared" si="27"/>
        <v>0</v>
      </c>
      <c r="CP16" s="241">
        <f t="shared" si="28"/>
        <v>0</v>
      </c>
      <c r="CS16" s="241">
        <f t="shared" si="29"/>
        <v>0</v>
      </c>
      <c r="CV16" s="241">
        <f t="shared" si="30"/>
        <v>0</v>
      </c>
      <c r="CY16" s="241">
        <f t="shared" si="31"/>
        <v>0</v>
      </c>
      <c r="DB16" s="241">
        <f t="shared" si="32"/>
        <v>0</v>
      </c>
      <c r="DE16" s="241">
        <f t="shared" si="33"/>
        <v>0</v>
      </c>
      <c r="DH16" s="241">
        <f t="shared" si="34"/>
        <v>0</v>
      </c>
      <c r="DK16" s="241">
        <f t="shared" si="35"/>
        <v>0</v>
      </c>
      <c r="DN16" s="241">
        <f t="shared" si="36"/>
        <v>0</v>
      </c>
      <c r="DQ16" s="241">
        <f t="shared" si="37"/>
        <v>0</v>
      </c>
      <c r="DT16" s="241">
        <f t="shared" si="38"/>
        <v>0</v>
      </c>
      <c r="DW16" s="241">
        <f t="shared" si="39"/>
        <v>0</v>
      </c>
      <c r="DZ16" s="241"/>
      <c r="EA16" s="241"/>
      <c r="EB16" s="261">
        <f t="shared" si="40"/>
        <v>129875000</v>
      </c>
      <c r="EC16" s="261">
        <f t="shared" si="41"/>
        <v>0</v>
      </c>
      <c r="ED16" s="241">
        <f t="shared" si="42"/>
        <v>16486.909722222223</v>
      </c>
      <c r="EE16" s="242">
        <f t="shared" si="43"/>
        <v>4.5699999999999998E-2</v>
      </c>
      <c r="EG16" s="261">
        <f t="shared" si="44"/>
        <v>0</v>
      </c>
      <c r="EH16" s="241">
        <f t="shared" si="45"/>
        <v>0</v>
      </c>
      <c r="EI16" s="242">
        <f t="shared" si="46"/>
        <v>0</v>
      </c>
      <c r="EJ16" s="242"/>
      <c r="EK16" s="261">
        <f t="shared" si="47"/>
        <v>129875000</v>
      </c>
      <c r="EL16" s="261">
        <f t="shared" si="48"/>
        <v>0</v>
      </c>
      <c r="EM16" s="261">
        <f t="shared" si="49"/>
        <v>16486.909722222223</v>
      </c>
      <c r="EN16" s="242">
        <f t="shared" si="50"/>
        <v>4.5699999999999998E-2</v>
      </c>
      <c r="EP16" s="241"/>
    </row>
    <row r="17" spans="1:146" x14ac:dyDescent="0.25">
      <c r="A17" s="255">
        <f t="shared" si="51"/>
        <v>45754</v>
      </c>
      <c r="B17" s="241">
        <v>0</v>
      </c>
      <c r="C17" s="242">
        <v>4.6350589999999997E-2</v>
      </c>
      <c r="D17" s="241">
        <f t="shared" si="0"/>
        <v>0</v>
      </c>
      <c r="G17" s="241">
        <f t="shared" si="1"/>
        <v>0</v>
      </c>
      <c r="J17" s="241">
        <f t="shared" si="2"/>
        <v>0</v>
      </c>
      <c r="M17" s="241">
        <f t="shared" si="3"/>
        <v>0</v>
      </c>
      <c r="P17" s="241">
        <f t="shared" si="4"/>
        <v>0</v>
      </c>
      <c r="S17" s="241">
        <f t="shared" si="5"/>
        <v>0</v>
      </c>
      <c r="V17" s="241">
        <f t="shared" si="6"/>
        <v>0</v>
      </c>
      <c r="Y17" s="241">
        <f t="shared" si="7"/>
        <v>0</v>
      </c>
      <c r="AB17" s="241">
        <f t="shared" si="8"/>
        <v>0</v>
      </c>
      <c r="AE17" s="241">
        <v>0</v>
      </c>
      <c r="AH17" s="241">
        <v>0</v>
      </c>
      <c r="AI17" s="256">
        <f>40000000+41000000+39700000+14000000</f>
        <v>134700000</v>
      </c>
      <c r="AJ17" s="257">
        <v>4.5600000000000002E-2</v>
      </c>
      <c r="AK17" s="241">
        <f t="shared" si="9"/>
        <v>17062</v>
      </c>
      <c r="AL17" s="256"/>
      <c r="AM17" s="257"/>
      <c r="AN17" s="241">
        <f t="shared" si="10"/>
        <v>0</v>
      </c>
      <c r="AO17" s="256"/>
      <c r="AP17" s="257"/>
      <c r="AQ17" s="241">
        <f t="shared" si="11"/>
        <v>0</v>
      </c>
      <c r="AR17" s="256"/>
      <c r="AS17" s="257"/>
      <c r="AT17" s="241">
        <f t="shared" si="12"/>
        <v>0</v>
      </c>
      <c r="AW17" s="241">
        <f t="shared" si="13"/>
        <v>0</v>
      </c>
      <c r="AZ17" s="241">
        <f t="shared" si="14"/>
        <v>0</v>
      </c>
      <c r="BC17" s="241">
        <f t="shared" si="15"/>
        <v>0</v>
      </c>
      <c r="BF17" s="241">
        <f t="shared" si="16"/>
        <v>0</v>
      </c>
      <c r="BI17" s="241">
        <f t="shared" si="17"/>
        <v>0</v>
      </c>
      <c r="BL17" s="241">
        <f t="shared" si="18"/>
        <v>0</v>
      </c>
      <c r="BO17" s="241">
        <f t="shared" si="19"/>
        <v>0</v>
      </c>
      <c r="BR17" s="241">
        <f t="shared" si="20"/>
        <v>0</v>
      </c>
      <c r="BU17" s="241">
        <f t="shared" si="21"/>
        <v>0</v>
      </c>
      <c r="BX17" s="241">
        <f t="shared" si="22"/>
        <v>0</v>
      </c>
      <c r="CA17" s="241">
        <f t="shared" si="23"/>
        <v>0</v>
      </c>
      <c r="CD17" s="241">
        <f t="shared" si="24"/>
        <v>0</v>
      </c>
      <c r="CG17" s="241">
        <f t="shared" si="25"/>
        <v>0</v>
      </c>
      <c r="CJ17" s="241">
        <f t="shared" si="26"/>
        <v>0</v>
      </c>
      <c r="CM17" s="241">
        <f t="shared" si="27"/>
        <v>0</v>
      </c>
      <c r="CP17" s="241">
        <f t="shared" si="28"/>
        <v>0</v>
      </c>
      <c r="CS17" s="241">
        <f t="shared" si="29"/>
        <v>0</v>
      </c>
      <c r="CV17" s="241">
        <f t="shared" si="30"/>
        <v>0</v>
      </c>
      <c r="CY17" s="241">
        <f t="shared" si="31"/>
        <v>0</v>
      </c>
      <c r="DB17" s="241">
        <f t="shared" si="32"/>
        <v>0</v>
      </c>
      <c r="DE17" s="241">
        <f t="shared" si="33"/>
        <v>0</v>
      </c>
      <c r="DH17" s="241">
        <f t="shared" si="34"/>
        <v>0</v>
      </c>
      <c r="DK17" s="241">
        <f t="shared" si="35"/>
        <v>0</v>
      </c>
      <c r="DN17" s="241">
        <f t="shared" si="36"/>
        <v>0</v>
      </c>
      <c r="DQ17" s="241">
        <f t="shared" si="37"/>
        <v>0</v>
      </c>
      <c r="DT17" s="241">
        <f t="shared" si="38"/>
        <v>0</v>
      </c>
      <c r="DW17" s="241">
        <f t="shared" si="39"/>
        <v>0</v>
      </c>
      <c r="DZ17" s="241"/>
      <c r="EA17" s="241"/>
      <c r="EB17" s="261">
        <f t="shared" si="40"/>
        <v>134700000</v>
      </c>
      <c r="EC17" s="261">
        <f t="shared" si="41"/>
        <v>0</v>
      </c>
      <c r="ED17" s="241">
        <f t="shared" si="42"/>
        <v>17062</v>
      </c>
      <c r="EE17" s="242">
        <f t="shared" si="43"/>
        <v>4.5600000000000002E-2</v>
      </c>
      <c r="EG17" s="261">
        <f t="shared" si="44"/>
        <v>0</v>
      </c>
      <c r="EH17" s="241">
        <f t="shared" si="45"/>
        <v>0</v>
      </c>
      <c r="EI17" s="242">
        <f t="shared" si="46"/>
        <v>0</v>
      </c>
      <c r="EJ17" s="242"/>
      <c r="EK17" s="261">
        <f t="shared" si="47"/>
        <v>134700000</v>
      </c>
      <c r="EL17" s="261">
        <f t="shared" si="48"/>
        <v>0</v>
      </c>
      <c r="EM17" s="261">
        <f t="shared" si="49"/>
        <v>17062</v>
      </c>
      <c r="EN17" s="242">
        <f t="shared" si="50"/>
        <v>4.5600000000000002E-2</v>
      </c>
      <c r="EP17" s="241"/>
    </row>
    <row r="18" spans="1:146" x14ac:dyDescent="0.25">
      <c r="A18" s="255">
        <f t="shared" si="51"/>
        <v>45755</v>
      </c>
      <c r="B18" s="241">
        <v>0</v>
      </c>
      <c r="C18" s="242">
        <v>4.6355899999999998E-2</v>
      </c>
      <c r="D18" s="241">
        <f t="shared" si="0"/>
        <v>0</v>
      </c>
      <c r="G18" s="241">
        <f t="shared" si="1"/>
        <v>0</v>
      </c>
      <c r="J18" s="241">
        <f t="shared" si="2"/>
        <v>0</v>
      </c>
      <c r="M18" s="241">
        <f t="shared" si="3"/>
        <v>0</v>
      </c>
      <c r="P18" s="241">
        <f t="shared" si="4"/>
        <v>0</v>
      </c>
      <c r="S18" s="241">
        <f t="shared" si="5"/>
        <v>0</v>
      </c>
      <c r="V18" s="241">
        <f t="shared" si="6"/>
        <v>0</v>
      </c>
      <c r="Y18" s="241">
        <f t="shared" si="7"/>
        <v>0</v>
      </c>
      <c r="AB18" s="241">
        <f t="shared" si="8"/>
        <v>0</v>
      </c>
      <c r="AE18" s="241">
        <v>0</v>
      </c>
      <c r="AH18" s="241">
        <v>0</v>
      </c>
      <c r="AI18" s="256">
        <f>50000000+45000000+30300000</f>
        <v>125300000</v>
      </c>
      <c r="AJ18" s="257">
        <v>4.5600000000000002E-2</v>
      </c>
      <c r="AK18" s="241">
        <f t="shared" si="9"/>
        <v>15871.333333333334</v>
      </c>
      <c r="AL18" s="256"/>
      <c r="AM18" s="257"/>
      <c r="AN18" s="241">
        <f t="shared" si="10"/>
        <v>0</v>
      </c>
      <c r="AO18" s="256"/>
      <c r="AP18" s="257"/>
      <c r="AQ18" s="241">
        <f t="shared" si="11"/>
        <v>0</v>
      </c>
      <c r="AR18" s="256"/>
      <c r="AS18" s="257"/>
      <c r="AT18" s="241">
        <f t="shared" si="12"/>
        <v>0</v>
      </c>
      <c r="AW18" s="241">
        <f t="shared" si="13"/>
        <v>0</v>
      </c>
      <c r="AZ18" s="241">
        <f t="shared" si="14"/>
        <v>0</v>
      </c>
      <c r="BC18" s="241">
        <f t="shared" si="15"/>
        <v>0</v>
      </c>
      <c r="BF18" s="241">
        <f t="shared" si="16"/>
        <v>0</v>
      </c>
      <c r="BI18" s="241">
        <f t="shared" si="17"/>
        <v>0</v>
      </c>
      <c r="BL18" s="241">
        <f t="shared" si="18"/>
        <v>0</v>
      </c>
      <c r="BO18" s="241">
        <f t="shared" si="19"/>
        <v>0</v>
      </c>
      <c r="BR18" s="241">
        <f t="shared" si="20"/>
        <v>0</v>
      </c>
      <c r="BU18" s="241">
        <f t="shared" si="21"/>
        <v>0</v>
      </c>
      <c r="BX18" s="241">
        <f t="shared" si="22"/>
        <v>0</v>
      </c>
      <c r="CA18" s="241">
        <f t="shared" si="23"/>
        <v>0</v>
      </c>
      <c r="CD18" s="241">
        <f t="shared" si="24"/>
        <v>0</v>
      </c>
      <c r="CG18" s="241">
        <f t="shared" si="25"/>
        <v>0</v>
      </c>
      <c r="CJ18" s="241">
        <f t="shared" si="26"/>
        <v>0</v>
      </c>
      <c r="CM18" s="241">
        <f t="shared" si="27"/>
        <v>0</v>
      </c>
      <c r="CP18" s="241">
        <f t="shared" si="28"/>
        <v>0</v>
      </c>
      <c r="CS18" s="241">
        <f t="shared" si="29"/>
        <v>0</v>
      </c>
      <c r="CV18" s="241">
        <f t="shared" si="30"/>
        <v>0</v>
      </c>
      <c r="CY18" s="241">
        <f t="shared" si="31"/>
        <v>0</v>
      </c>
      <c r="DB18" s="241">
        <f t="shared" si="32"/>
        <v>0</v>
      </c>
      <c r="DE18" s="241">
        <f t="shared" si="33"/>
        <v>0</v>
      </c>
      <c r="DH18" s="241">
        <f t="shared" si="34"/>
        <v>0</v>
      </c>
      <c r="DK18" s="241">
        <f t="shared" si="35"/>
        <v>0</v>
      </c>
      <c r="DN18" s="241">
        <f t="shared" si="36"/>
        <v>0</v>
      </c>
      <c r="DQ18" s="241">
        <f t="shared" si="37"/>
        <v>0</v>
      </c>
      <c r="DT18" s="241">
        <f t="shared" si="38"/>
        <v>0</v>
      </c>
      <c r="DW18" s="241">
        <f t="shared" si="39"/>
        <v>0</v>
      </c>
      <c r="DZ18" s="241"/>
      <c r="EA18" s="241"/>
      <c r="EB18" s="261">
        <f t="shared" si="40"/>
        <v>125300000</v>
      </c>
      <c r="EC18" s="261">
        <f t="shared" si="41"/>
        <v>0</v>
      </c>
      <c r="ED18" s="241">
        <f t="shared" si="42"/>
        <v>15871.333333333334</v>
      </c>
      <c r="EE18" s="242">
        <f t="shared" si="43"/>
        <v>4.5600000000000002E-2</v>
      </c>
      <c r="EG18" s="261">
        <f t="shared" si="44"/>
        <v>0</v>
      </c>
      <c r="EH18" s="241">
        <f t="shared" si="45"/>
        <v>0</v>
      </c>
      <c r="EI18" s="242">
        <f t="shared" si="46"/>
        <v>0</v>
      </c>
      <c r="EJ18" s="242"/>
      <c r="EK18" s="261">
        <f t="shared" si="47"/>
        <v>125300000</v>
      </c>
      <c r="EL18" s="261">
        <f t="shared" si="48"/>
        <v>0</v>
      </c>
      <c r="EM18" s="261">
        <f t="shared" si="49"/>
        <v>15871.333333333334</v>
      </c>
      <c r="EN18" s="242">
        <f t="shared" si="50"/>
        <v>4.5600000000000002E-2</v>
      </c>
      <c r="EP18" s="241"/>
    </row>
    <row r="19" spans="1:146" x14ac:dyDescent="0.25">
      <c r="A19" s="255">
        <f t="shared" si="51"/>
        <v>45756</v>
      </c>
      <c r="B19" s="241">
        <v>0</v>
      </c>
      <c r="C19" s="242">
        <v>4.6325029999999996E-2</v>
      </c>
      <c r="D19" s="241">
        <f t="shared" si="0"/>
        <v>0</v>
      </c>
      <c r="G19" s="241">
        <f t="shared" si="1"/>
        <v>0</v>
      </c>
      <c r="J19" s="241">
        <f t="shared" si="2"/>
        <v>0</v>
      </c>
      <c r="M19" s="241">
        <f t="shared" si="3"/>
        <v>0</v>
      </c>
      <c r="P19" s="241">
        <f t="shared" si="4"/>
        <v>0</v>
      </c>
      <c r="S19" s="241">
        <f t="shared" si="5"/>
        <v>0</v>
      </c>
      <c r="V19" s="241">
        <f t="shared" si="6"/>
        <v>0</v>
      </c>
      <c r="Y19" s="241">
        <f t="shared" si="7"/>
        <v>0</v>
      </c>
      <c r="AB19" s="241">
        <f t="shared" si="8"/>
        <v>0</v>
      </c>
      <c r="AE19" s="241">
        <v>0</v>
      </c>
      <c r="AH19" s="241">
        <v>0</v>
      </c>
      <c r="AI19" s="256">
        <f>10000000+35000000+25100000+50000000</f>
        <v>120100000</v>
      </c>
      <c r="AJ19" s="257">
        <v>4.5499999999999999E-2</v>
      </c>
      <c r="AK19" s="241">
        <f t="shared" si="9"/>
        <v>15179.305555555555</v>
      </c>
      <c r="AL19" s="256"/>
      <c r="AM19" s="257"/>
      <c r="AN19" s="241">
        <f t="shared" si="10"/>
        <v>0</v>
      </c>
      <c r="AO19" s="256"/>
      <c r="AP19" s="257"/>
      <c r="AQ19" s="241">
        <f t="shared" si="11"/>
        <v>0</v>
      </c>
      <c r="AR19" s="256"/>
      <c r="AS19" s="257"/>
      <c r="AT19" s="241">
        <f t="shared" si="12"/>
        <v>0</v>
      </c>
      <c r="AW19" s="241">
        <f t="shared" si="13"/>
        <v>0</v>
      </c>
      <c r="AZ19" s="241">
        <f t="shared" si="14"/>
        <v>0</v>
      </c>
      <c r="BC19" s="241">
        <f t="shared" si="15"/>
        <v>0</v>
      </c>
      <c r="BF19" s="241">
        <f t="shared" si="16"/>
        <v>0</v>
      </c>
      <c r="BI19" s="241">
        <f t="shared" si="17"/>
        <v>0</v>
      </c>
      <c r="BL19" s="241">
        <f t="shared" si="18"/>
        <v>0</v>
      </c>
      <c r="BO19" s="241">
        <f t="shared" si="19"/>
        <v>0</v>
      </c>
      <c r="BR19" s="241">
        <f t="shared" si="20"/>
        <v>0</v>
      </c>
      <c r="BU19" s="241">
        <f t="shared" si="21"/>
        <v>0</v>
      </c>
      <c r="BX19" s="241">
        <f t="shared" si="22"/>
        <v>0</v>
      </c>
      <c r="CA19" s="241">
        <f t="shared" si="23"/>
        <v>0</v>
      </c>
      <c r="CD19" s="241">
        <f t="shared" si="24"/>
        <v>0</v>
      </c>
      <c r="CG19" s="241">
        <f t="shared" si="25"/>
        <v>0</v>
      </c>
      <c r="CJ19" s="241">
        <f t="shared" si="26"/>
        <v>0</v>
      </c>
      <c r="CM19" s="241">
        <f t="shared" si="27"/>
        <v>0</v>
      </c>
      <c r="CP19" s="241">
        <f t="shared" si="28"/>
        <v>0</v>
      </c>
      <c r="CS19" s="241">
        <f t="shared" si="29"/>
        <v>0</v>
      </c>
      <c r="CV19" s="241">
        <f t="shared" si="30"/>
        <v>0</v>
      </c>
      <c r="CY19" s="241">
        <f t="shared" si="31"/>
        <v>0</v>
      </c>
      <c r="DB19" s="241">
        <f t="shared" si="32"/>
        <v>0</v>
      </c>
      <c r="DE19" s="241">
        <f t="shared" si="33"/>
        <v>0</v>
      </c>
      <c r="DH19" s="241">
        <f t="shared" si="34"/>
        <v>0</v>
      </c>
      <c r="DK19" s="241">
        <f t="shared" si="35"/>
        <v>0</v>
      </c>
      <c r="DN19" s="241">
        <f t="shared" si="36"/>
        <v>0</v>
      </c>
      <c r="DQ19" s="241">
        <f t="shared" si="37"/>
        <v>0</v>
      </c>
      <c r="DT19" s="241">
        <f t="shared" si="38"/>
        <v>0</v>
      </c>
      <c r="DW19" s="241">
        <f t="shared" si="39"/>
        <v>0</v>
      </c>
      <c r="DZ19" s="241"/>
      <c r="EA19" s="241"/>
      <c r="EB19" s="261">
        <f t="shared" si="40"/>
        <v>120100000</v>
      </c>
      <c r="EC19" s="261">
        <f t="shared" si="41"/>
        <v>0</v>
      </c>
      <c r="ED19" s="241">
        <f t="shared" si="42"/>
        <v>15179.305555555555</v>
      </c>
      <c r="EE19" s="242">
        <f t="shared" si="43"/>
        <v>4.5499999999999999E-2</v>
      </c>
      <c r="EG19" s="261">
        <f t="shared" si="44"/>
        <v>0</v>
      </c>
      <c r="EH19" s="241">
        <f t="shared" si="45"/>
        <v>0</v>
      </c>
      <c r="EI19" s="242">
        <f t="shared" si="46"/>
        <v>0</v>
      </c>
      <c r="EJ19" s="242"/>
      <c r="EK19" s="261">
        <f t="shared" si="47"/>
        <v>120100000</v>
      </c>
      <c r="EL19" s="261">
        <f t="shared" si="48"/>
        <v>0</v>
      </c>
      <c r="EM19" s="261">
        <f t="shared" si="49"/>
        <v>15179.305555555555</v>
      </c>
      <c r="EN19" s="242">
        <f t="shared" si="50"/>
        <v>4.5499999999999999E-2</v>
      </c>
      <c r="EP19" s="241"/>
    </row>
    <row r="20" spans="1:146" x14ac:dyDescent="0.25">
      <c r="A20" s="255">
        <f t="shared" si="51"/>
        <v>45757</v>
      </c>
      <c r="B20" s="241">
        <v>0</v>
      </c>
      <c r="C20" s="242">
        <v>4.6336669999999996E-2</v>
      </c>
      <c r="D20" s="241">
        <f t="shared" si="0"/>
        <v>0</v>
      </c>
      <c r="G20" s="241">
        <f t="shared" si="1"/>
        <v>0</v>
      </c>
      <c r="J20" s="241">
        <f t="shared" si="2"/>
        <v>0</v>
      </c>
      <c r="M20" s="241">
        <f t="shared" si="3"/>
        <v>0</v>
      </c>
      <c r="P20" s="241">
        <f t="shared" si="4"/>
        <v>0</v>
      </c>
      <c r="S20" s="241">
        <f t="shared" si="5"/>
        <v>0</v>
      </c>
      <c r="V20" s="241">
        <f t="shared" si="6"/>
        <v>0</v>
      </c>
      <c r="Y20" s="241">
        <f t="shared" si="7"/>
        <v>0</v>
      </c>
      <c r="AB20" s="241">
        <f t="shared" si="8"/>
        <v>0</v>
      </c>
      <c r="AE20" s="241">
        <v>0</v>
      </c>
      <c r="AH20" s="241">
        <v>0</v>
      </c>
      <c r="AI20" s="256">
        <f>40000000+32950000+50000000</f>
        <v>122950000</v>
      </c>
      <c r="AJ20" s="257">
        <v>4.5499999999999999E-2</v>
      </c>
      <c r="AK20" s="241">
        <f t="shared" si="9"/>
        <v>15539.513888888889</v>
      </c>
      <c r="AL20" s="256"/>
      <c r="AM20" s="257"/>
      <c r="AN20" s="241">
        <f t="shared" si="10"/>
        <v>0</v>
      </c>
      <c r="AO20" s="256"/>
      <c r="AP20" s="257"/>
      <c r="AQ20" s="241">
        <f t="shared" si="11"/>
        <v>0</v>
      </c>
      <c r="AR20" s="256"/>
      <c r="AS20" s="257"/>
      <c r="AT20" s="241">
        <f t="shared" si="12"/>
        <v>0</v>
      </c>
      <c r="AW20" s="241">
        <f t="shared" si="13"/>
        <v>0</v>
      </c>
      <c r="AZ20" s="241">
        <f t="shared" si="14"/>
        <v>0</v>
      </c>
      <c r="BC20" s="241">
        <f t="shared" si="15"/>
        <v>0</v>
      </c>
      <c r="BF20" s="241">
        <f t="shared" si="16"/>
        <v>0</v>
      </c>
      <c r="BI20" s="241">
        <f t="shared" si="17"/>
        <v>0</v>
      </c>
      <c r="BL20" s="241">
        <f t="shared" si="18"/>
        <v>0</v>
      </c>
      <c r="BO20" s="241">
        <f t="shared" si="19"/>
        <v>0</v>
      </c>
      <c r="BR20" s="241">
        <f t="shared" si="20"/>
        <v>0</v>
      </c>
      <c r="BU20" s="241">
        <f t="shared" si="21"/>
        <v>0</v>
      </c>
      <c r="BX20" s="241">
        <f t="shared" si="22"/>
        <v>0</v>
      </c>
      <c r="CA20" s="241">
        <f t="shared" si="23"/>
        <v>0</v>
      </c>
      <c r="CD20" s="241">
        <f t="shared" si="24"/>
        <v>0</v>
      </c>
      <c r="CG20" s="241">
        <f t="shared" si="25"/>
        <v>0</v>
      </c>
      <c r="CJ20" s="241">
        <f t="shared" si="26"/>
        <v>0</v>
      </c>
      <c r="CM20" s="241">
        <f t="shared" si="27"/>
        <v>0</v>
      </c>
      <c r="CP20" s="241">
        <f t="shared" si="28"/>
        <v>0</v>
      </c>
      <c r="CS20" s="241">
        <f t="shared" si="29"/>
        <v>0</v>
      </c>
      <c r="CV20" s="241">
        <f t="shared" si="30"/>
        <v>0</v>
      </c>
      <c r="CY20" s="241">
        <f t="shared" si="31"/>
        <v>0</v>
      </c>
      <c r="DB20" s="241">
        <f t="shared" si="32"/>
        <v>0</v>
      </c>
      <c r="DE20" s="241">
        <f t="shared" si="33"/>
        <v>0</v>
      </c>
      <c r="DH20" s="241">
        <f t="shared" si="34"/>
        <v>0</v>
      </c>
      <c r="DK20" s="241">
        <f t="shared" si="35"/>
        <v>0</v>
      </c>
      <c r="DN20" s="241">
        <f t="shared" si="36"/>
        <v>0</v>
      </c>
      <c r="DQ20" s="241">
        <f t="shared" si="37"/>
        <v>0</v>
      </c>
      <c r="DT20" s="241">
        <f t="shared" si="38"/>
        <v>0</v>
      </c>
      <c r="DW20" s="241">
        <f t="shared" si="39"/>
        <v>0</v>
      </c>
      <c r="DZ20" s="241"/>
      <c r="EA20" s="241"/>
      <c r="EB20" s="261">
        <f t="shared" si="40"/>
        <v>122950000</v>
      </c>
      <c r="EC20" s="261">
        <f t="shared" si="41"/>
        <v>0</v>
      </c>
      <c r="ED20" s="241">
        <f t="shared" si="42"/>
        <v>15539.513888888889</v>
      </c>
      <c r="EE20" s="242">
        <f t="shared" si="43"/>
        <v>4.5499999999999999E-2</v>
      </c>
      <c r="EG20" s="261">
        <f t="shared" si="44"/>
        <v>0</v>
      </c>
      <c r="EH20" s="241">
        <f t="shared" si="45"/>
        <v>0</v>
      </c>
      <c r="EI20" s="242">
        <f t="shared" si="46"/>
        <v>0</v>
      </c>
      <c r="EJ20" s="242"/>
      <c r="EK20" s="261">
        <f t="shared" si="47"/>
        <v>122950000</v>
      </c>
      <c r="EL20" s="261">
        <f t="shared" si="48"/>
        <v>0</v>
      </c>
      <c r="EM20" s="261">
        <f t="shared" si="49"/>
        <v>15539.513888888889</v>
      </c>
      <c r="EN20" s="242">
        <f t="shared" si="50"/>
        <v>4.5499999999999999E-2</v>
      </c>
      <c r="EP20" s="241"/>
    </row>
    <row r="21" spans="1:146" x14ac:dyDescent="0.25">
      <c r="A21" s="255">
        <f t="shared" si="51"/>
        <v>45758</v>
      </c>
      <c r="B21" s="241">
        <v>0</v>
      </c>
      <c r="C21" s="242">
        <v>4.6231540000000002E-2</v>
      </c>
      <c r="D21" s="241">
        <f t="shared" si="0"/>
        <v>0</v>
      </c>
      <c r="G21" s="241">
        <f t="shared" si="1"/>
        <v>0</v>
      </c>
      <c r="J21" s="241">
        <f t="shared" si="2"/>
        <v>0</v>
      </c>
      <c r="M21" s="241">
        <f t="shared" si="3"/>
        <v>0</v>
      </c>
      <c r="P21" s="241">
        <f t="shared" si="4"/>
        <v>0</v>
      </c>
      <c r="S21" s="241">
        <f t="shared" si="5"/>
        <v>0</v>
      </c>
      <c r="V21" s="241">
        <f t="shared" si="6"/>
        <v>0</v>
      </c>
      <c r="Y21" s="241">
        <f t="shared" si="7"/>
        <v>0</v>
      </c>
      <c r="AB21" s="241">
        <f t="shared" si="8"/>
        <v>0</v>
      </c>
      <c r="AE21" s="241">
        <v>0</v>
      </c>
      <c r="AH21" s="241">
        <v>0</v>
      </c>
      <c r="AI21" s="256">
        <f>58550000+40000000+55000000</f>
        <v>153550000</v>
      </c>
      <c r="AJ21" s="257">
        <v>4.5499999999999999E-2</v>
      </c>
      <c r="AK21" s="241">
        <f t="shared" si="9"/>
        <v>19407.013888888891</v>
      </c>
      <c r="AL21" s="256"/>
      <c r="AM21" s="257"/>
      <c r="AN21" s="241">
        <f t="shared" si="10"/>
        <v>0</v>
      </c>
      <c r="AO21" s="256"/>
      <c r="AP21" s="257"/>
      <c r="AQ21" s="241">
        <f t="shared" si="11"/>
        <v>0</v>
      </c>
      <c r="AR21" s="256"/>
      <c r="AS21" s="257"/>
      <c r="AT21" s="241">
        <f t="shared" si="12"/>
        <v>0</v>
      </c>
      <c r="AW21" s="241">
        <f t="shared" si="13"/>
        <v>0</v>
      </c>
      <c r="AZ21" s="241">
        <f t="shared" si="14"/>
        <v>0</v>
      </c>
      <c r="BC21" s="241">
        <f t="shared" si="15"/>
        <v>0</v>
      </c>
      <c r="BF21" s="241">
        <f t="shared" si="16"/>
        <v>0</v>
      </c>
      <c r="BI21" s="241">
        <f t="shared" si="17"/>
        <v>0</v>
      </c>
      <c r="BL21" s="241">
        <f t="shared" si="18"/>
        <v>0</v>
      </c>
      <c r="BO21" s="241">
        <f t="shared" si="19"/>
        <v>0</v>
      </c>
      <c r="BR21" s="241">
        <f t="shared" si="20"/>
        <v>0</v>
      </c>
      <c r="BU21" s="241">
        <f t="shared" si="21"/>
        <v>0</v>
      </c>
      <c r="BX21" s="241">
        <f t="shared" si="22"/>
        <v>0</v>
      </c>
      <c r="CA21" s="241">
        <f t="shared" si="23"/>
        <v>0</v>
      </c>
      <c r="CD21" s="241">
        <f t="shared" si="24"/>
        <v>0</v>
      </c>
      <c r="CG21" s="241">
        <f t="shared" si="25"/>
        <v>0</v>
      </c>
      <c r="CJ21" s="241">
        <f t="shared" si="26"/>
        <v>0</v>
      </c>
      <c r="CM21" s="241">
        <f t="shared" si="27"/>
        <v>0</v>
      </c>
      <c r="CP21" s="241">
        <f t="shared" si="28"/>
        <v>0</v>
      </c>
      <c r="CS21" s="241">
        <f t="shared" si="29"/>
        <v>0</v>
      </c>
      <c r="CV21" s="241">
        <f t="shared" si="30"/>
        <v>0</v>
      </c>
      <c r="CY21" s="241">
        <f t="shared" si="31"/>
        <v>0</v>
      </c>
      <c r="DB21" s="241">
        <f t="shared" si="32"/>
        <v>0</v>
      </c>
      <c r="DE21" s="241">
        <f t="shared" si="33"/>
        <v>0</v>
      </c>
      <c r="DH21" s="241">
        <f t="shared" si="34"/>
        <v>0</v>
      </c>
      <c r="DK21" s="241">
        <f t="shared" si="35"/>
        <v>0</v>
      </c>
      <c r="DN21" s="241">
        <f t="shared" si="36"/>
        <v>0</v>
      </c>
      <c r="DQ21" s="241">
        <f t="shared" si="37"/>
        <v>0</v>
      </c>
      <c r="DT21" s="241">
        <f t="shared" si="38"/>
        <v>0</v>
      </c>
      <c r="DW21" s="241">
        <f t="shared" si="39"/>
        <v>0</v>
      </c>
      <c r="DZ21" s="241"/>
      <c r="EA21" s="241"/>
      <c r="EB21" s="261">
        <f t="shared" si="40"/>
        <v>153550000</v>
      </c>
      <c r="EC21" s="261">
        <f t="shared" si="41"/>
        <v>0</v>
      </c>
      <c r="ED21" s="241">
        <f t="shared" si="42"/>
        <v>19407.013888888891</v>
      </c>
      <c r="EE21" s="242">
        <f t="shared" si="43"/>
        <v>4.5500000000000006E-2</v>
      </c>
      <c r="EG21" s="261">
        <f t="shared" si="44"/>
        <v>0</v>
      </c>
      <c r="EH21" s="241">
        <f t="shared" si="45"/>
        <v>0</v>
      </c>
      <c r="EI21" s="242">
        <f t="shared" si="46"/>
        <v>0</v>
      </c>
      <c r="EJ21" s="242"/>
      <c r="EK21" s="261">
        <f t="shared" si="47"/>
        <v>153550000</v>
      </c>
      <c r="EL21" s="261">
        <f t="shared" si="48"/>
        <v>0</v>
      </c>
      <c r="EM21" s="261">
        <f t="shared" si="49"/>
        <v>19407.013888888891</v>
      </c>
      <c r="EN21" s="242">
        <f t="shared" si="50"/>
        <v>4.5500000000000006E-2</v>
      </c>
      <c r="EP21" s="241"/>
    </row>
    <row r="22" spans="1:146" x14ac:dyDescent="0.25">
      <c r="A22" s="255">
        <f t="shared" si="51"/>
        <v>45759</v>
      </c>
      <c r="B22" s="241">
        <v>0</v>
      </c>
      <c r="C22" s="242">
        <v>4.6231540000000002E-2</v>
      </c>
      <c r="D22" s="241">
        <f t="shared" si="0"/>
        <v>0</v>
      </c>
      <c r="G22" s="241">
        <f t="shared" si="1"/>
        <v>0</v>
      </c>
      <c r="J22" s="241">
        <f t="shared" si="2"/>
        <v>0</v>
      </c>
      <c r="M22" s="241">
        <f t="shared" si="3"/>
        <v>0</v>
      </c>
      <c r="P22" s="241">
        <f t="shared" si="4"/>
        <v>0</v>
      </c>
      <c r="S22" s="241">
        <f t="shared" si="5"/>
        <v>0</v>
      </c>
      <c r="V22" s="241">
        <f t="shared" si="6"/>
        <v>0</v>
      </c>
      <c r="Y22" s="241">
        <f t="shared" si="7"/>
        <v>0</v>
      </c>
      <c r="AB22" s="241">
        <f t="shared" si="8"/>
        <v>0</v>
      </c>
      <c r="AE22" s="241">
        <v>0</v>
      </c>
      <c r="AH22" s="241">
        <v>0</v>
      </c>
      <c r="AI22" s="256">
        <f>58550000+40000000+55000000</f>
        <v>153550000</v>
      </c>
      <c r="AJ22" s="257">
        <v>4.5499999999999999E-2</v>
      </c>
      <c r="AK22" s="241">
        <f t="shared" si="9"/>
        <v>19407.013888888891</v>
      </c>
      <c r="AL22" s="256"/>
      <c r="AM22" s="257"/>
      <c r="AN22" s="241">
        <f t="shared" si="10"/>
        <v>0</v>
      </c>
      <c r="AO22" s="256"/>
      <c r="AP22" s="257"/>
      <c r="AQ22" s="241">
        <f t="shared" si="11"/>
        <v>0</v>
      </c>
      <c r="AR22" s="256"/>
      <c r="AS22" s="257"/>
      <c r="AT22" s="241">
        <f t="shared" si="12"/>
        <v>0</v>
      </c>
      <c r="AW22" s="241">
        <f t="shared" si="13"/>
        <v>0</v>
      </c>
      <c r="AZ22" s="241">
        <f t="shared" si="14"/>
        <v>0</v>
      </c>
      <c r="BC22" s="241">
        <f t="shared" si="15"/>
        <v>0</v>
      </c>
      <c r="BF22" s="241">
        <f t="shared" si="16"/>
        <v>0</v>
      </c>
      <c r="BI22" s="241">
        <f t="shared" si="17"/>
        <v>0</v>
      </c>
      <c r="BL22" s="241">
        <f t="shared" si="18"/>
        <v>0</v>
      </c>
      <c r="BO22" s="241">
        <f t="shared" si="19"/>
        <v>0</v>
      </c>
      <c r="BR22" s="241">
        <f t="shared" si="20"/>
        <v>0</v>
      </c>
      <c r="BU22" s="241">
        <f t="shared" si="21"/>
        <v>0</v>
      </c>
      <c r="BX22" s="241">
        <f t="shared" si="22"/>
        <v>0</v>
      </c>
      <c r="CA22" s="241">
        <f t="shared" si="23"/>
        <v>0</v>
      </c>
      <c r="CD22" s="241">
        <f t="shared" si="24"/>
        <v>0</v>
      </c>
      <c r="CG22" s="241">
        <f t="shared" si="25"/>
        <v>0</v>
      </c>
      <c r="CJ22" s="241">
        <f t="shared" si="26"/>
        <v>0</v>
      </c>
      <c r="CM22" s="241">
        <f t="shared" si="27"/>
        <v>0</v>
      </c>
      <c r="CP22" s="241">
        <f t="shared" si="28"/>
        <v>0</v>
      </c>
      <c r="CS22" s="241">
        <f t="shared" si="29"/>
        <v>0</v>
      </c>
      <c r="CV22" s="241">
        <f t="shared" si="30"/>
        <v>0</v>
      </c>
      <c r="CY22" s="241">
        <f t="shared" si="31"/>
        <v>0</v>
      </c>
      <c r="DB22" s="241">
        <f t="shared" si="32"/>
        <v>0</v>
      </c>
      <c r="DE22" s="241">
        <f t="shared" si="33"/>
        <v>0</v>
      </c>
      <c r="DH22" s="241">
        <f t="shared" si="34"/>
        <v>0</v>
      </c>
      <c r="DK22" s="241">
        <f t="shared" si="35"/>
        <v>0</v>
      </c>
      <c r="DN22" s="241">
        <f t="shared" si="36"/>
        <v>0</v>
      </c>
      <c r="DQ22" s="241">
        <f t="shared" si="37"/>
        <v>0</v>
      </c>
      <c r="DT22" s="241">
        <f t="shared" si="38"/>
        <v>0</v>
      </c>
      <c r="DW22" s="241">
        <f t="shared" si="39"/>
        <v>0</v>
      </c>
      <c r="DZ22" s="241"/>
      <c r="EA22" s="241"/>
      <c r="EB22" s="261">
        <f t="shared" si="40"/>
        <v>153550000</v>
      </c>
      <c r="EC22" s="261">
        <f t="shared" si="41"/>
        <v>0</v>
      </c>
      <c r="ED22" s="241">
        <f t="shared" si="42"/>
        <v>19407.013888888891</v>
      </c>
      <c r="EE22" s="242">
        <f t="shared" si="43"/>
        <v>4.5500000000000006E-2</v>
      </c>
      <c r="EG22" s="261">
        <f t="shared" si="44"/>
        <v>0</v>
      </c>
      <c r="EH22" s="241">
        <f t="shared" si="45"/>
        <v>0</v>
      </c>
      <c r="EI22" s="242">
        <f t="shared" si="46"/>
        <v>0</v>
      </c>
      <c r="EJ22" s="242"/>
      <c r="EK22" s="261">
        <f t="shared" si="47"/>
        <v>153550000</v>
      </c>
      <c r="EL22" s="261">
        <f t="shared" si="48"/>
        <v>0</v>
      </c>
      <c r="EM22" s="261">
        <f t="shared" si="49"/>
        <v>19407.013888888891</v>
      </c>
      <c r="EN22" s="242">
        <f t="shared" si="50"/>
        <v>4.5500000000000006E-2</v>
      </c>
      <c r="EP22" s="241"/>
    </row>
    <row r="23" spans="1:146" x14ac:dyDescent="0.25">
      <c r="A23" s="255">
        <f t="shared" si="51"/>
        <v>45760</v>
      </c>
      <c r="B23" s="241">
        <v>0</v>
      </c>
      <c r="C23" s="242">
        <v>4.6231540000000002E-2</v>
      </c>
      <c r="D23" s="241">
        <f t="shared" si="0"/>
        <v>0</v>
      </c>
      <c r="G23" s="241">
        <f t="shared" si="1"/>
        <v>0</v>
      </c>
      <c r="J23" s="241">
        <f t="shared" si="2"/>
        <v>0</v>
      </c>
      <c r="M23" s="241">
        <f t="shared" si="3"/>
        <v>0</v>
      </c>
      <c r="P23" s="241">
        <f t="shared" si="4"/>
        <v>0</v>
      </c>
      <c r="S23" s="241">
        <f t="shared" si="5"/>
        <v>0</v>
      </c>
      <c r="V23" s="241">
        <f t="shared" si="6"/>
        <v>0</v>
      </c>
      <c r="Y23" s="241">
        <f t="shared" si="7"/>
        <v>0</v>
      </c>
      <c r="AB23" s="241">
        <f t="shared" si="8"/>
        <v>0</v>
      </c>
      <c r="AE23" s="241">
        <v>0</v>
      </c>
      <c r="AH23" s="241">
        <v>0</v>
      </c>
      <c r="AI23" s="256">
        <f>58550000+40000000+55000000</f>
        <v>153550000</v>
      </c>
      <c r="AJ23" s="257">
        <v>4.5499999999999999E-2</v>
      </c>
      <c r="AK23" s="241">
        <f t="shared" si="9"/>
        <v>19407.013888888891</v>
      </c>
      <c r="AL23" s="256"/>
      <c r="AM23" s="257"/>
      <c r="AN23" s="241">
        <f t="shared" si="10"/>
        <v>0</v>
      </c>
      <c r="AO23" s="256"/>
      <c r="AP23" s="257"/>
      <c r="AQ23" s="241">
        <f t="shared" si="11"/>
        <v>0</v>
      </c>
      <c r="AR23" s="256"/>
      <c r="AS23" s="257"/>
      <c r="AT23" s="241">
        <f t="shared" si="12"/>
        <v>0</v>
      </c>
      <c r="AW23" s="241">
        <f t="shared" si="13"/>
        <v>0</v>
      </c>
      <c r="AZ23" s="241">
        <f t="shared" si="14"/>
        <v>0</v>
      </c>
      <c r="BC23" s="241">
        <f t="shared" si="15"/>
        <v>0</v>
      </c>
      <c r="BF23" s="241">
        <f t="shared" si="16"/>
        <v>0</v>
      </c>
      <c r="BI23" s="241">
        <f t="shared" si="17"/>
        <v>0</v>
      </c>
      <c r="BL23" s="241">
        <f t="shared" si="18"/>
        <v>0</v>
      </c>
      <c r="BO23" s="241">
        <f t="shared" si="19"/>
        <v>0</v>
      </c>
      <c r="BR23" s="241">
        <f t="shared" si="20"/>
        <v>0</v>
      </c>
      <c r="BU23" s="241">
        <f t="shared" si="21"/>
        <v>0</v>
      </c>
      <c r="BX23" s="241">
        <f t="shared" si="22"/>
        <v>0</v>
      </c>
      <c r="CA23" s="241">
        <f t="shared" si="23"/>
        <v>0</v>
      </c>
      <c r="CD23" s="241">
        <f t="shared" si="24"/>
        <v>0</v>
      </c>
      <c r="CG23" s="241">
        <f t="shared" si="25"/>
        <v>0</v>
      </c>
      <c r="CJ23" s="241">
        <f t="shared" si="26"/>
        <v>0</v>
      </c>
      <c r="CM23" s="241">
        <f t="shared" si="27"/>
        <v>0</v>
      </c>
      <c r="CP23" s="241">
        <f t="shared" si="28"/>
        <v>0</v>
      </c>
      <c r="CS23" s="241">
        <f t="shared" si="29"/>
        <v>0</v>
      </c>
      <c r="CV23" s="241">
        <f t="shared" si="30"/>
        <v>0</v>
      </c>
      <c r="CY23" s="241">
        <f t="shared" si="31"/>
        <v>0</v>
      </c>
      <c r="DB23" s="241">
        <f t="shared" si="32"/>
        <v>0</v>
      </c>
      <c r="DE23" s="241">
        <f t="shared" si="33"/>
        <v>0</v>
      </c>
      <c r="DH23" s="241">
        <f t="shared" si="34"/>
        <v>0</v>
      </c>
      <c r="DK23" s="241">
        <f t="shared" si="35"/>
        <v>0</v>
      </c>
      <c r="DN23" s="241">
        <f t="shared" si="36"/>
        <v>0</v>
      </c>
      <c r="DQ23" s="241">
        <f t="shared" si="37"/>
        <v>0</v>
      </c>
      <c r="DT23" s="241">
        <f t="shared" si="38"/>
        <v>0</v>
      </c>
      <c r="DW23" s="241">
        <f t="shared" si="39"/>
        <v>0</v>
      </c>
      <c r="DZ23" s="241"/>
      <c r="EA23" s="241"/>
      <c r="EB23" s="261">
        <f t="shared" si="40"/>
        <v>153550000</v>
      </c>
      <c r="EC23" s="261">
        <f t="shared" si="41"/>
        <v>0</v>
      </c>
      <c r="ED23" s="241">
        <f t="shared" si="42"/>
        <v>19407.013888888891</v>
      </c>
      <c r="EE23" s="242">
        <f t="shared" si="43"/>
        <v>4.5500000000000006E-2</v>
      </c>
      <c r="EG23" s="261">
        <f t="shared" si="44"/>
        <v>0</v>
      </c>
      <c r="EH23" s="241">
        <f t="shared" si="45"/>
        <v>0</v>
      </c>
      <c r="EI23" s="242">
        <f t="shared" si="46"/>
        <v>0</v>
      </c>
      <c r="EJ23" s="242"/>
      <c r="EK23" s="261">
        <f t="shared" si="47"/>
        <v>153550000</v>
      </c>
      <c r="EL23" s="261">
        <f t="shared" si="48"/>
        <v>0</v>
      </c>
      <c r="EM23" s="261">
        <f t="shared" si="49"/>
        <v>19407.013888888891</v>
      </c>
      <c r="EN23" s="242">
        <f t="shared" si="50"/>
        <v>4.5500000000000006E-2</v>
      </c>
      <c r="EP23" s="241"/>
    </row>
    <row r="24" spans="1:146" x14ac:dyDescent="0.25">
      <c r="A24" s="255">
        <f t="shared" si="51"/>
        <v>45761</v>
      </c>
      <c r="B24" s="241">
        <v>0</v>
      </c>
      <c r="C24" s="242">
        <v>4.6541680000000002E-2</v>
      </c>
      <c r="D24" s="241">
        <f t="shared" si="0"/>
        <v>0</v>
      </c>
      <c r="G24" s="241">
        <f t="shared" si="1"/>
        <v>0</v>
      </c>
      <c r="J24" s="241">
        <f t="shared" si="2"/>
        <v>0</v>
      </c>
      <c r="M24" s="241">
        <f t="shared" si="3"/>
        <v>0</v>
      </c>
      <c r="P24" s="241">
        <f t="shared" si="4"/>
        <v>0</v>
      </c>
      <c r="S24" s="241">
        <f t="shared" si="5"/>
        <v>0</v>
      </c>
      <c r="V24" s="241">
        <f t="shared" si="6"/>
        <v>0</v>
      </c>
      <c r="Y24" s="241">
        <f t="shared" si="7"/>
        <v>0</v>
      </c>
      <c r="AB24" s="241">
        <f t="shared" si="8"/>
        <v>0</v>
      </c>
      <c r="AE24" s="241">
        <v>0</v>
      </c>
      <c r="AH24" s="241">
        <v>0</v>
      </c>
      <c r="AI24" s="256">
        <f>60225000+60000000</f>
        <v>120225000</v>
      </c>
      <c r="AJ24" s="257">
        <v>4.5499999999999999E-2</v>
      </c>
      <c r="AK24" s="241">
        <f t="shared" si="9"/>
        <v>15195.104166666666</v>
      </c>
      <c r="AL24" s="256">
        <f>45000000</f>
        <v>45000000</v>
      </c>
      <c r="AM24" s="257">
        <v>4.5999999999999999E-2</v>
      </c>
      <c r="AN24" s="241">
        <f t="shared" si="10"/>
        <v>5750</v>
      </c>
      <c r="AO24" s="256"/>
      <c r="AP24" s="257"/>
      <c r="AQ24" s="241">
        <f t="shared" si="11"/>
        <v>0</v>
      </c>
      <c r="AR24" s="256"/>
      <c r="AS24" s="257"/>
      <c r="AT24" s="241">
        <f t="shared" si="12"/>
        <v>0</v>
      </c>
      <c r="AW24" s="241">
        <f t="shared" si="13"/>
        <v>0</v>
      </c>
      <c r="AZ24" s="241">
        <f t="shared" si="14"/>
        <v>0</v>
      </c>
      <c r="BC24" s="241">
        <f t="shared" si="15"/>
        <v>0</v>
      </c>
      <c r="BF24" s="241">
        <f t="shared" si="16"/>
        <v>0</v>
      </c>
      <c r="BI24" s="241">
        <f t="shared" si="17"/>
        <v>0</v>
      </c>
      <c r="BL24" s="241">
        <f t="shared" si="18"/>
        <v>0</v>
      </c>
      <c r="BO24" s="241">
        <f t="shared" si="19"/>
        <v>0</v>
      </c>
      <c r="BR24" s="241">
        <f t="shared" si="20"/>
        <v>0</v>
      </c>
      <c r="BU24" s="241">
        <f t="shared" si="21"/>
        <v>0</v>
      </c>
      <c r="BX24" s="241">
        <f t="shared" si="22"/>
        <v>0</v>
      </c>
      <c r="CA24" s="241">
        <f t="shared" si="23"/>
        <v>0</v>
      </c>
      <c r="CD24" s="241">
        <f t="shared" si="24"/>
        <v>0</v>
      </c>
      <c r="CG24" s="241">
        <f t="shared" si="25"/>
        <v>0</v>
      </c>
      <c r="CJ24" s="241">
        <f t="shared" si="26"/>
        <v>0</v>
      </c>
      <c r="CM24" s="241">
        <f t="shared" si="27"/>
        <v>0</v>
      </c>
      <c r="CP24" s="241">
        <f t="shared" si="28"/>
        <v>0</v>
      </c>
      <c r="CS24" s="241">
        <f t="shared" si="29"/>
        <v>0</v>
      </c>
      <c r="CV24" s="241">
        <f t="shared" si="30"/>
        <v>0</v>
      </c>
      <c r="CY24" s="241">
        <f t="shared" si="31"/>
        <v>0</v>
      </c>
      <c r="DB24" s="241">
        <f t="shared" si="32"/>
        <v>0</v>
      </c>
      <c r="DE24" s="241">
        <f t="shared" si="33"/>
        <v>0</v>
      </c>
      <c r="DH24" s="241">
        <f t="shared" si="34"/>
        <v>0</v>
      </c>
      <c r="DK24" s="241">
        <f t="shared" si="35"/>
        <v>0</v>
      </c>
      <c r="DN24" s="241">
        <f t="shared" si="36"/>
        <v>0</v>
      </c>
      <c r="DQ24" s="241">
        <f t="shared" si="37"/>
        <v>0</v>
      </c>
      <c r="DT24" s="241">
        <f t="shared" si="38"/>
        <v>0</v>
      </c>
      <c r="DW24" s="241">
        <f t="shared" si="39"/>
        <v>0</v>
      </c>
      <c r="DZ24" s="241"/>
      <c r="EA24" s="241"/>
      <c r="EB24" s="261">
        <f t="shared" si="40"/>
        <v>165225000</v>
      </c>
      <c r="EC24" s="261">
        <f t="shared" si="41"/>
        <v>0</v>
      </c>
      <c r="ED24" s="241">
        <f t="shared" si="42"/>
        <v>20945.104166666664</v>
      </c>
      <c r="EE24" s="242">
        <f t="shared" si="43"/>
        <v>4.5636177939173843E-2</v>
      </c>
      <c r="EG24" s="261">
        <f t="shared" si="44"/>
        <v>0</v>
      </c>
      <c r="EH24" s="241">
        <f t="shared" si="45"/>
        <v>0</v>
      </c>
      <c r="EI24" s="242">
        <f t="shared" si="46"/>
        <v>0</v>
      </c>
      <c r="EJ24" s="242"/>
      <c r="EK24" s="261">
        <f t="shared" si="47"/>
        <v>165225000</v>
      </c>
      <c r="EL24" s="261">
        <f t="shared" si="48"/>
        <v>0</v>
      </c>
      <c r="EM24" s="261">
        <f t="shared" si="49"/>
        <v>20945.104166666664</v>
      </c>
      <c r="EN24" s="242">
        <f t="shared" si="50"/>
        <v>4.5636177939173843E-2</v>
      </c>
      <c r="EP24" s="241"/>
    </row>
    <row r="25" spans="1:146" x14ac:dyDescent="0.25">
      <c r="A25" s="255">
        <f t="shared" si="51"/>
        <v>45762</v>
      </c>
      <c r="B25" s="241">
        <v>0</v>
      </c>
      <c r="C25" s="242">
        <v>4.6600390000000005E-2</v>
      </c>
      <c r="D25" s="241">
        <f t="shared" si="0"/>
        <v>0</v>
      </c>
      <c r="G25" s="241">
        <f t="shared" si="1"/>
        <v>0</v>
      </c>
      <c r="J25" s="241">
        <f t="shared" si="2"/>
        <v>0</v>
      </c>
      <c r="M25" s="241">
        <f t="shared" si="3"/>
        <v>0</v>
      </c>
      <c r="P25" s="241">
        <f t="shared" si="4"/>
        <v>0</v>
      </c>
      <c r="S25" s="241">
        <f t="shared" si="5"/>
        <v>0</v>
      </c>
      <c r="V25" s="241">
        <f t="shared" si="6"/>
        <v>0</v>
      </c>
      <c r="Y25" s="241">
        <f t="shared" si="7"/>
        <v>0</v>
      </c>
      <c r="AB25" s="241">
        <f t="shared" si="8"/>
        <v>0</v>
      </c>
      <c r="AE25" s="241">
        <v>0</v>
      </c>
      <c r="AH25" s="241">
        <v>0</v>
      </c>
      <c r="AI25" s="256">
        <f>55000000</f>
        <v>55000000</v>
      </c>
      <c r="AJ25" s="257">
        <v>4.6199999999999998E-2</v>
      </c>
      <c r="AK25" s="241">
        <f t="shared" si="9"/>
        <v>7058.333333333333</v>
      </c>
      <c r="AL25" s="256">
        <f>45000000</f>
        <v>45000000</v>
      </c>
      <c r="AM25" s="257">
        <v>4.65E-2</v>
      </c>
      <c r="AN25" s="241">
        <f t="shared" si="10"/>
        <v>5812.5</v>
      </c>
      <c r="AO25" s="256">
        <f>1819000</f>
        <v>1819000</v>
      </c>
      <c r="AP25" s="257">
        <v>4.6699999999999998E-2</v>
      </c>
      <c r="AQ25" s="241">
        <f t="shared" si="11"/>
        <v>235.96472222222224</v>
      </c>
      <c r="AR25" s="256">
        <f>23181000</f>
        <v>23181000</v>
      </c>
      <c r="AS25" s="257">
        <v>4.7199999999999999E-2</v>
      </c>
      <c r="AT25" s="241">
        <f t="shared" si="12"/>
        <v>3039.2866666666664</v>
      </c>
      <c r="AW25" s="241">
        <f t="shared" si="13"/>
        <v>0</v>
      </c>
      <c r="AZ25" s="241">
        <f t="shared" si="14"/>
        <v>0</v>
      </c>
      <c r="BC25" s="241">
        <f t="shared" si="15"/>
        <v>0</v>
      </c>
      <c r="BF25" s="241">
        <f t="shared" si="16"/>
        <v>0</v>
      </c>
      <c r="BI25" s="241">
        <f t="shared" si="17"/>
        <v>0</v>
      </c>
      <c r="BL25" s="241">
        <f t="shared" si="18"/>
        <v>0</v>
      </c>
      <c r="BO25" s="241">
        <f t="shared" si="19"/>
        <v>0</v>
      </c>
      <c r="BR25" s="241">
        <f t="shared" si="20"/>
        <v>0</v>
      </c>
      <c r="BU25" s="241">
        <f t="shared" si="21"/>
        <v>0</v>
      </c>
      <c r="BX25" s="241">
        <f t="shared" si="22"/>
        <v>0</v>
      </c>
      <c r="CA25" s="241">
        <f t="shared" si="23"/>
        <v>0</v>
      </c>
      <c r="CD25" s="241">
        <f t="shared" si="24"/>
        <v>0</v>
      </c>
      <c r="CG25" s="241">
        <f t="shared" si="25"/>
        <v>0</v>
      </c>
      <c r="CJ25" s="241">
        <f t="shared" si="26"/>
        <v>0</v>
      </c>
      <c r="CM25" s="241">
        <f t="shared" si="27"/>
        <v>0</v>
      </c>
      <c r="CP25" s="241">
        <f t="shared" si="28"/>
        <v>0</v>
      </c>
      <c r="CS25" s="241">
        <f t="shared" si="29"/>
        <v>0</v>
      </c>
      <c r="CV25" s="241">
        <f t="shared" si="30"/>
        <v>0</v>
      </c>
      <c r="CY25" s="241">
        <f t="shared" si="31"/>
        <v>0</v>
      </c>
      <c r="DB25" s="241">
        <f t="shared" si="32"/>
        <v>0</v>
      </c>
      <c r="DE25" s="241">
        <f t="shared" si="33"/>
        <v>0</v>
      </c>
      <c r="DH25" s="241">
        <f t="shared" si="34"/>
        <v>0</v>
      </c>
      <c r="DK25" s="241">
        <f t="shared" si="35"/>
        <v>0</v>
      </c>
      <c r="DN25" s="241">
        <f t="shared" si="36"/>
        <v>0</v>
      </c>
      <c r="DQ25" s="241">
        <f t="shared" si="37"/>
        <v>0</v>
      </c>
      <c r="DT25" s="241">
        <f t="shared" si="38"/>
        <v>0</v>
      </c>
      <c r="DW25" s="241">
        <f t="shared" si="39"/>
        <v>0</v>
      </c>
      <c r="DZ25" s="241"/>
      <c r="EA25" s="241"/>
      <c r="EB25" s="261">
        <f t="shared" si="40"/>
        <v>125000000</v>
      </c>
      <c r="EC25" s="261">
        <f t="shared" si="41"/>
        <v>0</v>
      </c>
      <c r="ED25" s="241">
        <f t="shared" si="42"/>
        <v>16146.084722222222</v>
      </c>
      <c r="EE25" s="242">
        <f t="shared" si="43"/>
        <v>4.6500724E-2</v>
      </c>
      <c r="EG25" s="261">
        <f t="shared" si="44"/>
        <v>0</v>
      </c>
      <c r="EH25" s="241">
        <f t="shared" si="45"/>
        <v>0</v>
      </c>
      <c r="EI25" s="242">
        <f t="shared" si="46"/>
        <v>0</v>
      </c>
      <c r="EJ25" s="242"/>
      <c r="EK25" s="261">
        <f t="shared" si="47"/>
        <v>125000000</v>
      </c>
      <c r="EL25" s="261">
        <f t="shared" si="48"/>
        <v>0</v>
      </c>
      <c r="EM25" s="261">
        <f t="shared" si="49"/>
        <v>16146.084722222222</v>
      </c>
      <c r="EN25" s="242">
        <f t="shared" si="50"/>
        <v>4.6500724E-2</v>
      </c>
      <c r="EP25" s="241"/>
    </row>
    <row r="26" spans="1:146" x14ac:dyDescent="0.25">
      <c r="A26" s="255">
        <f t="shared" si="51"/>
        <v>45763</v>
      </c>
      <c r="B26" s="241">
        <v>0</v>
      </c>
      <c r="C26" s="242">
        <v>4.6672539999999998E-2</v>
      </c>
      <c r="D26" s="241">
        <f t="shared" si="0"/>
        <v>0</v>
      </c>
      <c r="G26" s="241">
        <f t="shared" si="1"/>
        <v>0</v>
      </c>
      <c r="J26" s="241">
        <f t="shared" si="2"/>
        <v>0</v>
      </c>
      <c r="M26" s="241">
        <f t="shared" si="3"/>
        <v>0</v>
      </c>
      <c r="P26" s="241">
        <f t="shared" si="4"/>
        <v>0</v>
      </c>
      <c r="S26" s="241">
        <f t="shared" si="5"/>
        <v>0</v>
      </c>
      <c r="V26" s="241">
        <f t="shared" si="6"/>
        <v>0</v>
      </c>
      <c r="Y26" s="241">
        <f t="shared" si="7"/>
        <v>0</v>
      </c>
      <c r="AB26" s="241">
        <f t="shared" si="8"/>
        <v>0</v>
      </c>
      <c r="AE26" s="241">
        <v>0</v>
      </c>
      <c r="AH26" s="241">
        <v>0</v>
      </c>
      <c r="AI26" s="256">
        <f>18650000+25000000</f>
        <v>43650000</v>
      </c>
      <c r="AJ26" s="257">
        <v>4.65E-2</v>
      </c>
      <c r="AK26" s="241">
        <f t="shared" si="9"/>
        <v>5638.125</v>
      </c>
      <c r="AL26" s="256"/>
      <c r="AM26" s="257"/>
      <c r="AN26" s="241">
        <f t="shared" si="10"/>
        <v>0</v>
      </c>
      <c r="AO26" s="256"/>
      <c r="AP26" s="257"/>
      <c r="AQ26" s="241">
        <f t="shared" si="11"/>
        <v>0</v>
      </c>
      <c r="AR26" s="256"/>
      <c r="AS26" s="257"/>
      <c r="AT26" s="241">
        <f t="shared" si="12"/>
        <v>0</v>
      </c>
      <c r="AW26" s="241">
        <f t="shared" si="13"/>
        <v>0</v>
      </c>
      <c r="AZ26" s="241">
        <f t="shared" si="14"/>
        <v>0</v>
      </c>
      <c r="BC26" s="241">
        <f t="shared" si="15"/>
        <v>0</v>
      </c>
      <c r="BF26" s="241">
        <f t="shared" si="16"/>
        <v>0</v>
      </c>
      <c r="BI26" s="241">
        <f t="shared" si="17"/>
        <v>0</v>
      </c>
      <c r="BL26" s="241">
        <f t="shared" si="18"/>
        <v>0</v>
      </c>
      <c r="BO26" s="241">
        <f t="shared" si="19"/>
        <v>0</v>
      </c>
      <c r="BR26" s="241">
        <f t="shared" si="20"/>
        <v>0</v>
      </c>
      <c r="BU26" s="241">
        <f t="shared" si="21"/>
        <v>0</v>
      </c>
      <c r="BX26" s="241">
        <f t="shared" si="22"/>
        <v>0</v>
      </c>
      <c r="CA26" s="241">
        <f t="shared" si="23"/>
        <v>0</v>
      </c>
      <c r="CD26" s="241">
        <f t="shared" si="24"/>
        <v>0</v>
      </c>
      <c r="CG26" s="241">
        <f t="shared" si="25"/>
        <v>0</v>
      </c>
      <c r="CJ26" s="241">
        <f t="shared" si="26"/>
        <v>0</v>
      </c>
      <c r="CM26" s="241">
        <f t="shared" si="27"/>
        <v>0</v>
      </c>
      <c r="CP26" s="241">
        <f t="shared" si="28"/>
        <v>0</v>
      </c>
      <c r="CS26" s="241">
        <f t="shared" si="29"/>
        <v>0</v>
      </c>
      <c r="CV26" s="241">
        <f t="shared" si="30"/>
        <v>0</v>
      </c>
      <c r="CY26" s="241">
        <f t="shared" si="31"/>
        <v>0</v>
      </c>
      <c r="DB26" s="241">
        <f t="shared" si="32"/>
        <v>0</v>
      </c>
      <c r="DE26" s="241">
        <f t="shared" si="33"/>
        <v>0</v>
      </c>
      <c r="DH26" s="241">
        <f t="shared" si="34"/>
        <v>0</v>
      </c>
      <c r="DK26" s="241">
        <f t="shared" si="35"/>
        <v>0</v>
      </c>
      <c r="DN26" s="241">
        <f t="shared" si="36"/>
        <v>0</v>
      </c>
      <c r="DQ26" s="241">
        <f t="shared" si="37"/>
        <v>0</v>
      </c>
      <c r="DT26" s="241">
        <f t="shared" si="38"/>
        <v>0</v>
      </c>
      <c r="DW26" s="241">
        <f t="shared" si="39"/>
        <v>0</v>
      </c>
      <c r="DZ26" s="241"/>
      <c r="EA26" s="241"/>
      <c r="EB26" s="261">
        <f t="shared" si="40"/>
        <v>43650000</v>
      </c>
      <c r="EC26" s="261">
        <f t="shared" si="41"/>
        <v>0</v>
      </c>
      <c r="ED26" s="241">
        <f t="shared" si="42"/>
        <v>5638.125</v>
      </c>
      <c r="EE26" s="242">
        <f t="shared" si="43"/>
        <v>4.65E-2</v>
      </c>
      <c r="EG26" s="261">
        <f t="shared" si="44"/>
        <v>0</v>
      </c>
      <c r="EH26" s="241">
        <f t="shared" si="45"/>
        <v>0</v>
      </c>
      <c r="EI26" s="242">
        <f t="shared" si="46"/>
        <v>0</v>
      </c>
      <c r="EJ26" s="242"/>
      <c r="EK26" s="261">
        <f t="shared" si="47"/>
        <v>43650000</v>
      </c>
      <c r="EL26" s="261">
        <f t="shared" si="48"/>
        <v>0</v>
      </c>
      <c r="EM26" s="261">
        <f t="shared" si="49"/>
        <v>5638.125</v>
      </c>
      <c r="EN26" s="242">
        <f t="shared" si="50"/>
        <v>4.65E-2</v>
      </c>
      <c r="EP26" s="241"/>
    </row>
    <row r="27" spans="1:146" x14ac:dyDescent="0.25">
      <c r="A27" s="255">
        <f t="shared" si="51"/>
        <v>45764</v>
      </c>
      <c r="B27" s="241">
        <v>0</v>
      </c>
      <c r="C27" s="242">
        <v>4.6665169999999999E-2</v>
      </c>
      <c r="D27" s="241">
        <f t="shared" si="0"/>
        <v>0</v>
      </c>
      <c r="G27" s="241">
        <f t="shared" si="1"/>
        <v>0</v>
      </c>
      <c r="J27" s="241">
        <f t="shared" si="2"/>
        <v>0</v>
      </c>
      <c r="M27" s="241">
        <f t="shared" si="3"/>
        <v>0</v>
      </c>
      <c r="P27" s="241">
        <f t="shared" si="4"/>
        <v>0</v>
      </c>
      <c r="S27" s="241">
        <f t="shared" si="5"/>
        <v>0</v>
      </c>
      <c r="V27" s="241">
        <f t="shared" si="6"/>
        <v>0</v>
      </c>
      <c r="Y27" s="241">
        <f t="shared" si="7"/>
        <v>0</v>
      </c>
      <c r="AB27" s="241">
        <f t="shared" si="8"/>
        <v>0</v>
      </c>
      <c r="AE27" s="241">
        <v>0</v>
      </c>
      <c r="AH27" s="241">
        <v>0</v>
      </c>
      <c r="AI27" s="256">
        <f>23000000+11850000</f>
        <v>34850000</v>
      </c>
      <c r="AJ27" s="257">
        <v>4.65E-2</v>
      </c>
      <c r="AK27" s="241">
        <f t="shared" si="9"/>
        <v>4501.458333333333</v>
      </c>
      <c r="AL27" s="256"/>
      <c r="AM27" s="257"/>
      <c r="AN27" s="241">
        <f t="shared" si="10"/>
        <v>0</v>
      </c>
      <c r="AO27" s="256"/>
      <c r="AP27" s="257"/>
      <c r="AQ27" s="241">
        <f t="shared" si="11"/>
        <v>0</v>
      </c>
      <c r="AR27" s="256"/>
      <c r="AS27" s="257"/>
      <c r="AT27" s="241">
        <f t="shared" si="12"/>
        <v>0</v>
      </c>
      <c r="AW27" s="241">
        <f t="shared" si="13"/>
        <v>0</v>
      </c>
      <c r="AZ27" s="241">
        <f t="shared" si="14"/>
        <v>0</v>
      </c>
      <c r="BC27" s="241">
        <f t="shared" si="15"/>
        <v>0</v>
      </c>
      <c r="BF27" s="241">
        <f t="shared" si="16"/>
        <v>0</v>
      </c>
      <c r="BI27" s="241">
        <f t="shared" si="17"/>
        <v>0</v>
      </c>
      <c r="BL27" s="241">
        <f t="shared" si="18"/>
        <v>0</v>
      </c>
      <c r="BO27" s="241">
        <f t="shared" si="19"/>
        <v>0</v>
      </c>
      <c r="BR27" s="241">
        <f t="shared" si="20"/>
        <v>0</v>
      </c>
      <c r="BU27" s="241">
        <f t="shared" si="21"/>
        <v>0</v>
      </c>
      <c r="BX27" s="241">
        <f t="shared" si="22"/>
        <v>0</v>
      </c>
      <c r="CA27" s="241">
        <f t="shared" si="23"/>
        <v>0</v>
      </c>
      <c r="CD27" s="241">
        <f t="shared" si="24"/>
        <v>0</v>
      </c>
      <c r="CG27" s="241">
        <f t="shared" si="25"/>
        <v>0</v>
      </c>
      <c r="CJ27" s="241">
        <f t="shared" si="26"/>
        <v>0</v>
      </c>
      <c r="CM27" s="241">
        <f t="shared" si="27"/>
        <v>0</v>
      </c>
      <c r="CP27" s="241">
        <f t="shared" si="28"/>
        <v>0</v>
      </c>
      <c r="CS27" s="241">
        <f t="shared" si="29"/>
        <v>0</v>
      </c>
      <c r="CV27" s="241">
        <f t="shared" si="30"/>
        <v>0</v>
      </c>
      <c r="CY27" s="241">
        <f t="shared" si="31"/>
        <v>0</v>
      </c>
      <c r="DB27" s="241">
        <f t="shared" si="32"/>
        <v>0</v>
      </c>
      <c r="DE27" s="241">
        <f t="shared" si="33"/>
        <v>0</v>
      </c>
      <c r="DH27" s="241">
        <f t="shared" si="34"/>
        <v>0</v>
      </c>
      <c r="DK27" s="241">
        <f t="shared" si="35"/>
        <v>0</v>
      </c>
      <c r="DN27" s="241">
        <f t="shared" si="36"/>
        <v>0</v>
      </c>
      <c r="DQ27" s="241">
        <f t="shared" si="37"/>
        <v>0</v>
      </c>
      <c r="DT27" s="241">
        <f t="shared" si="38"/>
        <v>0</v>
      </c>
      <c r="DW27" s="241">
        <f t="shared" si="39"/>
        <v>0</v>
      </c>
      <c r="DZ27" s="241"/>
      <c r="EA27" s="241"/>
      <c r="EB27" s="261">
        <f t="shared" si="40"/>
        <v>34850000</v>
      </c>
      <c r="EC27" s="261">
        <f t="shared" si="41"/>
        <v>0</v>
      </c>
      <c r="ED27" s="241">
        <f t="shared" si="42"/>
        <v>4501.458333333333</v>
      </c>
      <c r="EE27" s="242">
        <f t="shared" si="43"/>
        <v>4.65E-2</v>
      </c>
      <c r="EG27" s="261">
        <f t="shared" si="44"/>
        <v>0</v>
      </c>
      <c r="EH27" s="241">
        <f t="shared" si="45"/>
        <v>0</v>
      </c>
      <c r="EI27" s="242">
        <f t="shared" si="46"/>
        <v>0</v>
      </c>
      <c r="EJ27" s="242"/>
      <c r="EK27" s="261">
        <f t="shared" si="47"/>
        <v>34850000</v>
      </c>
      <c r="EL27" s="261">
        <f t="shared" si="48"/>
        <v>0</v>
      </c>
      <c r="EM27" s="261">
        <f t="shared" si="49"/>
        <v>4501.458333333333</v>
      </c>
      <c r="EN27" s="242">
        <f t="shared" si="50"/>
        <v>4.65E-2</v>
      </c>
      <c r="EP27" s="241"/>
    </row>
    <row r="28" spans="1:146" x14ac:dyDescent="0.25">
      <c r="A28" s="255">
        <f t="shared" si="51"/>
        <v>45765</v>
      </c>
      <c r="B28" s="241">
        <v>2075000</v>
      </c>
      <c r="C28" s="242">
        <v>4.6632590000000002E-2</v>
      </c>
      <c r="D28" s="241">
        <f t="shared" si="0"/>
        <v>268.78506736111115</v>
      </c>
      <c r="G28" s="241">
        <f t="shared" si="1"/>
        <v>0</v>
      </c>
      <c r="J28" s="241">
        <f t="shared" si="2"/>
        <v>0</v>
      </c>
      <c r="M28" s="241">
        <f t="shared" si="3"/>
        <v>0</v>
      </c>
      <c r="P28" s="241">
        <f t="shared" si="4"/>
        <v>0</v>
      </c>
      <c r="S28" s="241">
        <f t="shared" si="5"/>
        <v>0</v>
      </c>
      <c r="V28" s="241">
        <f t="shared" si="6"/>
        <v>0</v>
      </c>
      <c r="Y28" s="241">
        <f t="shared" si="7"/>
        <v>0</v>
      </c>
      <c r="AB28" s="241">
        <f t="shared" si="8"/>
        <v>0</v>
      </c>
      <c r="AE28" s="241">
        <v>0</v>
      </c>
      <c r="AH28" s="241">
        <v>0</v>
      </c>
      <c r="AI28" s="256">
        <f>23000000+11850000</f>
        <v>34850000</v>
      </c>
      <c r="AJ28" s="257">
        <v>4.65E-2</v>
      </c>
      <c r="AK28" s="241">
        <f t="shared" si="9"/>
        <v>4501.458333333333</v>
      </c>
      <c r="AL28" s="256"/>
      <c r="AM28" s="257"/>
      <c r="AN28" s="241">
        <f t="shared" si="10"/>
        <v>0</v>
      </c>
      <c r="AO28" s="256"/>
      <c r="AP28" s="257"/>
      <c r="AQ28" s="241">
        <f t="shared" si="11"/>
        <v>0</v>
      </c>
      <c r="AR28" s="256"/>
      <c r="AS28" s="257"/>
      <c r="AT28" s="241">
        <f t="shared" si="12"/>
        <v>0</v>
      </c>
      <c r="AW28" s="241">
        <f t="shared" si="13"/>
        <v>0</v>
      </c>
      <c r="AZ28" s="241">
        <f t="shared" si="14"/>
        <v>0</v>
      </c>
      <c r="BC28" s="241">
        <f t="shared" si="15"/>
        <v>0</v>
      </c>
      <c r="BF28" s="241">
        <f t="shared" si="16"/>
        <v>0</v>
      </c>
      <c r="BI28" s="241">
        <f t="shared" si="17"/>
        <v>0</v>
      </c>
      <c r="BL28" s="241">
        <f t="shared" si="18"/>
        <v>0</v>
      </c>
      <c r="BO28" s="241">
        <f t="shared" si="19"/>
        <v>0</v>
      </c>
      <c r="BR28" s="241">
        <f t="shared" si="20"/>
        <v>0</v>
      </c>
      <c r="BU28" s="241">
        <f t="shared" si="21"/>
        <v>0</v>
      </c>
      <c r="BX28" s="241">
        <f t="shared" si="22"/>
        <v>0</v>
      </c>
      <c r="CA28" s="241">
        <f t="shared" si="23"/>
        <v>0</v>
      </c>
      <c r="CD28" s="241">
        <f t="shared" si="24"/>
        <v>0</v>
      </c>
      <c r="CG28" s="241">
        <f t="shared" si="25"/>
        <v>0</v>
      </c>
      <c r="CJ28" s="241">
        <f t="shared" si="26"/>
        <v>0</v>
      </c>
      <c r="CM28" s="241">
        <f t="shared" si="27"/>
        <v>0</v>
      </c>
      <c r="CP28" s="241">
        <f t="shared" si="28"/>
        <v>0</v>
      </c>
      <c r="CS28" s="241">
        <f t="shared" si="29"/>
        <v>0</v>
      </c>
      <c r="CV28" s="241">
        <f t="shared" si="30"/>
        <v>0</v>
      </c>
      <c r="CY28" s="241">
        <f t="shared" si="31"/>
        <v>0</v>
      </c>
      <c r="DB28" s="241">
        <f t="shared" si="32"/>
        <v>0</v>
      </c>
      <c r="DE28" s="241">
        <f t="shared" si="33"/>
        <v>0</v>
      </c>
      <c r="DH28" s="241">
        <f t="shared" si="34"/>
        <v>0</v>
      </c>
      <c r="DK28" s="241">
        <f t="shared" si="35"/>
        <v>0</v>
      </c>
      <c r="DN28" s="241">
        <f t="shared" si="36"/>
        <v>0</v>
      </c>
      <c r="DQ28" s="241">
        <f t="shared" si="37"/>
        <v>0</v>
      </c>
      <c r="DT28" s="241">
        <f t="shared" si="38"/>
        <v>0</v>
      </c>
      <c r="DW28" s="241">
        <f t="shared" si="39"/>
        <v>0</v>
      </c>
      <c r="DZ28" s="241"/>
      <c r="EA28" s="241"/>
      <c r="EB28" s="261">
        <f t="shared" si="40"/>
        <v>36925000</v>
      </c>
      <c r="EC28" s="261">
        <f t="shared" si="41"/>
        <v>2075000</v>
      </c>
      <c r="ED28" s="241">
        <f t="shared" si="42"/>
        <v>4770.2434006944441</v>
      </c>
      <c r="EE28" s="242">
        <f t="shared" si="43"/>
        <v>4.650745089370345E-2</v>
      </c>
      <c r="EG28" s="261">
        <f t="shared" si="44"/>
        <v>0</v>
      </c>
      <c r="EH28" s="241">
        <f t="shared" si="45"/>
        <v>0</v>
      </c>
      <c r="EI28" s="242">
        <f t="shared" si="46"/>
        <v>0</v>
      </c>
      <c r="EJ28" s="242"/>
      <c r="EK28" s="261">
        <f t="shared" si="47"/>
        <v>34850000</v>
      </c>
      <c r="EL28" s="261">
        <f t="shared" si="48"/>
        <v>0</v>
      </c>
      <c r="EM28" s="261">
        <f t="shared" si="49"/>
        <v>4501.458333333333</v>
      </c>
      <c r="EN28" s="242">
        <f t="shared" si="50"/>
        <v>4.65E-2</v>
      </c>
      <c r="EP28" s="241"/>
    </row>
    <row r="29" spans="1:146" x14ac:dyDescent="0.25">
      <c r="A29" s="255">
        <f t="shared" si="51"/>
        <v>45766</v>
      </c>
      <c r="B29" s="241">
        <v>2075000</v>
      </c>
      <c r="C29" s="242">
        <v>4.6632590000000002E-2</v>
      </c>
      <c r="D29" s="241">
        <f t="shared" si="0"/>
        <v>268.78506736111115</v>
      </c>
      <c r="G29" s="241">
        <f t="shared" si="1"/>
        <v>0</v>
      </c>
      <c r="J29" s="241">
        <f t="shared" si="2"/>
        <v>0</v>
      </c>
      <c r="M29" s="241">
        <f t="shared" si="3"/>
        <v>0</v>
      </c>
      <c r="P29" s="241">
        <f t="shared" si="4"/>
        <v>0</v>
      </c>
      <c r="S29" s="241">
        <f t="shared" si="5"/>
        <v>0</v>
      </c>
      <c r="V29" s="241">
        <f t="shared" si="6"/>
        <v>0</v>
      </c>
      <c r="Y29" s="241">
        <f t="shared" si="7"/>
        <v>0</v>
      </c>
      <c r="AB29" s="241">
        <f t="shared" si="8"/>
        <v>0</v>
      </c>
      <c r="AE29" s="241">
        <v>0</v>
      </c>
      <c r="AH29" s="241">
        <v>0</v>
      </c>
      <c r="AI29" s="256">
        <f>23000000+11850000</f>
        <v>34850000</v>
      </c>
      <c r="AJ29" s="257">
        <v>4.65E-2</v>
      </c>
      <c r="AK29" s="241">
        <f t="shared" si="9"/>
        <v>4501.458333333333</v>
      </c>
      <c r="AL29" s="256"/>
      <c r="AM29" s="257"/>
      <c r="AN29" s="241">
        <f t="shared" si="10"/>
        <v>0</v>
      </c>
      <c r="AO29" s="256"/>
      <c r="AP29" s="257"/>
      <c r="AQ29" s="241">
        <f t="shared" si="11"/>
        <v>0</v>
      </c>
      <c r="AR29" s="256"/>
      <c r="AS29" s="257"/>
      <c r="AT29" s="241">
        <f t="shared" si="12"/>
        <v>0</v>
      </c>
      <c r="AW29" s="241">
        <f t="shared" si="13"/>
        <v>0</v>
      </c>
      <c r="AZ29" s="241">
        <f t="shared" si="14"/>
        <v>0</v>
      </c>
      <c r="BC29" s="241">
        <f t="shared" si="15"/>
        <v>0</v>
      </c>
      <c r="BF29" s="241">
        <f t="shared" si="16"/>
        <v>0</v>
      </c>
      <c r="BI29" s="241">
        <f t="shared" si="17"/>
        <v>0</v>
      </c>
      <c r="BL29" s="241">
        <f t="shared" si="18"/>
        <v>0</v>
      </c>
      <c r="BO29" s="241">
        <f t="shared" si="19"/>
        <v>0</v>
      </c>
      <c r="BR29" s="241">
        <f t="shared" si="20"/>
        <v>0</v>
      </c>
      <c r="BU29" s="241">
        <f t="shared" si="21"/>
        <v>0</v>
      </c>
      <c r="BX29" s="241">
        <f t="shared" si="22"/>
        <v>0</v>
      </c>
      <c r="CA29" s="241">
        <f t="shared" si="23"/>
        <v>0</v>
      </c>
      <c r="CD29" s="241">
        <f t="shared" si="24"/>
        <v>0</v>
      </c>
      <c r="CG29" s="241">
        <f t="shared" si="25"/>
        <v>0</v>
      </c>
      <c r="CJ29" s="241">
        <f t="shared" si="26"/>
        <v>0</v>
      </c>
      <c r="CM29" s="241">
        <f t="shared" si="27"/>
        <v>0</v>
      </c>
      <c r="CP29" s="241">
        <f t="shared" si="28"/>
        <v>0</v>
      </c>
      <c r="CS29" s="241">
        <f t="shared" si="29"/>
        <v>0</v>
      </c>
      <c r="CV29" s="241">
        <f t="shared" si="30"/>
        <v>0</v>
      </c>
      <c r="CY29" s="241">
        <f t="shared" si="31"/>
        <v>0</v>
      </c>
      <c r="DB29" s="241">
        <f t="shared" si="32"/>
        <v>0</v>
      </c>
      <c r="DE29" s="241">
        <f t="shared" si="33"/>
        <v>0</v>
      </c>
      <c r="DH29" s="241">
        <f t="shared" si="34"/>
        <v>0</v>
      </c>
      <c r="DK29" s="241">
        <f t="shared" si="35"/>
        <v>0</v>
      </c>
      <c r="DN29" s="241">
        <f t="shared" si="36"/>
        <v>0</v>
      </c>
      <c r="DQ29" s="241">
        <f t="shared" si="37"/>
        <v>0</v>
      </c>
      <c r="DT29" s="241">
        <f t="shared" si="38"/>
        <v>0</v>
      </c>
      <c r="DW29" s="241">
        <f t="shared" si="39"/>
        <v>0</v>
      </c>
      <c r="DZ29" s="241"/>
      <c r="EA29" s="241"/>
      <c r="EB29" s="261">
        <f t="shared" si="40"/>
        <v>36925000</v>
      </c>
      <c r="EC29" s="261">
        <f t="shared" si="41"/>
        <v>2075000</v>
      </c>
      <c r="ED29" s="241">
        <f t="shared" si="42"/>
        <v>4770.2434006944441</v>
      </c>
      <c r="EE29" s="242">
        <f t="shared" si="43"/>
        <v>4.650745089370345E-2</v>
      </c>
      <c r="EG29" s="261">
        <f t="shared" si="44"/>
        <v>0</v>
      </c>
      <c r="EH29" s="241">
        <f t="shared" si="45"/>
        <v>0</v>
      </c>
      <c r="EI29" s="242">
        <f t="shared" si="46"/>
        <v>0</v>
      </c>
      <c r="EJ29" s="242"/>
      <c r="EK29" s="261">
        <f t="shared" si="47"/>
        <v>34850000</v>
      </c>
      <c r="EL29" s="261">
        <f t="shared" si="48"/>
        <v>0</v>
      </c>
      <c r="EM29" s="261">
        <f t="shared" si="49"/>
        <v>4501.458333333333</v>
      </c>
      <c r="EN29" s="242">
        <f t="shared" si="50"/>
        <v>4.65E-2</v>
      </c>
      <c r="EP29" s="241"/>
    </row>
    <row r="30" spans="1:146" x14ac:dyDescent="0.25">
      <c r="A30" s="255">
        <f t="shared" si="51"/>
        <v>45767</v>
      </c>
      <c r="B30" s="241">
        <v>2075000</v>
      </c>
      <c r="C30" s="242">
        <v>4.6632590000000002E-2</v>
      </c>
      <c r="D30" s="241">
        <f t="shared" si="0"/>
        <v>268.78506736111115</v>
      </c>
      <c r="G30" s="241">
        <f t="shared" si="1"/>
        <v>0</v>
      </c>
      <c r="J30" s="241">
        <f t="shared" si="2"/>
        <v>0</v>
      </c>
      <c r="M30" s="241">
        <f t="shared" si="3"/>
        <v>0</v>
      </c>
      <c r="P30" s="241">
        <f t="shared" si="4"/>
        <v>0</v>
      </c>
      <c r="S30" s="241">
        <f t="shared" si="5"/>
        <v>0</v>
      </c>
      <c r="V30" s="241">
        <f t="shared" si="6"/>
        <v>0</v>
      </c>
      <c r="Y30" s="241">
        <f t="shared" si="7"/>
        <v>0</v>
      </c>
      <c r="AB30" s="241">
        <f t="shared" si="8"/>
        <v>0</v>
      </c>
      <c r="AE30" s="241">
        <v>0</v>
      </c>
      <c r="AH30" s="241">
        <v>0</v>
      </c>
      <c r="AI30" s="256">
        <f>23000000+11850000</f>
        <v>34850000</v>
      </c>
      <c r="AJ30" s="257">
        <v>4.65E-2</v>
      </c>
      <c r="AK30" s="241">
        <f t="shared" si="9"/>
        <v>4501.458333333333</v>
      </c>
      <c r="AL30" s="256"/>
      <c r="AM30" s="257"/>
      <c r="AN30" s="241">
        <f t="shared" si="10"/>
        <v>0</v>
      </c>
      <c r="AO30" s="256"/>
      <c r="AP30" s="257"/>
      <c r="AQ30" s="241">
        <f t="shared" si="11"/>
        <v>0</v>
      </c>
      <c r="AR30" s="256"/>
      <c r="AS30" s="257"/>
      <c r="AT30" s="241">
        <f t="shared" si="12"/>
        <v>0</v>
      </c>
      <c r="AW30" s="241">
        <f t="shared" si="13"/>
        <v>0</v>
      </c>
      <c r="AZ30" s="241">
        <f t="shared" si="14"/>
        <v>0</v>
      </c>
      <c r="BC30" s="241">
        <f t="shared" si="15"/>
        <v>0</v>
      </c>
      <c r="BF30" s="241">
        <f t="shared" si="16"/>
        <v>0</v>
      </c>
      <c r="BI30" s="241">
        <f t="shared" si="17"/>
        <v>0</v>
      </c>
      <c r="BL30" s="241">
        <f t="shared" si="18"/>
        <v>0</v>
      </c>
      <c r="BO30" s="241">
        <f t="shared" si="19"/>
        <v>0</v>
      </c>
      <c r="BR30" s="241">
        <f t="shared" si="20"/>
        <v>0</v>
      </c>
      <c r="BU30" s="241">
        <f t="shared" si="21"/>
        <v>0</v>
      </c>
      <c r="BX30" s="241">
        <f t="shared" si="22"/>
        <v>0</v>
      </c>
      <c r="CA30" s="241">
        <f t="shared" si="23"/>
        <v>0</v>
      </c>
      <c r="CD30" s="241">
        <f t="shared" si="24"/>
        <v>0</v>
      </c>
      <c r="CG30" s="241">
        <f t="shared" si="25"/>
        <v>0</v>
      </c>
      <c r="CJ30" s="241">
        <f t="shared" si="26"/>
        <v>0</v>
      </c>
      <c r="CM30" s="241">
        <f t="shared" si="27"/>
        <v>0</v>
      </c>
      <c r="CP30" s="241">
        <f t="shared" si="28"/>
        <v>0</v>
      </c>
      <c r="CS30" s="241">
        <f t="shared" si="29"/>
        <v>0</v>
      </c>
      <c r="CV30" s="241">
        <f t="shared" si="30"/>
        <v>0</v>
      </c>
      <c r="CY30" s="241">
        <f t="shared" si="31"/>
        <v>0</v>
      </c>
      <c r="DB30" s="241">
        <f t="shared" si="32"/>
        <v>0</v>
      </c>
      <c r="DE30" s="241">
        <f t="shared" si="33"/>
        <v>0</v>
      </c>
      <c r="DH30" s="241">
        <f t="shared" si="34"/>
        <v>0</v>
      </c>
      <c r="DK30" s="241">
        <f t="shared" si="35"/>
        <v>0</v>
      </c>
      <c r="DN30" s="241">
        <f t="shared" si="36"/>
        <v>0</v>
      </c>
      <c r="DQ30" s="241">
        <f t="shared" si="37"/>
        <v>0</v>
      </c>
      <c r="DT30" s="241">
        <f t="shared" si="38"/>
        <v>0</v>
      </c>
      <c r="DW30" s="241">
        <f t="shared" si="39"/>
        <v>0</v>
      </c>
      <c r="DZ30" s="241"/>
      <c r="EA30" s="241"/>
      <c r="EB30" s="261">
        <f t="shared" si="40"/>
        <v>36925000</v>
      </c>
      <c r="EC30" s="261">
        <f t="shared" si="41"/>
        <v>2075000</v>
      </c>
      <c r="ED30" s="241">
        <f t="shared" si="42"/>
        <v>4770.2434006944441</v>
      </c>
      <c r="EE30" s="242">
        <f t="shared" si="43"/>
        <v>4.650745089370345E-2</v>
      </c>
      <c r="EG30" s="261">
        <f t="shared" si="44"/>
        <v>0</v>
      </c>
      <c r="EH30" s="241">
        <f t="shared" si="45"/>
        <v>0</v>
      </c>
      <c r="EI30" s="242">
        <f t="shared" si="46"/>
        <v>0</v>
      </c>
      <c r="EJ30" s="242"/>
      <c r="EK30" s="261">
        <f t="shared" si="47"/>
        <v>34850000</v>
      </c>
      <c r="EL30" s="261">
        <f t="shared" si="48"/>
        <v>0</v>
      </c>
      <c r="EM30" s="261">
        <f t="shared" si="49"/>
        <v>4501.458333333333</v>
      </c>
      <c r="EN30" s="242">
        <f t="shared" si="50"/>
        <v>4.65E-2</v>
      </c>
      <c r="EP30" s="241"/>
    </row>
    <row r="31" spans="1:146" x14ac:dyDescent="0.25">
      <c r="A31" s="255">
        <f t="shared" si="51"/>
        <v>45768</v>
      </c>
      <c r="B31" s="241">
        <v>0</v>
      </c>
      <c r="C31" s="242">
        <v>4.6677739999999995E-2</v>
      </c>
      <c r="D31" s="241">
        <f t="shared" si="0"/>
        <v>0</v>
      </c>
      <c r="G31" s="241">
        <f t="shared" si="1"/>
        <v>0</v>
      </c>
      <c r="J31" s="241">
        <f t="shared" si="2"/>
        <v>0</v>
      </c>
      <c r="M31" s="241">
        <f t="shared" si="3"/>
        <v>0</v>
      </c>
      <c r="P31" s="241">
        <f t="shared" si="4"/>
        <v>0</v>
      </c>
      <c r="S31" s="241">
        <f t="shared" si="5"/>
        <v>0</v>
      </c>
      <c r="V31" s="241">
        <f t="shared" si="6"/>
        <v>0</v>
      </c>
      <c r="Y31" s="241">
        <f t="shared" si="7"/>
        <v>0</v>
      </c>
      <c r="AB31" s="241">
        <f t="shared" si="8"/>
        <v>0</v>
      </c>
      <c r="AE31" s="241">
        <v>0</v>
      </c>
      <c r="AH31" s="241">
        <v>0</v>
      </c>
      <c r="AI31" s="256">
        <f>30000000+16450000</f>
        <v>46450000</v>
      </c>
      <c r="AJ31" s="257">
        <v>4.65E-2</v>
      </c>
      <c r="AK31" s="241">
        <f t="shared" si="9"/>
        <v>5999.791666666667</v>
      </c>
      <c r="AL31" s="256"/>
      <c r="AM31" s="257"/>
      <c r="AN31" s="241">
        <f t="shared" si="10"/>
        <v>0</v>
      </c>
      <c r="AO31" s="256"/>
      <c r="AP31" s="257"/>
      <c r="AQ31" s="241">
        <f t="shared" si="11"/>
        <v>0</v>
      </c>
      <c r="AR31" s="256"/>
      <c r="AS31" s="257"/>
      <c r="AT31" s="241">
        <f t="shared" si="12"/>
        <v>0</v>
      </c>
      <c r="AW31" s="241">
        <f t="shared" si="13"/>
        <v>0</v>
      </c>
      <c r="AZ31" s="241">
        <f t="shared" si="14"/>
        <v>0</v>
      </c>
      <c r="BC31" s="241">
        <f t="shared" si="15"/>
        <v>0</v>
      </c>
      <c r="BF31" s="241">
        <f t="shared" si="16"/>
        <v>0</v>
      </c>
      <c r="BI31" s="241">
        <f t="shared" si="17"/>
        <v>0</v>
      </c>
      <c r="BL31" s="241">
        <f t="shared" si="18"/>
        <v>0</v>
      </c>
      <c r="BO31" s="241">
        <f t="shared" si="19"/>
        <v>0</v>
      </c>
      <c r="BR31" s="241">
        <f t="shared" si="20"/>
        <v>0</v>
      </c>
      <c r="BU31" s="241">
        <f t="shared" si="21"/>
        <v>0</v>
      </c>
      <c r="BX31" s="241">
        <f t="shared" si="22"/>
        <v>0</v>
      </c>
      <c r="CA31" s="241">
        <f t="shared" si="23"/>
        <v>0</v>
      </c>
      <c r="CD31" s="241">
        <f t="shared" si="24"/>
        <v>0</v>
      </c>
      <c r="CG31" s="241">
        <f t="shared" si="25"/>
        <v>0</v>
      </c>
      <c r="CJ31" s="241">
        <f t="shared" si="26"/>
        <v>0</v>
      </c>
      <c r="CM31" s="241">
        <f t="shared" si="27"/>
        <v>0</v>
      </c>
      <c r="CP31" s="241">
        <f t="shared" si="28"/>
        <v>0</v>
      </c>
      <c r="CS31" s="241">
        <f t="shared" si="29"/>
        <v>0</v>
      </c>
      <c r="CV31" s="241">
        <f t="shared" si="30"/>
        <v>0</v>
      </c>
      <c r="CY31" s="241">
        <f t="shared" si="31"/>
        <v>0</v>
      </c>
      <c r="DB31" s="241">
        <f t="shared" si="32"/>
        <v>0</v>
      </c>
      <c r="DE31" s="241">
        <f t="shared" si="33"/>
        <v>0</v>
      </c>
      <c r="DH31" s="241">
        <f t="shared" si="34"/>
        <v>0</v>
      </c>
      <c r="DK31" s="241">
        <f t="shared" si="35"/>
        <v>0</v>
      </c>
      <c r="DN31" s="241">
        <f t="shared" si="36"/>
        <v>0</v>
      </c>
      <c r="DQ31" s="241">
        <f t="shared" si="37"/>
        <v>0</v>
      </c>
      <c r="DT31" s="241">
        <f t="shared" si="38"/>
        <v>0</v>
      </c>
      <c r="DW31" s="241">
        <f t="shared" si="39"/>
        <v>0</v>
      </c>
      <c r="DZ31" s="241"/>
      <c r="EA31" s="241"/>
      <c r="EB31" s="261">
        <f t="shared" si="40"/>
        <v>46450000</v>
      </c>
      <c r="EC31" s="261">
        <f t="shared" si="41"/>
        <v>0</v>
      </c>
      <c r="ED31" s="241">
        <f t="shared" si="42"/>
        <v>5999.791666666667</v>
      </c>
      <c r="EE31" s="242">
        <f t="shared" si="43"/>
        <v>4.65E-2</v>
      </c>
      <c r="EG31" s="261">
        <f t="shared" si="44"/>
        <v>0</v>
      </c>
      <c r="EH31" s="241">
        <f t="shared" si="45"/>
        <v>0</v>
      </c>
      <c r="EI31" s="242">
        <f t="shared" si="46"/>
        <v>0</v>
      </c>
      <c r="EJ31" s="242"/>
      <c r="EK31" s="261">
        <f t="shared" si="47"/>
        <v>46450000</v>
      </c>
      <c r="EL31" s="261">
        <f t="shared" si="48"/>
        <v>0</v>
      </c>
      <c r="EM31" s="261">
        <f t="shared" si="49"/>
        <v>5999.791666666667</v>
      </c>
      <c r="EN31" s="242">
        <f t="shared" si="50"/>
        <v>4.65E-2</v>
      </c>
      <c r="EP31" s="241"/>
    </row>
    <row r="32" spans="1:146" x14ac:dyDescent="0.25">
      <c r="A32" s="255">
        <f t="shared" si="51"/>
        <v>45769</v>
      </c>
      <c r="B32" s="241">
        <v>0</v>
      </c>
      <c r="C32" s="242">
        <v>4.6673880000000001E-2</v>
      </c>
      <c r="D32" s="241">
        <f t="shared" si="0"/>
        <v>0</v>
      </c>
      <c r="G32" s="241">
        <f t="shared" si="1"/>
        <v>0</v>
      </c>
      <c r="J32" s="241">
        <f t="shared" si="2"/>
        <v>0</v>
      </c>
      <c r="M32" s="241">
        <f t="shared" si="3"/>
        <v>0</v>
      </c>
      <c r="P32" s="241">
        <f t="shared" si="4"/>
        <v>0</v>
      </c>
      <c r="S32" s="241">
        <f t="shared" si="5"/>
        <v>0</v>
      </c>
      <c r="V32" s="241">
        <f t="shared" si="6"/>
        <v>0</v>
      </c>
      <c r="Y32" s="241">
        <f t="shared" si="7"/>
        <v>0</v>
      </c>
      <c r="AB32" s="241">
        <f t="shared" si="8"/>
        <v>0</v>
      </c>
      <c r="AE32" s="241">
        <v>0</v>
      </c>
      <c r="AH32" s="241">
        <v>0</v>
      </c>
      <c r="AI32" s="256">
        <f>28200000</f>
        <v>28200000</v>
      </c>
      <c r="AJ32" s="257">
        <v>4.65E-2</v>
      </c>
      <c r="AK32" s="241">
        <f t="shared" si="9"/>
        <v>3642.5</v>
      </c>
      <c r="AL32" s="256"/>
      <c r="AM32" s="257"/>
      <c r="AN32" s="241">
        <f t="shared" si="10"/>
        <v>0</v>
      </c>
      <c r="AO32" s="256"/>
      <c r="AP32" s="257"/>
      <c r="AQ32" s="241">
        <f t="shared" si="11"/>
        <v>0</v>
      </c>
      <c r="AR32" s="256"/>
      <c r="AS32" s="257"/>
      <c r="AT32" s="241">
        <f t="shared" si="12"/>
        <v>0</v>
      </c>
      <c r="AW32" s="241">
        <f t="shared" si="13"/>
        <v>0</v>
      </c>
      <c r="AZ32" s="241">
        <f t="shared" si="14"/>
        <v>0</v>
      </c>
      <c r="BC32" s="241">
        <f t="shared" si="15"/>
        <v>0</v>
      </c>
      <c r="BF32" s="241">
        <f t="shared" si="16"/>
        <v>0</v>
      </c>
      <c r="BI32" s="241">
        <f t="shared" si="17"/>
        <v>0</v>
      </c>
      <c r="BL32" s="241">
        <f t="shared" si="18"/>
        <v>0</v>
      </c>
      <c r="BO32" s="241">
        <f t="shared" si="19"/>
        <v>0</v>
      </c>
      <c r="BR32" s="241">
        <f t="shared" si="20"/>
        <v>0</v>
      </c>
      <c r="BU32" s="241">
        <f t="shared" si="21"/>
        <v>0</v>
      </c>
      <c r="BX32" s="241">
        <f t="shared" si="22"/>
        <v>0</v>
      </c>
      <c r="CA32" s="241">
        <f t="shared" si="23"/>
        <v>0</v>
      </c>
      <c r="CD32" s="241">
        <f t="shared" si="24"/>
        <v>0</v>
      </c>
      <c r="CG32" s="241">
        <f t="shared" si="25"/>
        <v>0</v>
      </c>
      <c r="CJ32" s="241">
        <f t="shared" si="26"/>
        <v>0</v>
      </c>
      <c r="CM32" s="241">
        <f t="shared" si="27"/>
        <v>0</v>
      </c>
      <c r="CP32" s="241">
        <f t="shared" si="28"/>
        <v>0</v>
      </c>
      <c r="CS32" s="241">
        <f t="shared" si="29"/>
        <v>0</v>
      </c>
      <c r="CV32" s="241">
        <f t="shared" si="30"/>
        <v>0</v>
      </c>
      <c r="CY32" s="241">
        <f t="shared" si="31"/>
        <v>0</v>
      </c>
      <c r="DB32" s="241">
        <f t="shared" si="32"/>
        <v>0</v>
      </c>
      <c r="DE32" s="241">
        <f t="shared" si="33"/>
        <v>0</v>
      </c>
      <c r="DH32" s="241">
        <f t="shared" si="34"/>
        <v>0</v>
      </c>
      <c r="DK32" s="241">
        <f t="shared" si="35"/>
        <v>0</v>
      </c>
      <c r="DN32" s="241">
        <f t="shared" si="36"/>
        <v>0</v>
      </c>
      <c r="DQ32" s="241">
        <f t="shared" si="37"/>
        <v>0</v>
      </c>
      <c r="DT32" s="241">
        <f t="shared" si="38"/>
        <v>0</v>
      </c>
      <c r="DW32" s="241">
        <f t="shared" si="39"/>
        <v>0</v>
      </c>
      <c r="DZ32" s="241"/>
      <c r="EA32" s="241"/>
      <c r="EB32" s="261">
        <f t="shared" si="40"/>
        <v>28200000</v>
      </c>
      <c r="EC32" s="261">
        <f t="shared" si="41"/>
        <v>0</v>
      </c>
      <c r="ED32" s="241">
        <f t="shared" si="42"/>
        <v>3642.5</v>
      </c>
      <c r="EE32" s="242">
        <f t="shared" si="43"/>
        <v>4.65E-2</v>
      </c>
      <c r="EG32" s="261">
        <f t="shared" si="44"/>
        <v>0</v>
      </c>
      <c r="EH32" s="241">
        <f t="shared" si="45"/>
        <v>0</v>
      </c>
      <c r="EI32" s="242">
        <f t="shared" si="46"/>
        <v>0</v>
      </c>
      <c r="EJ32" s="242"/>
      <c r="EK32" s="261">
        <f t="shared" si="47"/>
        <v>28200000</v>
      </c>
      <c r="EL32" s="261">
        <f t="shared" si="48"/>
        <v>0</v>
      </c>
      <c r="EM32" s="261">
        <f t="shared" si="49"/>
        <v>3642.5</v>
      </c>
      <c r="EN32" s="242">
        <f t="shared" si="50"/>
        <v>4.65E-2</v>
      </c>
      <c r="EP32" s="241"/>
    </row>
    <row r="33" spans="1:146" x14ac:dyDescent="0.25">
      <c r="A33" s="255">
        <f t="shared" si="51"/>
        <v>45770</v>
      </c>
      <c r="B33" s="241">
        <v>0</v>
      </c>
      <c r="C33" s="242">
        <v>4.6670440000000001E-2</v>
      </c>
      <c r="D33" s="241">
        <f t="shared" si="0"/>
        <v>0</v>
      </c>
      <c r="G33" s="241">
        <f t="shared" si="1"/>
        <v>0</v>
      </c>
      <c r="J33" s="241">
        <f t="shared" si="2"/>
        <v>0</v>
      </c>
      <c r="M33" s="241">
        <f t="shared" si="3"/>
        <v>0</v>
      </c>
      <c r="P33" s="241">
        <f t="shared" si="4"/>
        <v>0</v>
      </c>
      <c r="S33" s="241">
        <f t="shared" si="5"/>
        <v>0</v>
      </c>
      <c r="V33" s="241">
        <f t="shared" si="6"/>
        <v>0</v>
      </c>
      <c r="Y33" s="241">
        <f t="shared" si="7"/>
        <v>0</v>
      </c>
      <c r="AB33" s="241">
        <f t="shared" si="8"/>
        <v>0</v>
      </c>
      <c r="AE33" s="241">
        <v>0</v>
      </c>
      <c r="AH33" s="241">
        <v>0</v>
      </c>
      <c r="AI33" s="256">
        <f>19200000</f>
        <v>19200000</v>
      </c>
      <c r="AJ33" s="257">
        <v>4.65E-2</v>
      </c>
      <c r="AK33" s="241">
        <f t="shared" si="9"/>
        <v>2480</v>
      </c>
      <c r="AL33" s="256"/>
      <c r="AM33" s="257"/>
      <c r="AN33" s="241">
        <f t="shared" si="10"/>
        <v>0</v>
      </c>
      <c r="AO33" s="256"/>
      <c r="AP33" s="257"/>
      <c r="AQ33" s="241">
        <f t="shared" si="11"/>
        <v>0</v>
      </c>
      <c r="AR33" s="256"/>
      <c r="AS33" s="257"/>
      <c r="AT33" s="241">
        <f t="shared" si="12"/>
        <v>0</v>
      </c>
      <c r="AW33" s="241">
        <f t="shared" si="13"/>
        <v>0</v>
      </c>
      <c r="AZ33" s="241">
        <f t="shared" si="14"/>
        <v>0</v>
      </c>
      <c r="BC33" s="241">
        <f t="shared" si="15"/>
        <v>0</v>
      </c>
      <c r="BF33" s="241">
        <f t="shared" si="16"/>
        <v>0</v>
      </c>
      <c r="BI33" s="241">
        <f t="shared" si="17"/>
        <v>0</v>
      </c>
      <c r="BL33" s="241">
        <f t="shared" si="18"/>
        <v>0</v>
      </c>
      <c r="BO33" s="241">
        <f t="shared" si="19"/>
        <v>0</v>
      </c>
      <c r="BR33" s="241">
        <f t="shared" si="20"/>
        <v>0</v>
      </c>
      <c r="BU33" s="241">
        <f t="shared" si="21"/>
        <v>0</v>
      </c>
      <c r="BX33" s="241">
        <f t="shared" si="22"/>
        <v>0</v>
      </c>
      <c r="CA33" s="241">
        <f t="shared" si="23"/>
        <v>0</v>
      </c>
      <c r="CD33" s="241">
        <f t="shared" si="24"/>
        <v>0</v>
      </c>
      <c r="CG33" s="241">
        <f t="shared" si="25"/>
        <v>0</v>
      </c>
      <c r="CJ33" s="241">
        <f t="shared" si="26"/>
        <v>0</v>
      </c>
      <c r="CM33" s="241">
        <f t="shared" si="27"/>
        <v>0</v>
      </c>
      <c r="CP33" s="241">
        <f t="shared" si="28"/>
        <v>0</v>
      </c>
      <c r="CS33" s="241">
        <f t="shared" si="29"/>
        <v>0</v>
      </c>
      <c r="CV33" s="241">
        <f t="shared" si="30"/>
        <v>0</v>
      </c>
      <c r="CY33" s="241">
        <f t="shared" si="31"/>
        <v>0</v>
      </c>
      <c r="DB33" s="241">
        <f t="shared" si="32"/>
        <v>0</v>
      </c>
      <c r="DE33" s="241">
        <f t="shared" si="33"/>
        <v>0</v>
      </c>
      <c r="DH33" s="241">
        <f t="shared" si="34"/>
        <v>0</v>
      </c>
      <c r="DK33" s="241">
        <f t="shared" si="35"/>
        <v>0</v>
      </c>
      <c r="DN33" s="241">
        <f t="shared" si="36"/>
        <v>0</v>
      </c>
      <c r="DQ33" s="241">
        <f t="shared" si="37"/>
        <v>0</v>
      </c>
      <c r="DT33" s="241">
        <f t="shared" si="38"/>
        <v>0</v>
      </c>
      <c r="DW33" s="241">
        <f t="shared" si="39"/>
        <v>0</v>
      </c>
      <c r="DZ33" s="241"/>
      <c r="EA33" s="241"/>
      <c r="EB33" s="261">
        <f t="shared" si="40"/>
        <v>19200000</v>
      </c>
      <c r="EC33" s="261">
        <f t="shared" si="41"/>
        <v>0</v>
      </c>
      <c r="ED33" s="241">
        <f t="shared" si="42"/>
        <v>2480</v>
      </c>
      <c r="EE33" s="242">
        <f t="shared" si="43"/>
        <v>4.65E-2</v>
      </c>
      <c r="EG33" s="261">
        <f t="shared" si="44"/>
        <v>0</v>
      </c>
      <c r="EH33" s="241">
        <f t="shared" si="45"/>
        <v>0</v>
      </c>
      <c r="EI33" s="242">
        <f t="shared" si="46"/>
        <v>0</v>
      </c>
      <c r="EJ33" s="242"/>
      <c r="EK33" s="261">
        <f t="shared" si="47"/>
        <v>19200000</v>
      </c>
      <c r="EL33" s="261">
        <f t="shared" si="48"/>
        <v>0</v>
      </c>
      <c r="EM33" s="261">
        <f t="shared" si="49"/>
        <v>2480</v>
      </c>
      <c r="EN33" s="242">
        <f t="shared" si="50"/>
        <v>4.65E-2</v>
      </c>
      <c r="EP33" s="241"/>
    </row>
    <row r="34" spans="1:146" x14ac:dyDescent="0.25">
      <c r="A34" s="255">
        <f t="shared" si="51"/>
        <v>45771</v>
      </c>
      <c r="B34" s="241">
        <v>0</v>
      </c>
      <c r="C34" s="242">
        <v>4.6670009999999998E-2</v>
      </c>
      <c r="D34" s="241">
        <f t="shared" si="0"/>
        <v>0</v>
      </c>
      <c r="G34" s="241">
        <f t="shared" si="1"/>
        <v>0</v>
      </c>
      <c r="J34" s="241">
        <f t="shared" si="2"/>
        <v>0</v>
      </c>
      <c r="M34" s="241">
        <f t="shared" si="3"/>
        <v>0</v>
      </c>
      <c r="P34" s="241">
        <f t="shared" si="4"/>
        <v>0</v>
      </c>
      <c r="S34" s="241">
        <f t="shared" si="5"/>
        <v>0</v>
      </c>
      <c r="V34" s="241">
        <f t="shared" si="6"/>
        <v>0</v>
      </c>
      <c r="Y34" s="241">
        <f t="shared" si="7"/>
        <v>0</v>
      </c>
      <c r="AB34" s="241">
        <f t="shared" si="8"/>
        <v>0</v>
      </c>
      <c r="AE34" s="241">
        <v>0</v>
      </c>
      <c r="AH34" s="241">
        <v>0</v>
      </c>
      <c r="AI34" s="256">
        <f>20300000+3000000</f>
        <v>23300000</v>
      </c>
      <c r="AJ34" s="257">
        <v>4.65E-2</v>
      </c>
      <c r="AK34" s="241">
        <f t="shared" si="9"/>
        <v>3009.5833333333335</v>
      </c>
      <c r="AL34" s="256"/>
      <c r="AM34" s="257"/>
      <c r="AN34" s="241">
        <f t="shared" si="10"/>
        <v>0</v>
      </c>
      <c r="AO34" s="256"/>
      <c r="AP34" s="257"/>
      <c r="AQ34" s="241">
        <f t="shared" si="11"/>
        <v>0</v>
      </c>
      <c r="AR34" s="256"/>
      <c r="AS34" s="257"/>
      <c r="AT34" s="241">
        <f t="shared" si="12"/>
        <v>0</v>
      </c>
      <c r="AW34" s="241">
        <f t="shared" si="13"/>
        <v>0</v>
      </c>
      <c r="AZ34" s="241">
        <f t="shared" si="14"/>
        <v>0</v>
      </c>
      <c r="BC34" s="241">
        <f t="shared" si="15"/>
        <v>0</v>
      </c>
      <c r="BF34" s="241">
        <f t="shared" si="16"/>
        <v>0</v>
      </c>
      <c r="BI34" s="241">
        <f t="shared" si="17"/>
        <v>0</v>
      </c>
      <c r="BL34" s="241">
        <f t="shared" si="18"/>
        <v>0</v>
      </c>
      <c r="BO34" s="241">
        <f t="shared" si="19"/>
        <v>0</v>
      </c>
      <c r="BR34" s="241">
        <f t="shared" si="20"/>
        <v>0</v>
      </c>
      <c r="BU34" s="241">
        <f t="shared" si="21"/>
        <v>0</v>
      </c>
      <c r="BX34" s="241">
        <f t="shared" si="22"/>
        <v>0</v>
      </c>
      <c r="CA34" s="241">
        <f t="shared" si="23"/>
        <v>0</v>
      </c>
      <c r="CD34" s="241">
        <f t="shared" si="24"/>
        <v>0</v>
      </c>
      <c r="CG34" s="241">
        <f t="shared" si="25"/>
        <v>0</v>
      </c>
      <c r="CJ34" s="241">
        <f t="shared" si="26"/>
        <v>0</v>
      </c>
      <c r="CM34" s="241">
        <f t="shared" si="27"/>
        <v>0</v>
      </c>
      <c r="CP34" s="241">
        <f t="shared" si="28"/>
        <v>0</v>
      </c>
      <c r="CS34" s="241">
        <f t="shared" si="29"/>
        <v>0</v>
      </c>
      <c r="CV34" s="241">
        <f t="shared" si="30"/>
        <v>0</v>
      </c>
      <c r="CY34" s="241">
        <f t="shared" si="31"/>
        <v>0</v>
      </c>
      <c r="DB34" s="241">
        <f t="shared" si="32"/>
        <v>0</v>
      </c>
      <c r="DE34" s="241">
        <f t="shared" si="33"/>
        <v>0</v>
      </c>
      <c r="DH34" s="241">
        <f t="shared" si="34"/>
        <v>0</v>
      </c>
      <c r="DK34" s="241">
        <f t="shared" si="35"/>
        <v>0</v>
      </c>
      <c r="DN34" s="241">
        <f t="shared" si="36"/>
        <v>0</v>
      </c>
      <c r="DQ34" s="241">
        <f t="shared" si="37"/>
        <v>0</v>
      </c>
      <c r="DT34" s="241">
        <f t="shared" si="38"/>
        <v>0</v>
      </c>
      <c r="DW34" s="241">
        <f t="shared" si="39"/>
        <v>0</v>
      </c>
      <c r="DZ34" s="241"/>
      <c r="EA34" s="241"/>
      <c r="EB34" s="261">
        <f t="shared" si="40"/>
        <v>23300000</v>
      </c>
      <c r="EC34" s="261">
        <f t="shared" si="41"/>
        <v>0</v>
      </c>
      <c r="ED34" s="241">
        <f t="shared" si="42"/>
        <v>3009.5833333333335</v>
      </c>
      <c r="EE34" s="242">
        <f t="shared" si="43"/>
        <v>4.65E-2</v>
      </c>
      <c r="EG34" s="261">
        <f t="shared" si="44"/>
        <v>0</v>
      </c>
      <c r="EH34" s="241">
        <f t="shared" si="45"/>
        <v>0</v>
      </c>
      <c r="EI34" s="242">
        <f t="shared" si="46"/>
        <v>0</v>
      </c>
      <c r="EJ34" s="242"/>
      <c r="EK34" s="261">
        <f t="shared" si="47"/>
        <v>23300000</v>
      </c>
      <c r="EL34" s="261">
        <f t="shared" si="48"/>
        <v>0</v>
      </c>
      <c r="EM34" s="261">
        <f t="shared" si="49"/>
        <v>3009.5833333333335</v>
      </c>
      <c r="EN34" s="242">
        <f t="shared" si="50"/>
        <v>4.65E-2</v>
      </c>
      <c r="EP34" s="241"/>
    </row>
    <row r="35" spans="1:146" x14ac:dyDescent="0.25">
      <c r="A35" s="255">
        <f t="shared" si="51"/>
        <v>45772</v>
      </c>
      <c r="B35" s="241">
        <v>0</v>
      </c>
      <c r="C35" s="242">
        <v>4.6670819999999995E-2</v>
      </c>
      <c r="D35" s="241">
        <f t="shared" si="0"/>
        <v>0</v>
      </c>
      <c r="G35" s="241">
        <f t="shared" si="1"/>
        <v>0</v>
      </c>
      <c r="J35" s="241">
        <f t="shared" si="2"/>
        <v>0</v>
      </c>
      <c r="M35" s="241">
        <f t="shared" si="3"/>
        <v>0</v>
      </c>
      <c r="P35" s="241">
        <f t="shared" si="4"/>
        <v>0</v>
      </c>
      <c r="S35" s="241">
        <f t="shared" si="5"/>
        <v>0</v>
      </c>
      <c r="V35" s="241">
        <f t="shared" si="6"/>
        <v>0</v>
      </c>
      <c r="Y35" s="241">
        <f t="shared" si="7"/>
        <v>0</v>
      </c>
      <c r="AB35" s="241">
        <f t="shared" si="8"/>
        <v>0</v>
      </c>
      <c r="AE35" s="241">
        <v>0</v>
      </c>
      <c r="AH35" s="241">
        <v>0</v>
      </c>
      <c r="AI35" s="256">
        <f>42750000</f>
        <v>42750000</v>
      </c>
      <c r="AJ35" s="257">
        <v>4.65E-2</v>
      </c>
      <c r="AK35" s="241">
        <f t="shared" si="9"/>
        <v>5521.875</v>
      </c>
      <c r="AL35" s="256"/>
      <c r="AM35" s="257"/>
      <c r="AN35" s="241">
        <f t="shared" si="10"/>
        <v>0</v>
      </c>
      <c r="AO35" s="256"/>
      <c r="AP35" s="257"/>
      <c r="AQ35" s="241">
        <f t="shared" si="11"/>
        <v>0</v>
      </c>
      <c r="AR35" s="256"/>
      <c r="AS35" s="257"/>
      <c r="AT35" s="241">
        <f t="shared" si="12"/>
        <v>0</v>
      </c>
      <c r="AW35" s="241">
        <f t="shared" si="13"/>
        <v>0</v>
      </c>
      <c r="AZ35" s="241">
        <f t="shared" si="14"/>
        <v>0</v>
      </c>
      <c r="BC35" s="241">
        <f t="shared" si="15"/>
        <v>0</v>
      </c>
      <c r="BF35" s="241">
        <f t="shared" si="16"/>
        <v>0</v>
      </c>
      <c r="BI35" s="241">
        <f t="shared" si="17"/>
        <v>0</v>
      </c>
      <c r="BL35" s="241">
        <f t="shared" si="18"/>
        <v>0</v>
      </c>
      <c r="BO35" s="241">
        <f t="shared" si="19"/>
        <v>0</v>
      </c>
      <c r="BR35" s="241">
        <f t="shared" si="20"/>
        <v>0</v>
      </c>
      <c r="BU35" s="241">
        <f t="shared" si="21"/>
        <v>0</v>
      </c>
      <c r="BX35" s="241">
        <f t="shared" si="22"/>
        <v>0</v>
      </c>
      <c r="CA35" s="241">
        <f t="shared" si="23"/>
        <v>0</v>
      </c>
      <c r="CD35" s="241">
        <f t="shared" si="24"/>
        <v>0</v>
      </c>
      <c r="CG35" s="241">
        <f t="shared" si="25"/>
        <v>0</v>
      </c>
      <c r="CJ35" s="241">
        <f t="shared" si="26"/>
        <v>0</v>
      </c>
      <c r="CM35" s="241">
        <f t="shared" si="27"/>
        <v>0</v>
      </c>
      <c r="CP35" s="241">
        <f t="shared" si="28"/>
        <v>0</v>
      </c>
      <c r="CS35" s="241">
        <f t="shared" si="29"/>
        <v>0</v>
      </c>
      <c r="CV35" s="241">
        <f t="shared" si="30"/>
        <v>0</v>
      </c>
      <c r="CY35" s="241">
        <f t="shared" si="31"/>
        <v>0</v>
      </c>
      <c r="DB35" s="241">
        <f t="shared" si="32"/>
        <v>0</v>
      </c>
      <c r="DE35" s="241">
        <f t="shared" si="33"/>
        <v>0</v>
      </c>
      <c r="DH35" s="241">
        <f t="shared" si="34"/>
        <v>0</v>
      </c>
      <c r="DK35" s="241">
        <f t="shared" si="35"/>
        <v>0</v>
      </c>
      <c r="DN35" s="241">
        <f t="shared" si="36"/>
        <v>0</v>
      </c>
      <c r="DQ35" s="241">
        <f t="shared" si="37"/>
        <v>0</v>
      </c>
      <c r="DT35" s="241">
        <f t="shared" si="38"/>
        <v>0</v>
      </c>
      <c r="DW35" s="241">
        <f t="shared" si="39"/>
        <v>0</v>
      </c>
      <c r="DZ35" s="241"/>
      <c r="EA35" s="241"/>
      <c r="EB35" s="261">
        <f t="shared" si="40"/>
        <v>42750000</v>
      </c>
      <c r="EC35" s="261">
        <f t="shared" si="41"/>
        <v>0</v>
      </c>
      <c r="ED35" s="241">
        <f t="shared" si="42"/>
        <v>5521.875</v>
      </c>
      <c r="EE35" s="242">
        <f t="shared" si="43"/>
        <v>4.65E-2</v>
      </c>
      <c r="EG35" s="261">
        <f t="shared" si="44"/>
        <v>0</v>
      </c>
      <c r="EH35" s="241">
        <f t="shared" si="45"/>
        <v>0</v>
      </c>
      <c r="EI35" s="242">
        <f t="shared" si="46"/>
        <v>0</v>
      </c>
      <c r="EJ35" s="242"/>
      <c r="EK35" s="261">
        <f t="shared" si="47"/>
        <v>42750000</v>
      </c>
      <c r="EL35" s="261">
        <f t="shared" si="48"/>
        <v>0</v>
      </c>
      <c r="EM35" s="261">
        <f t="shared" si="49"/>
        <v>5521.875</v>
      </c>
      <c r="EN35" s="242">
        <f t="shared" si="50"/>
        <v>4.65E-2</v>
      </c>
      <c r="EP35" s="241"/>
    </row>
    <row r="36" spans="1:146" x14ac:dyDescent="0.25">
      <c r="A36" s="255">
        <f t="shared" si="51"/>
        <v>45773</v>
      </c>
      <c r="B36" s="241">
        <v>0</v>
      </c>
      <c r="C36" s="242">
        <v>4.6670819999999995E-2</v>
      </c>
      <c r="D36" s="241">
        <f t="shared" si="0"/>
        <v>0</v>
      </c>
      <c r="G36" s="241">
        <f t="shared" si="1"/>
        <v>0</v>
      </c>
      <c r="J36" s="241">
        <f t="shared" si="2"/>
        <v>0</v>
      </c>
      <c r="M36" s="241">
        <f t="shared" si="3"/>
        <v>0</v>
      </c>
      <c r="P36" s="241">
        <f t="shared" si="4"/>
        <v>0</v>
      </c>
      <c r="S36" s="241">
        <f t="shared" si="5"/>
        <v>0</v>
      </c>
      <c r="V36" s="241">
        <f t="shared" si="6"/>
        <v>0</v>
      </c>
      <c r="Y36" s="241">
        <f t="shared" si="7"/>
        <v>0</v>
      </c>
      <c r="AB36" s="241">
        <f t="shared" si="8"/>
        <v>0</v>
      </c>
      <c r="AE36" s="241">
        <v>0</v>
      </c>
      <c r="AH36" s="241">
        <v>0</v>
      </c>
      <c r="AI36" s="256">
        <f>42750000</f>
        <v>42750000</v>
      </c>
      <c r="AJ36" s="257">
        <v>4.65E-2</v>
      </c>
      <c r="AK36" s="241">
        <f t="shared" si="9"/>
        <v>5521.875</v>
      </c>
      <c r="AL36" s="256"/>
      <c r="AM36" s="257"/>
      <c r="AN36" s="241">
        <f t="shared" si="10"/>
        <v>0</v>
      </c>
      <c r="AO36" s="256"/>
      <c r="AP36" s="257"/>
      <c r="AQ36" s="241">
        <f t="shared" si="11"/>
        <v>0</v>
      </c>
      <c r="AR36" s="256"/>
      <c r="AS36" s="257"/>
      <c r="AT36" s="241">
        <f t="shared" si="12"/>
        <v>0</v>
      </c>
      <c r="AW36" s="241">
        <f t="shared" si="13"/>
        <v>0</v>
      </c>
      <c r="AZ36" s="241">
        <f t="shared" si="14"/>
        <v>0</v>
      </c>
      <c r="BC36" s="241">
        <f t="shared" si="15"/>
        <v>0</v>
      </c>
      <c r="BF36" s="241">
        <f t="shared" si="16"/>
        <v>0</v>
      </c>
      <c r="BI36" s="241">
        <f t="shared" si="17"/>
        <v>0</v>
      </c>
      <c r="BL36" s="241">
        <f t="shared" si="18"/>
        <v>0</v>
      </c>
      <c r="BO36" s="241">
        <f t="shared" si="19"/>
        <v>0</v>
      </c>
      <c r="BR36" s="241">
        <f t="shared" si="20"/>
        <v>0</v>
      </c>
      <c r="BU36" s="241">
        <f t="shared" si="21"/>
        <v>0</v>
      </c>
      <c r="BX36" s="241">
        <f t="shared" si="22"/>
        <v>0</v>
      </c>
      <c r="CA36" s="241">
        <f t="shared" si="23"/>
        <v>0</v>
      </c>
      <c r="CD36" s="241">
        <f t="shared" si="24"/>
        <v>0</v>
      </c>
      <c r="CG36" s="241">
        <f t="shared" si="25"/>
        <v>0</v>
      </c>
      <c r="CJ36" s="241">
        <f t="shared" si="26"/>
        <v>0</v>
      </c>
      <c r="CM36" s="241">
        <f t="shared" si="27"/>
        <v>0</v>
      </c>
      <c r="CP36" s="241">
        <f t="shared" si="28"/>
        <v>0</v>
      </c>
      <c r="CS36" s="241">
        <f t="shared" si="29"/>
        <v>0</v>
      </c>
      <c r="CV36" s="241">
        <f t="shared" si="30"/>
        <v>0</v>
      </c>
      <c r="CY36" s="241">
        <f t="shared" si="31"/>
        <v>0</v>
      </c>
      <c r="DB36" s="241">
        <f t="shared" si="32"/>
        <v>0</v>
      </c>
      <c r="DE36" s="241">
        <f t="shared" si="33"/>
        <v>0</v>
      </c>
      <c r="DH36" s="241">
        <f t="shared" si="34"/>
        <v>0</v>
      </c>
      <c r="DK36" s="241">
        <f t="shared" si="35"/>
        <v>0</v>
      </c>
      <c r="DN36" s="241">
        <f t="shared" si="36"/>
        <v>0</v>
      </c>
      <c r="DQ36" s="241">
        <f t="shared" si="37"/>
        <v>0</v>
      </c>
      <c r="DT36" s="241">
        <f t="shared" si="38"/>
        <v>0</v>
      </c>
      <c r="DW36" s="241">
        <f t="shared" si="39"/>
        <v>0</v>
      </c>
      <c r="DZ36" s="241"/>
      <c r="EA36" s="241"/>
      <c r="EB36" s="261">
        <f t="shared" si="40"/>
        <v>42750000</v>
      </c>
      <c r="EC36" s="261">
        <f t="shared" si="41"/>
        <v>0</v>
      </c>
      <c r="ED36" s="241">
        <f t="shared" si="42"/>
        <v>5521.875</v>
      </c>
      <c r="EE36" s="242">
        <f t="shared" si="43"/>
        <v>4.65E-2</v>
      </c>
      <c r="EG36" s="261">
        <f t="shared" si="44"/>
        <v>0</v>
      </c>
      <c r="EH36" s="241">
        <f t="shared" si="45"/>
        <v>0</v>
      </c>
      <c r="EI36" s="242">
        <f t="shared" si="46"/>
        <v>0</v>
      </c>
      <c r="EJ36" s="242"/>
      <c r="EK36" s="261">
        <f t="shared" si="47"/>
        <v>42750000</v>
      </c>
      <c r="EL36" s="261">
        <f t="shared" si="48"/>
        <v>0</v>
      </c>
      <c r="EM36" s="261">
        <f t="shared" si="49"/>
        <v>5521.875</v>
      </c>
      <c r="EN36" s="242">
        <f t="shared" si="50"/>
        <v>4.65E-2</v>
      </c>
      <c r="EP36" s="241"/>
    </row>
    <row r="37" spans="1:146" x14ac:dyDescent="0.25">
      <c r="A37" s="255">
        <f t="shared" si="51"/>
        <v>45774</v>
      </c>
      <c r="B37" s="241">
        <v>0</v>
      </c>
      <c r="C37" s="242">
        <v>4.6670819999999995E-2</v>
      </c>
      <c r="D37" s="241">
        <f t="shared" si="0"/>
        <v>0</v>
      </c>
      <c r="G37" s="241">
        <f t="shared" si="1"/>
        <v>0</v>
      </c>
      <c r="J37" s="241">
        <f t="shared" si="2"/>
        <v>0</v>
      </c>
      <c r="M37" s="241">
        <f t="shared" si="3"/>
        <v>0</v>
      </c>
      <c r="P37" s="241">
        <f t="shared" si="4"/>
        <v>0</v>
      </c>
      <c r="S37" s="241">
        <f t="shared" si="5"/>
        <v>0</v>
      </c>
      <c r="V37" s="241">
        <f t="shared" si="6"/>
        <v>0</v>
      </c>
      <c r="Y37" s="241">
        <f t="shared" si="7"/>
        <v>0</v>
      </c>
      <c r="AB37" s="241">
        <f t="shared" si="8"/>
        <v>0</v>
      </c>
      <c r="AE37" s="241">
        <v>0</v>
      </c>
      <c r="AH37" s="241">
        <v>0</v>
      </c>
      <c r="AI37" s="256">
        <f>42750000</f>
        <v>42750000</v>
      </c>
      <c r="AJ37" s="257">
        <v>4.65E-2</v>
      </c>
      <c r="AK37" s="241">
        <f t="shared" si="9"/>
        <v>5521.875</v>
      </c>
      <c r="AL37" s="256"/>
      <c r="AM37" s="257"/>
      <c r="AN37" s="241">
        <f t="shared" si="10"/>
        <v>0</v>
      </c>
      <c r="AO37" s="256"/>
      <c r="AP37" s="257"/>
      <c r="AQ37" s="241">
        <f t="shared" si="11"/>
        <v>0</v>
      </c>
      <c r="AR37" s="256"/>
      <c r="AS37" s="257"/>
      <c r="AT37" s="241">
        <f t="shared" si="12"/>
        <v>0</v>
      </c>
      <c r="AW37" s="241">
        <f t="shared" si="13"/>
        <v>0</v>
      </c>
      <c r="AZ37" s="241">
        <f t="shared" si="14"/>
        <v>0</v>
      </c>
      <c r="BC37" s="241">
        <f t="shared" si="15"/>
        <v>0</v>
      </c>
      <c r="BF37" s="241">
        <f t="shared" si="16"/>
        <v>0</v>
      </c>
      <c r="BI37" s="241">
        <f t="shared" si="17"/>
        <v>0</v>
      </c>
      <c r="BL37" s="241">
        <f t="shared" si="18"/>
        <v>0</v>
      </c>
      <c r="BO37" s="241">
        <f t="shared" si="19"/>
        <v>0</v>
      </c>
      <c r="BR37" s="241">
        <f t="shared" si="20"/>
        <v>0</v>
      </c>
      <c r="BU37" s="241">
        <f t="shared" si="21"/>
        <v>0</v>
      </c>
      <c r="BX37" s="241">
        <f t="shared" si="22"/>
        <v>0</v>
      </c>
      <c r="CA37" s="241">
        <f t="shared" si="23"/>
        <v>0</v>
      </c>
      <c r="CD37" s="241">
        <f t="shared" si="24"/>
        <v>0</v>
      </c>
      <c r="CG37" s="241">
        <f t="shared" si="25"/>
        <v>0</v>
      </c>
      <c r="CJ37" s="241">
        <f t="shared" si="26"/>
        <v>0</v>
      </c>
      <c r="CM37" s="241">
        <f t="shared" si="27"/>
        <v>0</v>
      </c>
      <c r="CP37" s="241">
        <f t="shared" si="28"/>
        <v>0</v>
      </c>
      <c r="CS37" s="241">
        <f t="shared" si="29"/>
        <v>0</v>
      </c>
      <c r="CV37" s="241">
        <f t="shared" si="30"/>
        <v>0</v>
      </c>
      <c r="CY37" s="241">
        <f t="shared" si="31"/>
        <v>0</v>
      </c>
      <c r="DB37" s="241">
        <f t="shared" si="32"/>
        <v>0</v>
      </c>
      <c r="DE37" s="241">
        <f t="shared" si="33"/>
        <v>0</v>
      </c>
      <c r="DH37" s="241">
        <f t="shared" si="34"/>
        <v>0</v>
      </c>
      <c r="DK37" s="241">
        <f t="shared" si="35"/>
        <v>0</v>
      </c>
      <c r="DN37" s="241">
        <f t="shared" si="36"/>
        <v>0</v>
      </c>
      <c r="DQ37" s="241">
        <f t="shared" si="37"/>
        <v>0</v>
      </c>
      <c r="DT37" s="241">
        <f t="shared" si="38"/>
        <v>0</v>
      </c>
      <c r="DW37" s="241">
        <f t="shared" si="39"/>
        <v>0</v>
      </c>
      <c r="DZ37" s="241"/>
      <c r="EA37" s="241"/>
      <c r="EB37" s="261">
        <f t="shared" si="40"/>
        <v>42750000</v>
      </c>
      <c r="EC37" s="261">
        <f t="shared" si="41"/>
        <v>0</v>
      </c>
      <c r="ED37" s="241">
        <f t="shared" si="42"/>
        <v>5521.875</v>
      </c>
      <c r="EE37" s="242">
        <f t="shared" si="43"/>
        <v>4.65E-2</v>
      </c>
      <c r="EG37" s="261">
        <f t="shared" si="44"/>
        <v>0</v>
      </c>
      <c r="EH37" s="241">
        <f t="shared" si="45"/>
        <v>0</v>
      </c>
      <c r="EI37" s="242">
        <f t="shared" si="46"/>
        <v>0</v>
      </c>
      <c r="EJ37" s="242"/>
      <c r="EK37" s="261">
        <f t="shared" si="47"/>
        <v>42750000</v>
      </c>
      <c r="EL37" s="261">
        <f t="shared" si="48"/>
        <v>0</v>
      </c>
      <c r="EM37" s="261">
        <f t="shared" si="49"/>
        <v>5521.875</v>
      </c>
      <c r="EN37" s="242">
        <f t="shared" si="50"/>
        <v>4.65E-2</v>
      </c>
      <c r="EP37" s="241"/>
    </row>
    <row r="38" spans="1:146" x14ac:dyDescent="0.25">
      <c r="A38" s="255">
        <f t="shared" si="51"/>
        <v>45775</v>
      </c>
      <c r="B38" s="241">
        <v>0</v>
      </c>
      <c r="C38" s="242">
        <v>4.6666059999999995E-2</v>
      </c>
      <c r="D38" s="241">
        <f t="shared" si="0"/>
        <v>0</v>
      </c>
      <c r="G38" s="241">
        <f t="shared" si="1"/>
        <v>0</v>
      </c>
      <c r="J38" s="241">
        <f t="shared" si="2"/>
        <v>0</v>
      </c>
      <c r="M38" s="241">
        <f t="shared" si="3"/>
        <v>0</v>
      </c>
      <c r="P38" s="241">
        <f t="shared" si="4"/>
        <v>0</v>
      </c>
      <c r="S38" s="241">
        <f t="shared" si="5"/>
        <v>0</v>
      </c>
      <c r="V38" s="241">
        <f t="shared" si="6"/>
        <v>0</v>
      </c>
      <c r="Y38" s="241">
        <f t="shared" si="7"/>
        <v>0</v>
      </c>
      <c r="AB38" s="241">
        <f t="shared" si="8"/>
        <v>0</v>
      </c>
      <c r="AE38" s="241">
        <v>0</v>
      </c>
      <c r="AH38" s="241">
        <v>0</v>
      </c>
      <c r="AI38" s="256">
        <f>43000000+37575000</f>
        <v>80575000</v>
      </c>
      <c r="AJ38" s="257">
        <v>4.65E-2</v>
      </c>
      <c r="AK38" s="241">
        <f t="shared" si="9"/>
        <v>10407.604166666666</v>
      </c>
      <c r="AL38" s="256"/>
      <c r="AM38" s="257"/>
      <c r="AN38" s="241">
        <f t="shared" si="10"/>
        <v>0</v>
      </c>
      <c r="AO38" s="256"/>
      <c r="AP38" s="257"/>
      <c r="AQ38" s="241">
        <f t="shared" si="11"/>
        <v>0</v>
      </c>
      <c r="AR38" s="256"/>
      <c r="AS38" s="257"/>
      <c r="AT38" s="241">
        <f t="shared" si="12"/>
        <v>0</v>
      </c>
      <c r="AW38" s="241">
        <f t="shared" si="13"/>
        <v>0</v>
      </c>
      <c r="AZ38" s="241">
        <f t="shared" si="14"/>
        <v>0</v>
      </c>
      <c r="BC38" s="241">
        <f t="shared" si="15"/>
        <v>0</v>
      </c>
      <c r="BF38" s="241">
        <f t="shared" si="16"/>
        <v>0</v>
      </c>
      <c r="BI38" s="241">
        <f t="shared" si="17"/>
        <v>0</v>
      </c>
      <c r="BL38" s="241">
        <f t="shared" si="18"/>
        <v>0</v>
      </c>
      <c r="BO38" s="241">
        <f t="shared" si="19"/>
        <v>0</v>
      </c>
      <c r="BR38" s="241">
        <f t="shared" si="20"/>
        <v>0</v>
      </c>
      <c r="BU38" s="241">
        <f t="shared" si="21"/>
        <v>0</v>
      </c>
      <c r="BX38" s="241">
        <f t="shared" si="22"/>
        <v>0</v>
      </c>
      <c r="CA38" s="241">
        <f t="shared" si="23"/>
        <v>0</v>
      </c>
      <c r="CD38" s="241">
        <f t="shared" si="24"/>
        <v>0</v>
      </c>
      <c r="CG38" s="241">
        <f t="shared" si="25"/>
        <v>0</v>
      </c>
      <c r="CJ38" s="241">
        <f t="shared" si="26"/>
        <v>0</v>
      </c>
      <c r="CM38" s="241">
        <f t="shared" si="27"/>
        <v>0</v>
      </c>
      <c r="CP38" s="241">
        <f t="shared" si="28"/>
        <v>0</v>
      </c>
      <c r="CS38" s="241">
        <f t="shared" si="29"/>
        <v>0</v>
      </c>
      <c r="CV38" s="241">
        <f t="shared" si="30"/>
        <v>0</v>
      </c>
      <c r="CY38" s="241">
        <f t="shared" si="31"/>
        <v>0</v>
      </c>
      <c r="DB38" s="241">
        <f t="shared" si="32"/>
        <v>0</v>
      </c>
      <c r="DE38" s="241">
        <f t="shared" si="33"/>
        <v>0</v>
      </c>
      <c r="DH38" s="241">
        <f t="shared" si="34"/>
        <v>0</v>
      </c>
      <c r="DK38" s="241">
        <f t="shared" si="35"/>
        <v>0</v>
      </c>
      <c r="DN38" s="241">
        <f t="shared" si="36"/>
        <v>0</v>
      </c>
      <c r="DQ38" s="241">
        <f t="shared" si="37"/>
        <v>0</v>
      </c>
      <c r="DT38" s="241">
        <f t="shared" si="38"/>
        <v>0</v>
      </c>
      <c r="DW38" s="241">
        <f t="shared" si="39"/>
        <v>0</v>
      </c>
      <c r="DZ38" s="241"/>
      <c r="EA38" s="241"/>
      <c r="EB38" s="261">
        <f t="shared" si="40"/>
        <v>80575000</v>
      </c>
      <c r="EC38" s="261">
        <f t="shared" si="41"/>
        <v>0</v>
      </c>
      <c r="ED38" s="241">
        <f t="shared" si="42"/>
        <v>10407.604166666666</v>
      </c>
      <c r="EE38" s="242">
        <f t="shared" si="43"/>
        <v>4.65E-2</v>
      </c>
      <c r="EG38" s="261">
        <f t="shared" si="44"/>
        <v>0</v>
      </c>
      <c r="EH38" s="241">
        <f t="shared" si="45"/>
        <v>0</v>
      </c>
      <c r="EI38" s="242">
        <f t="shared" si="46"/>
        <v>0</v>
      </c>
      <c r="EJ38" s="242"/>
      <c r="EK38" s="261">
        <f t="shared" si="47"/>
        <v>80575000</v>
      </c>
      <c r="EL38" s="261">
        <f t="shared" si="48"/>
        <v>0</v>
      </c>
      <c r="EM38" s="261">
        <f t="shared" si="49"/>
        <v>10407.604166666666</v>
      </c>
      <c r="EN38" s="242">
        <f t="shared" si="50"/>
        <v>4.65E-2</v>
      </c>
      <c r="EP38" s="241"/>
    </row>
    <row r="39" spans="1:146" x14ac:dyDescent="0.25">
      <c r="A39" s="255">
        <f t="shared" si="51"/>
        <v>45776</v>
      </c>
      <c r="B39" s="241">
        <v>0</v>
      </c>
      <c r="C39" s="242">
        <v>4.6674399999999998E-2</v>
      </c>
      <c r="D39" s="241">
        <f t="shared" si="0"/>
        <v>0</v>
      </c>
      <c r="G39" s="241">
        <f t="shared" si="1"/>
        <v>0</v>
      </c>
      <c r="J39" s="241">
        <f t="shared" si="2"/>
        <v>0</v>
      </c>
      <c r="M39" s="241">
        <f t="shared" si="3"/>
        <v>0</v>
      </c>
      <c r="P39" s="241">
        <f t="shared" si="4"/>
        <v>0</v>
      </c>
      <c r="S39" s="241">
        <f t="shared" si="5"/>
        <v>0</v>
      </c>
      <c r="V39" s="241">
        <f t="shared" si="6"/>
        <v>0</v>
      </c>
      <c r="Y39" s="241">
        <f t="shared" si="7"/>
        <v>0</v>
      </c>
      <c r="AB39" s="241">
        <f t="shared" si="8"/>
        <v>0</v>
      </c>
      <c r="AE39" s="241">
        <v>0</v>
      </c>
      <c r="AH39" s="241">
        <v>0</v>
      </c>
      <c r="AI39" s="256">
        <f>45000000+25650000</f>
        <v>70650000</v>
      </c>
      <c r="AJ39" s="257">
        <v>4.65E-2</v>
      </c>
      <c r="AK39" s="241">
        <f t="shared" si="9"/>
        <v>9125.625</v>
      </c>
      <c r="AL39" s="256"/>
      <c r="AM39" s="257"/>
      <c r="AN39" s="241">
        <f t="shared" si="10"/>
        <v>0</v>
      </c>
      <c r="AO39" s="256"/>
      <c r="AP39" s="257"/>
      <c r="AQ39" s="241">
        <f t="shared" si="11"/>
        <v>0</v>
      </c>
      <c r="AR39" s="256"/>
      <c r="AS39" s="257"/>
      <c r="AT39" s="241">
        <f t="shared" si="12"/>
        <v>0</v>
      </c>
      <c r="AW39" s="241">
        <f t="shared" si="13"/>
        <v>0</v>
      </c>
      <c r="AZ39" s="241">
        <f t="shared" si="14"/>
        <v>0</v>
      </c>
      <c r="BC39" s="241">
        <f t="shared" si="15"/>
        <v>0</v>
      </c>
      <c r="BF39" s="241">
        <f t="shared" si="16"/>
        <v>0</v>
      </c>
      <c r="BI39" s="241">
        <f t="shared" si="17"/>
        <v>0</v>
      </c>
      <c r="BL39" s="241">
        <f t="shared" si="18"/>
        <v>0</v>
      </c>
      <c r="BO39" s="241">
        <f t="shared" si="19"/>
        <v>0</v>
      </c>
      <c r="BR39" s="241">
        <f t="shared" si="20"/>
        <v>0</v>
      </c>
      <c r="BU39" s="241">
        <f t="shared" si="21"/>
        <v>0</v>
      </c>
      <c r="BX39" s="241">
        <f t="shared" si="22"/>
        <v>0</v>
      </c>
      <c r="CA39" s="241">
        <f t="shared" si="23"/>
        <v>0</v>
      </c>
      <c r="CD39" s="241">
        <f t="shared" si="24"/>
        <v>0</v>
      </c>
      <c r="CG39" s="241">
        <f t="shared" si="25"/>
        <v>0</v>
      </c>
      <c r="CJ39" s="241">
        <f t="shared" si="26"/>
        <v>0</v>
      </c>
      <c r="CM39" s="241">
        <f t="shared" si="27"/>
        <v>0</v>
      </c>
      <c r="CP39" s="241">
        <f t="shared" si="28"/>
        <v>0</v>
      </c>
      <c r="CS39" s="241">
        <f t="shared" si="29"/>
        <v>0</v>
      </c>
      <c r="CV39" s="241">
        <f t="shared" si="30"/>
        <v>0</v>
      </c>
      <c r="CY39" s="241">
        <f t="shared" si="31"/>
        <v>0</v>
      </c>
      <c r="DB39" s="241">
        <f t="shared" si="32"/>
        <v>0</v>
      </c>
      <c r="DE39" s="241">
        <f t="shared" si="33"/>
        <v>0</v>
      </c>
      <c r="DH39" s="241">
        <f t="shared" si="34"/>
        <v>0</v>
      </c>
      <c r="DK39" s="241">
        <f t="shared" si="35"/>
        <v>0</v>
      </c>
      <c r="DN39" s="241">
        <f t="shared" si="36"/>
        <v>0</v>
      </c>
      <c r="DQ39" s="241">
        <f t="shared" si="37"/>
        <v>0</v>
      </c>
      <c r="DT39" s="241">
        <f t="shared" si="38"/>
        <v>0</v>
      </c>
      <c r="DW39" s="241">
        <f t="shared" si="39"/>
        <v>0</v>
      </c>
      <c r="DZ39" s="241"/>
      <c r="EA39" s="241"/>
      <c r="EB39" s="261">
        <f t="shared" si="40"/>
        <v>70650000</v>
      </c>
      <c r="EC39" s="261">
        <f t="shared" si="41"/>
        <v>0</v>
      </c>
      <c r="ED39" s="241">
        <f t="shared" si="42"/>
        <v>9125.625</v>
      </c>
      <c r="EE39" s="242">
        <f t="shared" si="43"/>
        <v>4.65E-2</v>
      </c>
      <c r="EG39" s="261">
        <f t="shared" si="44"/>
        <v>0</v>
      </c>
      <c r="EH39" s="241">
        <f t="shared" si="45"/>
        <v>0</v>
      </c>
      <c r="EI39" s="242">
        <f t="shared" si="46"/>
        <v>0</v>
      </c>
      <c r="EJ39" s="242"/>
      <c r="EK39" s="261">
        <f t="shared" si="47"/>
        <v>70650000</v>
      </c>
      <c r="EL39" s="261">
        <f t="shared" si="48"/>
        <v>0</v>
      </c>
      <c r="EM39" s="261">
        <f t="shared" si="49"/>
        <v>9125.625</v>
      </c>
      <c r="EN39" s="242">
        <f t="shared" si="50"/>
        <v>4.65E-2</v>
      </c>
      <c r="EP39" s="241"/>
    </row>
    <row r="40" spans="1:146" x14ac:dyDescent="0.25">
      <c r="A40" s="255">
        <f t="shared" si="51"/>
        <v>45777</v>
      </c>
      <c r="B40" s="241">
        <v>0</v>
      </c>
      <c r="C40" s="242">
        <v>4.6696390000000004E-2</v>
      </c>
      <c r="D40" s="241">
        <f t="shared" si="0"/>
        <v>0</v>
      </c>
      <c r="G40" s="241">
        <f t="shared" si="1"/>
        <v>0</v>
      </c>
      <c r="J40" s="241">
        <f t="shared" si="2"/>
        <v>0</v>
      </c>
      <c r="M40" s="241">
        <f t="shared" si="3"/>
        <v>0</v>
      </c>
      <c r="P40" s="241">
        <f t="shared" si="4"/>
        <v>0</v>
      </c>
      <c r="S40" s="241">
        <f t="shared" si="5"/>
        <v>0</v>
      </c>
      <c r="V40" s="241">
        <f t="shared" si="6"/>
        <v>0</v>
      </c>
      <c r="Y40" s="241">
        <f t="shared" si="7"/>
        <v>0</v>
      </c>
      <c r="AB40" s="241">
        <f t="shared" si="8"/>
        <v>0</v>
      </c>
      <c r="AE40" s="241">
        <v>0</v>
      </c>
      <c r="AH40" s="241">
        <v>0</v>
      </c>
      <c r="AI40" s="256">
        <f>40000000+19550000+55000000</f>
        <v>114550000</v>
      </c>
      <c r="AJ40" s="257">
        <v>4.65E-2</v>
      </c>
      <c r="AK40" s="241">
        <f t="shared" si="9"/>
        <v>14796.041666666666</v>
      </c>
      <c r="AL40" s="256"/>
      <c r="AM40" s="257"/>
      <c r="AN40" s="241">
        <f t="shared" si="10"/>
        <v>0</v>
      </c>
      <c r="AO40" s="256"/>
      <c r="AP40" s="257"/>
      <c r="AQ40" s="241">
        <f t="shared" si="11"/>
        <v>0</v>
      </c>
      <c r="AR40" s="256"/>
      <c r="AS40" s="257"/>
      <c r="AT40" s="241">
        <f t="shared" si="12"/>
        <v>0</v>
      </c>
      <c r="AW40" s="241">
        <f t="shared" si="13"/>
        <v>0</v>
      </c>
      <c r="AZ40" s="241">
        <f t="shared" si="14"/>
        <v>0</v>
      </c>
      <c r="BC40" s="241">
        <f t="shared" si="15"/>
        <v>0</v>
      </c>
      <c r="BF40" s="241">
        <f t="shared" si="16"/>
        <v>0</v>
      </c>
      <c r="BI40" s="241">
        <f t="shared" si="17"/>
        <v>0</v>
      </c>
      <c r="BL40" s="241">
        <f t="shared" si="18"/>
        <v>0</v>
      </c>
      <c r="BO40" s="241">
        <f t="shared" si="19"/>
        <v>0</v>
      </c>
      <c r="BR40" s="241">
        <f t="shared" si="20"/>
        <v>0</v>
      </c>
      <c r="BU40" s="241">
        <f t="shared" si="21"/>
        <v>0</v>
      </c>
      <c r="BX40" s="241">
        <f t="shared" si="22"/>
        <v>0</v>
      </c>
      <c r="CA40" s="241">
        <f t="shared" si="23"/>
        <v>0</v>
      </c>
      <c r="CD40" s="241">
        <f t="shared" si="24"/>
        <v>0</v>
      </c>
      <c r="CG40" s="241">
        <f t="shared" si="25"/>
        <v>0</v>
      </c>
      <c r="CJ40" s="241">
        <f t="shared" si="26"/>
        <v>0</v>
      </c>
      <c r="CM40" s="241">
        <f t="shared" si="27"/>
        <v>0</v>
      </c>
      <c r="CP40" s="241">
        <f t="shared" si="28"/>
        <v>0</v>
      </c>
      <c r="CS40" s="241">
        <f t="shared" si="29"/>
        <v>0</v>
      </c>
      <c r="CV40" s="241">
        <f t="shared" si="30"/>
        <v>0</v>
      </c>
      <c r="CY40" s="241">
        <f t="shared" si="31"/>
        <v>0</v>
      </c>
      <c r="DB40" s="241">
        <f t="shared" si="32"/>
        <v>0</v>
      </c>
      <c r="DE40" s="241">
        <f t="shared" si="33"/>
        <v>0</v>
      </c>
      <c r="DH40" s="241">
        <f t="shared" si="34"/>
        <v>0</v>
      </c>
      <c r="DK40" s="241">
        <f t="shared" si="35"/>
        <v>0</v>
      </c>
      <c r="DN40" s="241">
        <f t="shared" si="36"/>
        <v>0</v>
      </c>
      <c r="DQ40" s="241">
        <f t="shared" si="37"/>
        <v>0</v>
      </c>
      <c r="DT40" s="241">
        <f t="shared" si="38"/>
        <v>0</v>
      </c>
      <c r="DW40" s="241">
        <f t="shared" si="39"/>
        <v>0</v>
      </c>
      <c r="DZ40" s="241"/>
      <c r="EA40" s="241"/>
      <c r="EB40" s="261">
        <f t="shared" si="40"/>
        <v>114550000</v>
      </c>
      <c r="EC40" s="261">
        <f t="shared" si="41"/>
        <v>0</v>
      </c>
      <c r="ED40" s="241">
        <f t="shared" si="42"/>
        <v>14796.041666666666</v>
      </c>
      <c r="EE40" s="242">
        <f t="shared" si="43"/>
        <v>4.65E-2</v>
      </c>
      <c r="EG40" s="261">
        <f t="shared" si="44"/>
        <v>0</v>
      </c>
      <c r="EH40" s="241">
        <f t="shared" si="45"/>
        <v>0</v>
      </c>
      <c r="EI40" s="242">
        <f t="shared" si="46"/>
        <v>0</v>
      </c>
      <c r="EJ40" s="242"/>
      <c r="EK40" s="261">
        <f t="shared" si="47"/>
        <v>114550000</v>
      </c>
      <c r="EL40" s="261">
        <f t="shared" si="48"/>
        <v>0</v>
      </c>
      <c r="EM40" s="261">
        <f t="shared" si="49"/>
        <v>14796.041666666666</v>
      </c>
      <c r="EN40" s="242">
        <f t="shared" si="50"/>
        <v>4.65E-2</v>
      </c>
      <c r="EP40" s="241"/>
    </row>
    <row r="41" spans="1:146" x14ac:dyDescent="0.25">
      <c r="A41" s="276" t="s">
        <v>35</v>
      </c>
      <c r="D41" s="258">
        <f>SUM(D11:D40)</f>
        <v>806.35520208333344</v>
      </c>
      <c r="G41" s="258">
        <f>SUM(G11:G40)</f>
        <v>0</v>
      </c>
      <c r="J41" s="258">
        <f>SUM(J11:J40)</f>
        <v>0</v>
      </c>
      <c r="M41" s="258">
        <f>SUM(M11:M40)</f>
        <v>0</v>
      </c>
      <c r="P41" s="258">
        <f>SUM(P11:P40)</f>
        <v>0</v>
      </c>
      <c r="S41" s="258">
        <f>SUM(S11:S40)</f>
        <v>0</v>
      </c>
      <c r="V41" s="258">
        <f>SUM(V11:V40)</f>
        <v>0</v>
      </c>
      <c r="Y41" s="258">
        <f>SUM(Y11:Y40)</f>
        <v>0</v>
      </c>
      <c r="AB41" s="258">
        <f>SUM(AB11:AB40)</f>
        <v>0</v>
      </c>
      <c r="AE41" s="258">
        <f>SUM(AE11:AE40)</f>
        <v>0</v>
      </c>
      <c r="AH41" s="258">
        <f>SUM(AH11:AH40)</f>
        <v>0</v>
      </c>
      <c r="AK41" s="258">
        <f>SUM(AK11:AK40)</f>
        <v>311942.14583333337</v>
      </c>
      <c r="AN41" s="258">
        <f>SUM(AN11:AN40)</f>
        <v>16142.5</v>
      </c>
      <c r="AQ41" s="258">
        <f>SUM(AQ11:AQ40)</f>
        <v>9819.298055555555</v>
      </c>
      <c r="AT41" s="258">
        <f>SUM(AT11:AT40)</f>
        <v>140989.28666666665</v>
      </c>
      <c r="AW41" s="258">
        <f>SUM(AW11:AW40)</f>
        <v>29187.5</v>
      </c>
      <c r="AZ41" s="258">
        <f>SUM(AZ11:AZ40)</f>
        <v>39166.666666666664</v>
      </c>
      <c r="BC41" s="258">
        <f>SUM(BC11:BC40)</f>
        <v>0</v>
      </c>
      <c r="BF41" s="258">
        <f>SUM(BF11:BF40)</f>
        <v>0</v>
      </c>
      <c r="BI41" s="258">
        <f>SUM(BI11:BI40)</f>
        <v>0</v>
      </c>
      <c r="BL41" s="258">
        <f>SUM(BL11:BL40)</f>
        <v>0</v>
      </c>
      <c r="BO41" s="258">
        <f>SUM(BO11:BO40)</f>
        <v>0</v>
      </c>
      <c r="BR41" s="258">
        <f>SUM(BR11:BR40)</f>
        <v>0</v>
      </c>
      <c r="BU41" s="258">
        <f>SUM(BU11:BU40)</f>
        <v>0</v>
      </c>
      <c r="BX41" s="258">
        <f>SUM(BX11:BX40)</f>
        <v>0</v>
      </c>
      <c r="CA41" s="258">
        <f>SUM(CA11:CA40)</f>
        <v>0</v>
      </c>
      <c r="CD41" s="258">
        <f>SUM(CD11:CD40)</f>
        <v>0</v>
      </c>
      <c r="CG41" s="258">
        <f>SUM(CG11:CG40)</f>
        <v>0</v>
      </c>
      <c r="CJ41" s="258">
        <f>SUM(CJ11:CJ40)</f>
        <v>0</v>
      </c>
      <c r="CM41" s="258">
        <f>SUM(CM11:CM40)</f>
        <v>0</v>
      </c>
      <c r="CP41" s="258">
        <f>SUM(CP11:CP40)</f>
        <v>0</v>
      </c>
      <c r="CS41" s="258">
        <f>SUM(CS11:CS40)</f>
        <v>0</v>
      </c>
      <c r="CV41" s="258">
        <f>SUM(CV11:CV40)</f>
        <v>0</v>
      </c>
      <c r="CY41" s="258">
        <f>SUM(CY11:CY40)</f>
        <v>0</v>
      </c>
      <c r="DB41" s="258">
        <f>SUM(DB11:DB40)</f>
        <v>0</v>
      </c>
      <c r="DE41" s="258">
        <f>SUM(DE11:DE40)</f>
        <v>0</v>
      </c>
      <c r="DH41" s="258">
        <f>SUM(DH11:DH40)</f>
        <v>0</v>
      </c>
      <c r="DK41" s="258">
        <f>SUM(DK11:DK40)</f>
        <v>0</v>
      </c>
      <c r="DN41" s="258">
        <f>SUM(DN11:DN40)</f>
        <v>0</v>
      </c>
      <c r="DQ41" s="258">
        <f>SUM(DQ11:DQ40)</f>
        <v>0</v>
      </c>
      <c r="DT41" s="258">
        <f>SUM(DT11:DT40)</f>
        <v>0</v>
      </c>
      <c r="DW41" s="258">
        <f>SUM(DW11:DW40)</f>
        <v>0</v>
      </c>
      <c r="DZ41" s="241"/>
      <c r="EA41" s="241"/>
      <c r="EB41" s="241"/>
      <c r="EC41" s="241"/>
      <c r="ED41" s="258">
        <f>SUM(ED11:ED40)</f>
        <v>548053.75242430565</v>
      </c>
      <c r="EE41" s="242"/>
      <c r="EG41" s="241"/>
      <c r="EH41" s="258">
        <f>SUM(EH11:EH40)</f>
        <v>0</v>
      </c>
      <c r="EI41" s="242"/>
      <c r="EJ41" s="242"/>
      <c r="EK41" s="241"/>
      <c r="EL41" s="241"/>
      <c r="EM41" s="258">
        <f>SUM(EM11:EM40)</f>
        <v>547247.39722222218</v>
      </c>
      <c r="EN41" s="242"/>
    </row>
    <row r="43" spans="1:146" x14ac:dyDescent="0.25">
      <c r="EM43" s="259"/>
    </row>
    <row r="45" spans="1:146" x14ac:dyDescent="0.25">
      <c r="EM45" s="241"/>
    </row>
    <row r="47" spans="1:146" x14ac:dyDescent="0.25">
      <c r="EM47" s="241"/>
    </row>
  </sheetData>
  <pageMargins left="0.7" right="0.7" top="0.75" bottom="0.75" header="0.3" footer="0.3"/>
  <pageSetup scale="63" orientation="portrait" r:id="rId1"/>
  <headerFooter>
    <oddFooter>&amp;CSchedule RL-1</oddFooter>
  </headerFooter>
  <colBreaks count="5" manualBreakCount="5">
    <brk id="34" max="1048575" man="1"/>
    <brk id="43" max="1048575" man="1"/>
    <brk id="52" max="40" man="1"/>
    <brk id="130" max="1048575" man="1"/>
    <brk id="144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8"/>
  <dimension ref="A1:EQ48"/>
  <sheetViews>
    <sheetView zoomScaleNormal="100" workbookViewId="0">
      <selection activeCell="EO21" sqref="EO21"/>
    </sheetView>
  </sheetViews>
  <sheetFormatPr defaultRowHeight="15" x14ac:dyDescent="0.25"/>
  <cols>
    <col min="1" max="1" width="14.5703125" style="175" bestFit="1" customWidth="1"/>
    <col min="2" max="2" width="15.5703125" style="241" bestFit="1" customWidth="1"/>
    <col min="3" max="3" width="15.42578125" style="242" bestFit="1" customWidth="1"/>
    <col min="4" max="4" width="15.42578125" style="175" bestFit="1" customWidth="1"/>
    <col min="5" max="5" width="15.5703125" style="241" bestFit="1" customWidth="1"/>
    <col min="6" max="6" width="12.28515625" style="242" bestFit="1" customWidth="1"/>
    <col min="7" max="7" width="18" style="175" bestFit="1" customWidth="1"/>
    <col min="8" max="8" width="15.42578125" style="241" hidden="1" customWidth="1"/>
    <col min="9" max="9" width="10.28515625" style="242" hidden="1" customWidth="1"/>
    <col min="10" max="10" width="13.42578125" style="175" hidden="1" customWidth="1"/>
    <col min="11" max="11" width="14.42578125" style="241" hidden="1" customWidth="1"/>
    <col min="12" max="12" width="10.28515625" style="242" hidden="1" customWidth="1"/>
    <col min="13" max="13" width="11.7109375" style="175" hidden="1" customWidth="1"/>
    <col min="14" max="14" width="14.42578125" style="241" hidden="1" customWidth="1"/>
    <col min="15" max="15" width="10.28515625" style="242" hidden="1" customWidth="1"/>
    <col min="16" max="16" width="11.7109375" style="175" hidden="1" customWidth="1"/>
    <col min="17" max="17" width="15.42578125" style="241" hidden="1" customWidth="1"/>
    <col min="18" max="18" width="10.28515625" style="242" hidden="1" customWidth="1"/>
    <col min="19" max="19" width="11.7109375" style="175" hidden="1" customWidth="1"/>
    <col min="20" max="20" width="15.42578125" style="241" hidden="1" customWidth="1"/>
    <col min="21" max="21" width="10.28515625" style="242" hidden="1" customWidth="1"/>
    <col min="22" max="22" width="11.7109375" style="175" hidden="1" customWidth="1"/>
    <col min="23" max="23" width="15.42578125" style="241" hidden="1" customWidth="1"/>
    <col min="24" max="24" width="10.28515625" style="242" hidden="1" customWidth="1"/>
    <col min="25" max="25" width="11.7109375" style="175" hidden="1" customWidth="1"/>
    <col min="26" max="26" width="15.42578125" style="241" hidden="1" customWidth="1"/>
    <col min="27" max="27" width="10.28515625" style="242" hidden="1" customWidth="1"/>
    <col min="28" max="28" width="11.7109375" style="175" hidden="1" customWidth="1"/>
    <col min="29" max="29" width="15.42578125" style="241" hidden="1" customWidth="1"/>
    <col min="30" max="30" width="10.28515625" style="242" hidden="1" customWidth="1"/>
    <col min="31" max="31" width="11.7109375" style="175" hidden="1" customWidth="1"/>
    <col min="32" max="32" width="14.42578125" style="241" hidden="1" customWidth="1"/>
    <col min="33" max="33" width="10.28515625" style="242" hidden="1" customWidth="1"/>
    <col min="34" max="34" width="10.7109375" style="175" hidden="1" customWidth="1"/>
    <col min="35" max="35" width="14.42578125" style="241" customWidth="1"/>
    <col min="36" max="36" width="11.42578125" style="242" customWidth="1"/>
    <col min="37" max="37" width="14.140625" style="175" bestFit="1" customWidth="1"/>
    <col min="38" max="38" width="14.42578125" style="241" customWidth="1"/>
    <col min="39" max="39" width="10.28515625" style="242" customWidth="1"/>
    <col min="40" max="40" width="10.7109375" style="175" customWidth="1"/>
    <col min="41" max="41" width="15.42578125" style="241" bestFit="1" customWidth="1"/>
    <col min="42" max="42" width="12.28515625" style="242" bestFit="1" customWidth="1"/>
    <col min="43" max="43" width="11.7109375" style="175" bestFit="1" customWidth="1"/>
    <col min="44" max="44" width="15.42578125" style="241" bestFit="1" customWidth="1"/>
    <col min="45" max="45" width="10.28515625" style="242" bestFit="1" customWidth="1"/>
    <col min="46" max="46" width="11.7109375" style="175" bestFit="1" customWidth="1"/>
    <col min="47" max="47" width="14.42578125" style="241" customWidth="1"/>
    <col min="48" max="48" width="10.28515625" style="242" customWidth="1"/>
    <col min="49" max="49" width="10.7109375" style="175" customWidth="1"/>
    <col min="50" max="50" width="14.42578125" style="241" customWidth="1"/>
    <col min="51" max="51" width="10.28515625" style="242" customWidth="1"/>
    <col min="52" max="52" width="10.7109375" style="175" customWidth="1"/>
    <col min="53" max="53" width="14.42578125" style="241" customWidth="1"/>
    <col min="54" max="54" width="10.28515625" style="242" customWidth="1"/>
    <col min="55" max="55" width="10.7109375" style="175" customWidth="1"/>
    <col min="56" max="56" width="14.42578125" style="241" customWidth="1"/>
    <col min="57" max="57" width="10.28515625" style="242" customWidth="1"/>
    <col min="58" max="58" width="10.7109375" style="175" customWidth="1"/>
    <col min="59" max="59" width="14.42578125" style="241" customWidth="1"/>
    <col min="60" max="60" width="10.28515625" style="242" customWidth="1"/>
    <col min="61" max="61" width="10.7109375" style="175" customWidth="1"/>
    <col min="62" max="62" width="14.42578125" style="241" customWidth="1"/>
    <col min="63" max="63" width="10.28515625" style="242" customWidth="1"/>
    <col min="64" max="64" width="10.7109375" style="175" customWidth="1"/>
    <col min="65" max="65" width="14.42578125" style="241" hidden="1" customWidth="1"/>
    <col min="66" max="66" width="10.28515625" style="242" hidden="1" customWidth="1"/>
    <col min="67" max="67" width="10.7109375" style="175" hidden="1" customWidth="1"/>
    <col min="68" max="68" width="14.42578125" style="241" hidden="1" customWidth="1"/>
    <col min="69" max="69" width="10.28515625" style="242" hidden="1" customWidth="1"/>
    <col min="70" max="70" width="10.7109375" style="175" hidden="1" customWidth="1"/>
    <col min="71" max="71" width="14.42578125" style="241" hidden="1" customWidth="1"/>
    <col min="72" max="72" width="10.28515625" style="242" hidden="1" customWidth="1"/>
    <col min="73" max="73" width="10.7109375" style="175" hidden="1" customWidth="1"/>
    <col min="74" max="74" width="14.42578125" style="241" hidden="1" customWidth="1"/>
    <col min="75" max="75" width="10.28515625" style="242" hidden="1" customWidth="1"/>
    <col min="76" max="76" width="10.7109375" style="175" hidden="1" customWidth="1"/>
    <col min="77" max="77" width="14.42578125" style="241" hidden="1" customWidth="1"/>
    <col min="78" max="78" width="10.28515625" style="242" hidden="1" customWidth="1"/>
    <col min="79" max="79" width="10.7109375" style="175" hidden="1" customWidth="1"/>
    <col min="80" max="80" width="14.42578125" style="241" hidden="1" customWidth="1"/>
    <col min="81" max="81" width="10.28515625" style="242" hidden="1" customWidth="1"/>
    <col min="82" max="82" width="10.7109375" style="175" hidden="1" customWidth="1"/>
    <col min="83" max="83" width="14.42578125" style="241" hidden="1" customWidth="1"/>
    <col min="84" max="84" width="10.28515625" style="242" hidden="1" customWidth="1"/>
    <col min="85" max="85" width="10.7109375" style="175" hidden="1" customWidth="1"/>
    <col min="86" max="86" width="14.42578125" style="241" hidden="1" customWidth="1"/>
    <col min="87" max="87" width="10.28515625" style="242" hidden="1" customWidth="1"/>
    <col min="88" max="88" width="10.7109375" style="175" hidden="1" customWidth="1"/>
    <col min="89" max="89" width="14.42578125" style="241" hidden="1" customWidth="1"/>
    <col min="90" max="90" width="10.28515625" style="242" hidden="1" customWidth="1"/>
    <col min="91" max="91" width="10.7109375" style="175" hidden="1" customWidth="1"/>
    <col min="92" max="92" width="14.42578125" style="241" hidden="1" customWidth="1"/>
    <col min="93" max="93" width="10.28515625" style="242" hidden="1" customWidth="1"/>
    <col min="94" max="94" width="10.7109375" style="175" hidden="1" customWidth="1"/>
    <col min="95" max="95" width="14.42578125" style="241" hidden="1" customWidth="1"/>
    <col min="96" max="96" width="10.28515625" style="242" hidden="1" customWidth="1"/>
    <col min="97" max="97" width="10.7109375" style="175" hidden="1" customWidth="1"/>
    <col min="98" max="98" width="14.42578125" style="241" hidden="1" customWidth="1"/>
    <col min="99" max="99" width="10.28515625" style="242" hidden="1" customWidth="1"/>
    <col min="100" max="100" width="10.7109375" style="175" hidden="1" customWidth="1"/>
    <col min="101" max="101" width="14.42578125" style="241" hidden="1" customWidth="1"/>
    <col min="102" max="102" width="10.28515625" style="242" hidden="1" customWidth="1"/>
    <col min="103" max="103" width="10.7109375" style="175" hidden="1" customWidth="1"/>
    <col min="104" max="104" width="14.42578125" style="241" hidden="1" customWidth="1"/>
    <col min="105" max="105" width="10.28515625" style="242" hidden="1" customWidth="1"/>
    <col min="106" max="106" width="10.7109375" style="175" hidden="1" customWidth="1"/>
    <col min="107" max="107" width="14.42578125" style="241" hidden="1" customWidth="1"/>
    <col min="108" max="108" width="10.28515625" style="242" hidden="1" customWidth="1"/>
    <col min="109" max="109" width="10.7109375" style="175" hidden="1" customWidth="1"/>
    <col min="110" max="110" width="14.42578125" style="241" hidden="1" customWidth="1"/>
    <col min="111" max="111" width="10.28515625" style="242" hidden="1" customWidth="1"/>
    <col min="112" max="112" width="10.7109375" style="175" hidden="1" customWidth="1"/>
    <col min="113" max="113" width="14.42578125" style="241" hidden="1" customWidth="1"/>
    <col min="114" max="114" width="10.28515625" style="242" hidden="1" customWidth="1"/>
    <col min="115" max="115" width="10.7109375" style="175" hidden="1" customWidth="1"/>
    <col min="116" max="116" width="14.42578125" style="241" hidden="1" customWidth="1"/>
    <col min="117" max="117" width="10.28515625" style="242" hidden="1" customWidth="1"/>
    <col min="118" max="118" width="10.7109375" style="175" hidden="1" customWidth="1"/>
    <col min="119" max="119" width="14.42578125" style="241" hidden="1" customWidth="1"/>
    <col min="120" max="120" width="10.28515625" style="242" hidden="1" customWidth="1"/>
    <col min="121" max="121" width="10.7109375" style="175" hidden="1" customWidth="1"/>
    <col min="122" max="122" width="14.42578125" style="241" hidden="1" customWidth="1"/>
    <col min="123" max="123" width="10.28515625" style="242" hidden="1" customWidth="1"/>
    <col min="124" max="124" width="10.7109375" style="175" hidden="1" customWidth="1"/>
    <col min="125" max="125" width="14.42578125" style="241" hidden="1" customWidth="1"/>
    <col min="126" max="126" width="10.28515625" style="242" hidden="1" customWidth="1"/>
    <col min="127" max="127" width="10.7109375" style="175" hidden="1" customWidth="1"/>
    <col min="128" max="128" width="14.42578125" style="241" hidden="1" customWidth="1"/>
    <col min="129" max="129" width="10.28515625" style="242" hidden="1" customWidth="1"/>
    <col min="130" max="130" width="10.7109375" style="175" hidden="1" customWidth="1"/>
    <col min="131" max="131" width="2.7109375" style="175" customWidth="1"/>
    <col min="132" max="132" width="17.85546875" style="175" customWidth="1"/>
    <col min="133" max="133" width="15.42578125" style="175" hidden="1" customWidth="1"/>
    <col min="134" max="134" width="14.42578125" style="175" bestFit="1" customWidth="1"/>
    <col min="135" max="135" width="17.7109375" style="175" bestFit="1" customWidth="1"/>
    <col min="136" max="136" width="2.7109375" style="175" customWidth="1"/>
    <col min="137" max="137" width="15.42578125" style="175" hidden="1" customWidth="1"/>
    <col min="138" max="138" width="14.42578125" style="175" hidden="1" customWidth="1"/>
    <col min="139" max="139" width="12.42578125" style="175" hidden="1" customWidth="1"/>
    <col min="140" max="140" width="2.7109375" style="175" hidden="1" customWidth="1"/>
    <col min="141" max="141" width="20" style="175" customWidth="1"/>
    <col min="142" max="142" width="15.42578125" style="175" hidden="1" customWidth="1"/>
    <col min="143" max="143" width="14.42578125" style="175" bestFit="1" customWidth="1"/>
    <col min="144" max="144" width="18" style="175" bestFit="1" customWidth="1"/>
    <col min="145" max="145" width="42.85546875" style="175" bestFit="1" customWidth="1"/>
    <col min="146" max="146" width="19.42578125" style="175" bestFit="1" customWidth="1"/>
    <col min="147" max="147" width="23.140625" style="175" bestFit="1" customWidth="1"/>
    <col min="148" max="16384" width="9.140625" style="175"/>
  </cols>
  <sheetData>
    <row r="1" spans="1:147" s="202" customFormat="1" x14ac:dyDescent="0.25">
      <c r="A1" s="260" t="s">
        <v>0</v>
      </c>
      <c r="B1" s="261"/>
      <c r="C1" s="262"/>
      <c r="E1" s="261"/>
      <c r="F1" s="262"/>
      <c r="H1" s="261"/>
      <c r="I1" s="262"/>
      <c r="K1" s="261"/>
      <c r="L1" s="262"/>
      <c r="N1" s="261"/>
      <c r="O1" s="262"/>
      <c r="Q1" s="261"/>
      <c r="R1" s="262"/>
      <c r="T1" s="261"/>
      <c r="U1" s="262"/>
      <c r="W1" s="261"/>
      <c r="X1" s="262"/>
      <c r="Z1" s="261"/>
      <c r="AA1" s="262"/>
      <c r="AC1" s="261"/>
      <c r="AD1" s="262"/>
      <c r="AF1" s="261"/>
      <c r="AG1" s="262"/>
      <c r="AI1" s="261"/>
      <c r="AJ1" s="262"/>
      <c r="AL1" s="261"/>
      <c r="AM1" s="262"/>
      <c r="AO1" s="261"/>
      <c r="AP1" s="262"/>
      <c r="AR1" s="261"/>
      <c r="AS1" s="262"/>
      <c r="AU1" s="261"/>
      <c r="AV1" s="262"/>
      <c r="AX1" s="261"/>
      <c r="AY1" s="262"/>
      <c r="BA1" s="261"/>
      <c r="BB1" s="262"/>
      <c r="BD1" s="261"/>
      <c r="BE1" s="262"/>
      <c r="BG1" s="261"/>
      <c r="BH1" s="262"/>
      <c r="BJ1" s="261"/>
      <c r="BK1" s="262"/>
      <c r="BM1" s="261"/>
      <c r="BN1" s="262"/>
      <c r="BP1" s="261"/>
      <c r="BQ1" s="262"/>
      <c r="BS1" s="261"/>
      <c r="BT1" s="262"/>
      <c r="BV1" s="261"/>
      <c r="BW1" s="262"/>
      <c r="BY1" s="261"/>
      <c r="BZ1" s="262"/>
      <c r="CB1" s="261"/>
      <c r="CC1" s="262"/>
      <c r="CE1" s="261"/>
      <c r="CF1" s="262"/>
      <c r="CH1" s="261"/>
      <c r="CI1" s="262"/>
      <c r="CK1" s="261"/>
      <c r="CL1" s="262"/>
      <c r="CN1" s="261"/>
      <c r="CO1" s="262"/>
      <c r="CQ1" s="261"/>
      <c r="CR1" s="262"/>
      <c r="CT1" s="261"/>
      <c r="CU1" s="262"/>
      <c r="CW1" s="261"/>
      <c r="CX1" s="262"/>
      <c r="CZ1" s="261"/>
      <c r="DA1" s="262"/>
      <c r="DC1" s="261"/>
      <c r="DD1" s="262"/>
      <c r="DF1" s="261"/>
      <c r="DG1" s="262"/>
      <c r="DI1" s="261"/>
      <c r="DJ1" s="262"/>
      <c r="DL1" s="261"/>
      <c r="DM1" s="262"/>
      <c r="DO1" s="261"/>
      <c r="DP1" s="262"/>
      <c r="DR1" s="261"/>
      <c r="DS1" s="262"/>
      <c r="DU1" s="261"/>
      <c r="DV1" s="262"/>
      <c r="DX1" s="261"/>
      <c r="DY1" s="262"/>
      <c r="DZ1" s="263"/>
      <c r="ED1" s="191"/>
      <c r="EE1" s="264" t="s">
        <v>37</v>
      </c>
      <c r="EI1" s="191" t="s">
        <v>38</v>
      </c>
      <c r="EM1" s="191"/>
      <c r="EN1" s="191" t="s">
        <v>39</v>
      </c>
      <c r="EO1" s="260" t="s">
        <v>40</v>
      </c>
      <c r="EP1" s="260" t="s">
        <v>41</v>
      </c>
      <c r="EQ1" s="260" t="s">
        <v>42</v>
      </c>
    </row>
    <row r="2" spans="1:147" s="202" customFormat="1" ht="15.75" thickBot="1" x14ac:dyDescent="0.3">
      <c r="A2" s="260" t="s">
        <v>43</v>
      </c>
      <c r="B2" s="261"/>
      <c r="C2" s="262"/>
      <c r="E2" s="263"/>
      <c r="F2" s="262"/>
      <c r="G2" s="191"/>
      <c r="H2" s="261"/>
      <c r="I2" s="262"/>
      <c r="K2" s="261"/>
      <c r="L2" s="262"/>
      <c r="N2" s="261"/>
      <c r="O2" s="262"/>
      <c r="Q2" s="261"/>
      <c r="R2" s="262"/>
      <c r="T2" s="261"/>
      <c r="U2" s="262"/>
      <c r="W2" s="261"/>
      <c r="X2" s="262"/>
      <c r="Z2" s="261"/>
      <c r="AA2" s="262"/>
      <c r="AC2" s="261"/>
      <c r="AD2" s="262"/>
      <c r="AF2" s="261"/>
      <c r="AG2" s="262"/>
      <c r="AI2" s="261"/>
      <c r="AJ2" s="262"/>
      <c r="AL2" s="261"/>
      <c r="AM2" s="262"/>
      <c r="AO2" s="261"/>
      <c r="AP2" s="262"/>
      <c r="AR2" s="261"/>
      <c r="AS2" s="262"/>
      <c r="AU2" s="261"/>
      <c r="AV2" s="262"/>
      <c r="AX2" s="261"/>
      <c r="AY2" s="262"/>
      <c r="BA2" s="261"/>
      <c r="BB2" s="262"/>
      <c r="BD2" s="261"/>
      <c r="BE2" s="262"/>
      <c r="BG2" s="261"/>
      <c r="BH2" s="262"/>
      <c r="BJ2" s="261"/>
      <c r="BK2" s="262"/>
      <c r="BM2" s="261"/>
      <c r="BN2" s="262"/>
      <c r="BP2" s="261"/>
      <c r="BQ2" s="262"/>
      <c r="BS2" s="261"/>
      <c r="BT2" s="262"/>
      <c r="BV2" s="261"/>
      <c r="BW2" s="262"/>
      <c r="BY2" s="261"/>
      <c r="BZ2" s="262"/>
      <c r="CB2" s="261"/>
      <c r="CC2" s="262"/>
      <c r="CE2" s="261"/>
      <c r="CF2" s="262"/>
      <c r="CH2" s="261"/>
      <c r="CI2" s="262"/>
      <c r="CK2" s="261"/>
      <c r="CL2" s="262"/>
      <c r="CN2" s="261"/>
      <c r="CO2" s="262"/>
      <c r="CQ2" s="261"/>
      <c r="CR2" s="262"/>
      <c r="CT2" s="261"/>
      <c r="CU2" s="262"/>
      <c r="CW2" s="261"/>
      <c r="CX2" s="262"/>
      <c r="CZ2" s="261"/>
      <c r="DA2" s="262"/>
      <c r="DC2" s="261"/>
      <c r="DD2" s="262"/>
      <c r="DF2" s="261"/>
      <c r="DG2" s="262"/>
      <c r="DI2" s="261"/>
      <c r="DJ2" s="262"/>
      <c r="DL2" s="261"/>
      <c r="DM2" s="262"/>
      <c r="DO2" s="261"/>
      <c r="DP2" s="262"/>
      <c r="DR2" s="261"/>
      <c r="DS2" s="262"/>
      <c r="DU2" s="261"/>
      <c r="DV2" s="262"/>
      <c r="DX2" s="261"/>
      <c r="DY2" s="262"/>
      <c r="EB2" s="175" t="s">
        <v>44</v>
      </c>
      <c r="EC2" s="175"/>
      <c r="ED2" s="241"/>
      <c r="EE2" s="241">
        <f>EB41</f>
        <v>138900000</v>
      </c>
      <c r="EI2" s="241">
        <f>EG40</f>
        <v>0</v>
      </c>
      <c r="EM2" s="241"/>
      <c r="EN2" s="241">
        <f>EK41</f>
        <v>138900000</v>
      </c>
      <c r="EO2" s="265">
        <v>-17632.580000000002</v>
      </c>
      <c r="EP2" s="261">
        <f>EN2+EO2</f>
        <v>138882367.41999999</v>
      </c>
      <c r="EQ2" s="261">
        <f>EE2+EO2</f>
        <v>138882367.41999999</v>
      </c>
    </row>
    <row r="3" spans="1:147" ht="15.75" thickTop="1" x14ac:dyDescent="0.25">
      <c r="A3" s="266" t="s">
        <v>253</v>
      </c>
      <c r="E3" s="267" t="s">
        <v>45</v>
      </c>
      <c r="F3" s="243"/>
      <c r="G3" s="244"/>
      <c r="EB3" s="175" t="s">
        <v>46</v>
      </c>
      <c r="ED3" s="241"/>
      <c r="EE3" s="241">
        <f>AVERAGE(EB11:EB41)</f>
        <v>73250806.451612905</v>
      </c>
      <c r="EI3" s="241">
        <f>AVERAGE(EG11:EG40)</f>
        <v>0</v>
      </c>
      <c r="EM3" s="241"/>
      <c r="EN3" s="241">
        <f>AVERAGE(EK11:EK41)</f>
        <v>73229032.258064523</v>
      </c>
    </row>
    <row r="4" spans="1:147" x14ac:dyDescent="0.25">
      <c r="E4" s="245" t="s">
        <v>44</v>
      </c>
      <c r="F4" s="241"/>
      <c r="G4" s="246">
        <f>EQ2</f>
        <v>138882367.41999999</v>
      </c>
      <c r="AI4" s="260" t="s">
        <v>47</v>
      </c>
      <c r="EB4" s="175" t="s">
        <v>48</v>
      </c>
      <c r="ED4" s="242"/>
      <c r="EE4" s="242">
        <f>IF(EE3=0,0,360*(AVERAGE(ED11:ED41)/EE3))</f>
        <v>4.5943271201682248E-2</v>
      </c>
      <c r="EI4" s="242">
        <f>IF(EI3=0,0,360*(AVERAGE(EH11:EH40)/EI3))</f>
        <v>0</v>
      </c>
      <c r="EM4" s="242"/>
      <c r="EN4" s="242">
        <f>IF(EN3=0,0,360*(AVERAGE(EM11:EM41)/EN3))</f>
        <v>4.5943076296198392E-2</v>
      </c>
      <c r="EO4" s="202" t="s">
        <v>241</v>
      </c>
      <c r="EQ4" s="191" t="s">
        <v>47</v>
      </c>
    </row>
    <row r="5" spans="1:147" x14ac:dyDescent="0.25">
      <c r="E5" s="245" t="s">
        <v>46</v>
      </c>
      <c r="F5" s="241"/>
      <c r="G5" s="246">
        <f>EE3</f>
        <v>73250806.451612905</v>
      </c>
      <c r="AI5" s="268" t="s">
        <v>39</v>
      </c>
      <c r="EB5" s="175" t="s">
        <v>49</v>
      </c>
      <c r="ED5" s="241"/>
      <c r="EE5" s="241">
        <f>MAX(EB11:EB41)</f>
        <v>138900000</v>
      </c>
      <c r="EI5" s="241">
        <f>MAX(EG11:EG40)</f>
        <v>0</v>
      </c>
      <c r="EM5" s="241"/>
      <c r="EN5" s="241">
        <f>MAX(EK11:EK41)</f>
        <v>138900000</v>
      </c>
      <c r="EO5" s="175" t="s">
        <v>242</v>
      </c>
    </row>
    <row r="6" spans="1:147" x14ac:dyDescent="0.25">
      <c r="E6" s="245" t="s">
        <v>48</v>
      </c>
      <c r="F6" s="241"/>
      <c r="G6" s="247">
        <f>EE4</f>
        <v>4.5943271201682248E-2</v>
      </c>
    </row>
    <row r="7" spans="1:147" ht="15.75" thickBot="1" x14ac:dyDescent="0.3">
      <c r="E7" s="248" t="s">
        <v>49</v>
      </c>
      <c r="F7" s="249"/>
      <c r="G7" s="250">
        <f>EE5</f>
        <v>138900000</v>
      </c>
      <c r="AI7" s="268" t="s">
        <v>39</v>
      </c>
      <c r="EB7" s="269" t="s">
        <v>50</v>
      </c>
      <c r="EC7" s="269"/>
      <c r="ED7" s="251"/>
      <c r="EE7" s="251"/>
      <c r="EG7" s="269" t="s">
        <v>51</v>
      </c>
      <c r="EH7" s="251"/>
      <c r="EI7" s="251"/>
      <c r="EJ7" s="174"/>
      <c r="EK7" s="269" t="s">
        <v>52</v>
      </c>
      <c r="EL7" s="269"/>
      <c r="EM7" s="251"/>
      <c r="EN7" s="251"/>
    </row>
    <row r="8" spans="1:147" ht="15.75" thickTop="1" x14ac:dyDescent="0.25">
      <c r="AI8" s="263" t="s">
        <v>53</v>
      </c>
      <c r="AL8" s="263" t="s">
        <v>53</v>
      </c>
      <c r="AO8" s="263" t="s">
        <v>53</v>
      </c>
      <c r="AR8" s="263" t="s">
        <v>53</v>
      </c>
      <c r="AU8" s="263" t="s">
        <v>53</v>
      </c>
      <c r="AX8" s="263" t="s">
        <v>53</v>
      </c>
      <c r="BA8" s="263" t="s">
        <v>53</v>
      </c>
      <c r="BD8" s="263" t="s">
        <v>53</v>
      </c>
      <c r="BG8" s="263" t="s">
        <v>53</v>
      </c>
      <c r="BJ8" s="263" t="s">
        <v>53</v>
      </c>
      <c r="BM8" s="263" t="s">
        <v>53</v>
      </c>
      <c r="BP8" s="263" t="s">
        <v>53</v>
      </c>
      <c r="BS8" s="263" t="s">
        <v>53</v>
      </c>
      <c r="BV8" s="263" t="s">
        <v>53</v>
      </c>
      <c r="BY8" s="263" t="s">
        <v>53</v>
      </c>
      <c r="CB8" s="263" t="s">
        <v>53</v>
      </c>
      <c r="CE8" s="263" t="s">
        <v>53</v>
      </c>
      <c r="CH8" s="263" t="s">
        <v>53</v>
      </c>
      <c r="CK8" s="263" t="s">
        <v>53</v>
      </c>
      <c r="CN8" s="263" t="s">
        <v>53</v>
      </c>
      <c r="CQ8" s="263" t="s">
        <v>53</v>
      </c>
      <c r="CT8" s="263" t="s">
        <v>53</v>
      </c>
      <c r="CW8" s="263" t="s">
        <v>53</v>
      </c>
      <c r="CZ8" s="263" t="s">
        <v>53</v>
      </c>
      <c r="DC8" s="263" t="s">
        <v>53</v>
      </c>
      <c r="DF8" s="263" t="s">
        <v>53</v>
      </c>
      <c r="DI8" s="263" t="s">
        <v>53</v>
      </c>
      <c r="DL8" s="263" t="s">
        <v>53</v>
      </c>
      <c r="DO8" s="263" t="s">
        <v>53</v>
      </c>
      <c r="DR8" s="263" t="s">
        <v>53</v>
      </c>
      <c r="EB8" s="252"/>
      <c r="EC8" s="252"/>
      <c r="ED8" s="252"/>
      <c r="EE8" s="252" t="s">
        <v>54</v>
      </c>
      <c r="EG8" s="252"/>
      <c r="EH8" s="270" t="s">
        <v>38</v>
      </c>
      <c r="EI8" s="252" t="s">
        <v>54</v>
      </c>
      <c r="EJ8" s="252"/>
      <c r="EK8" s="191" t="s">
        <v>55</v>
      </c>
      <c r="EL8" s="191" t="s">
        <v>56</v>
      </c>
      <c r="EM8" s="270" t="s">
        <v>57</v>
      </c>
      <c r="EN8" s="252" t="s">
        <v>54</v>
      </c>
    </row>
    <row r="9" spans="1:147" x14ac:dyDescent="0.25">
      <c r="B9" s="253" t="s">
        <v>58</v>
      </c>
      <c r="C9" s="254"/>
      <c r="D9" s="251"/>
      <c r="E9" s="253" t="s">
        <v>59</v>
      </c>
      <c r="F9" s="254"/>
      <c r="G9" s="251"/>
      <c r="H9" s="253" t="s">
        <v>60</v>
      </c>
      <c r="I9" s="254"/>
      <c r="J9" s="251"/>
      <c r="K9" s="253" t="s">
        <v>61</v>
      </c>
      <c r="L9" s="254"/>
      <c r="M9" s="251"/>
      <c r="N9" s="253" t="s">
        <v>62</v>
      </c>
      <c r="O9" s="254"/>
      <c r="P9" s="251"/>
      <c r="Q9" s="253" t="s">
        <v>63</v>
      </c>
      <c r="R9" s="254"/>
      <c r="S9" s="251"/>
      <c r="T9" s="253" t="s">
        <v>64</v>
      </c>
      <c r="U9" s="254"/>
      <c r="V9" s="251"/>
      <c r="W9" s="253" t="s">
        <v>65</v>
      </c>
      <c r="X9" s="254"/>
      <c r="Y9" s="251"/>
      <c r="Z9" s="253" t="s">
        <v>66</v>
      </c>
      <c r="AA9" s="254"/>
      <c r="AB9" s="251"/>
      <c r="AC9" s="271" t="s">
        <v>67</v>
      </c>
      <c r="AD9" s="254"/>
      <c r="AE9" s="251"/>
      <c r="AF9" s="271" t="s">
        <v>68</v>
      </c>
      <c r="AG9" s="254"/>
      <c r="AH9" s="251"/>
      <c r="AI9" s="253" t="s">
        <v>69</v>
      </c>
      <c r="AJ9" s="254"/>
      <c r="AK9" s="251"/>
      <c r="AL9" s="253" t="s">
        <v>70</v>
      </c>
      <c r="AM9" s="254"/>
      <c r="AN9" s="251"/>
      <c r="AO9" s="253" t="s">
        <v>71</v>
      </c>
      <c r="AP9" s="254"/>
      <c r="AQ9" s="251"/>
      <c r="AR9" s="253" t="s">
        <v>72</v>
      </c>
      <c r="AS9" s="254"/>
      <c r="AT9" s="251"/>
      <c r="AU9" s="253" t="s">
        <v>73</v>
      </c>
      <c r="AV9" s="254"/>
      <c r="AW9" s="251"/>
      <c r="AX9" s="253" t="s">
        <v>74</v>
      </c>
      <c r="AY9" s="254"/>
      <c r="AZ9" s="251"/>
      <c r="BA9" s="253" t="s">
        <v>75</v>
      </c>
      <c r="BB9" s="254"/>
      <c r="BC9" s="251"/>
      <c r="BD9" s="253" t="s">
        <v>76</v>
      </c>
      <c r="BE9" s="254"/>
      <c r="BF9" s="251"/>
      <c r="BG9" s="253" t="s">
        <v>77</v>
      </c>
      <c r="BH9" s="254"/>
      <c r="BI9" s="251"/>
      <c r="BJ9" s="253" t="s">
        <v>78</v>
      </c>
      <c r="BK9" s="254"/>
      <c r="BL9" s="251"/>
      <c r="BM9" s="253" t="s">
        <v>79</v>
      </c>
      <c r="BN9" s="254"/>
      <c r="BO9" s="251"/>
      <c r="BP9" s="253" t="s">
        <v>80</v>
      </c>
      <c r="BQ9" s="254"/>
      <c r="BR9" s="251"/>
      <c r="BS9" s="253" t="s">
        <v>81</v>
      </c>
      <c r="BT9" s="254"/>
      <c r="BU9" s="251"/>
      <c r="BV9" s="253" t="s">
        <v>82</v>
      </c>
      <c r="BW9" s="254"/>
      <c r="BX9" s="251"/>
      <c r="BY9" s="253" t="s">
        <v>83</v>
      </c>
      <c r="BZ9" s="254"/>
      <c r="CA9" s="251"/>
      <c r="CB9" s="253" t="s">
        <v>84</v>
      </c>
      <c r="CC9" s="254"/>
      <c r="CD9" s="251"/>
      <c r="CE9" s="253" t="s">
        <v>85</v>
      </c>
      <c r="CF9" s="254"/>
      <c r="CG9" s="251"/>
      <c r="CH9" s="253" t="s">
        <v>86</v>
      </c>
      <c r="CI9" s="254"/>
      <c r="CJ9" s="251"/>
      <c r="CK9" s="253" t="s">
        <v>87</v>
      </c>
      <c r="CL9" s="254"/>
      <c r="CM9" s="251"/>
      <c r="CN9" s="253" t="s">
        <v>88</v>
      </c>
      <c r="CO9" s="254"/>
      <c r="CP9" s="251"/>
      <c r="CQ9" s="253" t="s">
        <v>89</v>
      </c>
      <c r="CR9" s="254"/>
      <c r="CS9" s="251"/>
      <c r="CT9" s="253" t="s">
        <v>90</v>
      </c>
      <c r="CU9" s="254"/>
      <c r="CV9" s="251"/>
      <c r="CW9" s="253" t="s">
        <v>91</v>
      </c>
      <c r="CX9" s="254"/>
      <c r="CY9" s="251"/>
      <c r="CZ9" s="253" t="s">
        <v>92</v>
      </c>
      <c r="DA9" s="254"/>
      <c r="DB9" s="251"/>
      <c r="DC9" s="253" t="s">
        <v>93</v>
      </c>
      <c r="DD9" s="254"/>
      <c r="DE9" s="251"/>
      <c r="DF9" s="253" t="s">
        <v>94</v>
      </c>
      <c r="DG9" s="254"/>
      <c r="DH9" s="251"/>
      <c r="DI9" s="253" t="s">
        <v>95</v>
      </c>
      <c r="DJ9" s="254"/>
      <c r="DK9" s="251"/>
      <c r="DL9" s="253" t="s">
        <v>96</v>
      </c>
      <c r="DM9" s="254"/>
      <c r="DN9" s="251"/>
      <c r="DO9" s="253" t="s">
        <v>97</v>
      </c>
      <c r="DP9" s="254"/>
      <c r="DQ9" s="251"/>
      <c r="DR9" s="253" t="s">
        <v>98</v>
      </c>
      <c r="DS9" s="254"/>
      <c r="DT9" s="251"/>
      <c r="DU9" s="253" t="s">
        <v>99</v>
      </c>
      <c r="DV9" s="254"/>
      <c r="DW9" s="251"/>
      <c r="DX9" s="272" t="s">
        <v>100</v>
      </c>
      <c r="DY9" s="254"/>
      <c r="DZ9" s="251"/>
      <c r="EA9" s="174"/>
      <c r="EB9" s="191" t="s">
        <v>101</v>
      </c>
      <c r="EC9" s="191" t="s">
        <v>102</v>
      </c>
      <c r="ED9" s="252" t="s">
        <v>103</v>
      </c>
      <c r="EE9" s="252" t="s">
        <v>104</v>
      </c>
      <c r="EG9" s="270" t="s">
        <v>105</v>
      </c>
      <c r="EH9" s="252" t="s">
        <v>103</v>
      </c>
      <c r="EI9" s="252" t="s">
        <v>104</v>
      </c>
      <c r="EJ9" s="252"/>
      <c r="EK9" s="270" t="s">
        <v>57</v>
      </c>
      <c r="EL9" s="270" t="s">
        <v>57</v>
      </c>
      <c r="EM9" s="252" t="s">
        <v>103</v>
      </c>
      <c r="EN9" s="252" t="s">
        <v>104</v>
      </c>
    </row>
    <row r="10" spans="1:147" x14ac:dyDescent="0.25">
      <c r="A10" s="252" t="s">
        <v>106</v>
      </c>
      <c r="B10" s="273" t="s">
        <v>107</v>
      </c>
      <c r="C10" s="274" t="s">
        <v>108</v>
      </c>
      <c r="D10" s="275" t="s">
        <v>12</v>
      </c>
      <c r="E10" s="273" t="s">
        <v>107</v>
      </c>
      <c r="F10" s="274" t="s">
        <v>108</v>
      </c>
      <c r="G10" s="275" t="s">
        <v>12</v>
      </c>
      <c r="H10" s="273" t="s">
        <v>107</v>
      </c>
      <c r="I10" s="274" t="s">
        <v>108</v>
      </c>
      <c r="J10" s="275" t="s">
        <v>12</v>
      </c>
      <c r="K10" s="273" t="s">
        <v>107</v>
      </c>
      <c r="L10" s="274" t="s">
        <v>108</v>
      </c>
      <c r="M10" s="275" t="s">
        <v>12</v>
      </c>
      <c r="N10" s="273" t="s">
        <v>107</v>
      </c>
      <c r="O10" s="274" t="s">
        <v>108</v>
      </c>
      <c r="P10" s="275" t="s">
        <v>12</v>
      </c>
      <c r="Q10" s="273" t="s">
        <v>107</v>
      </c>
      <c r="R10" s="274" t="s">
        <v>108</v>
      </c>
      <c r="S10" s="275" t="s">
        <v>12</v>
      </c>
      <c r="T10" s="273" t="s">
        <v>107</v>
      </c>
      <c r="U10" s="274" t="s">
        <v>108</v>
      </c>
      <c r="V10" s="275" t="s">
        <v>12</v>
      </c>
      <c r="W10" s="273" t="s">
        <v>107</v>
      </c>
      <c r="X10" s="274" t="s">
        <v>108</v>
      </c>
      <c r="Y10" s="275" t="s">
        <v>12</v>
      </c>
      <c r="Z10" s="273" t="s">
        <v>107</v>
      </c>
      <c r="AA10" s="274" t="s">
        <v>108</v>
      </c>
      <c r="AB10" s="275" t="s">
        <v>12</v>
      </c>
      <c r="AC10" s="273" t="s">
        <v>107</v>
      </c>
      <c r="AD10" s="274" t="s">
        <v>108</v>
      </c>
      <c r="AE10" s="275" t="s">
        <v>12</v>
      </c>
      <c r="AF10" s="273" t="s">
        <v>107</v>
      </c>
      <c r="AG10" s="274" t="s">
        <v>108</v>
      </c>
      <c r="AH10" s="275" t="s">
        <v>12</v>
      </c>
      <c r="AI10" s="273" t="s">
        <v>107</v>
      </c>
      <c r="AJ10" s="274" t="s">
        <v>108</v>
      </c>
      <c r="AK10" s="275" t="s">
        <v>12</v>
      </c>
      <c r="AL10" s="273" t="s">
        <v>107</v>
      </c>
      <c r="AM10" s="274" t="s">
        <v>108</v>
      </c>
      <c r="AN10" s="275" t="s">
        <v>12</v>
      </c>
      <c r="AO10" s="273" t="s">
        <v>107</v>
      </c>
      <c r="AP10" s="274" t="s">
        <v>108</v>
      </c>
      <c r="AQ10" s="275" t="s">
        <v>12</v>
      </c>
      <c r="AR10" s="273" t="s">
        <v>107</v>
      </c>
      <c r="AS10" s="274" t="s">
        <v>108</v>
      </c>
      <c r="AT10" s="275" t="s">
        <v>12</v>
      </c>
      <c r="AU10" s="273" t="s">
        <v>107</v>
      </c>
      <c r="AV10" s="274" t="s">
        <v>108</v>
      </c>
      <c r="AW10" s="275" t="s">
        <v>12</v>
      </c>
      <c r="AX10" s="273" t="s">
        <v>107</v>
      </c>
      <c r="AY10" s="274" t="s">
        <v>108</v>
      </c>
      <c r="AZ10" s="275" t="s">
        <v>12</v>
      </c>
      <c r="BA10" s="273" t="s">
        <v>107</v>
      </c>
      <c r="BB10" s="274" t="s">
        <v>108</v>
      </c>
      <c r="BC10" s="275" t="s">
        <v>12</v>
      </c>
      <c r="BD10" s="273" t="s">
        <v>107</v>
      </c>
      <c r="BE10" s="274" t="s">
        <v>108</v>
      </c>
      <c r="BF10" s="275" t="s">
        <v>12</v>
      </c>
      <c r="BG10" s="273" t="s">
        <v>107</v>
      </c>
      <c r="BH10" s="274" t="s">
        <v>108</v>
      </c>
      <c r="BI10" s="275" t="s">
        <v>12</v>
      </c>
      <c r="BJ10" s="273" t="s">
        <v>107</v>
      </c>
      <c r="BK10" s="274" t="s">
        <v>108</v>
      </c>
      <c r="BL10" s="275" t="s">
        <v>12</v>
      </c>
      <c r="BM10" s="273" t="s">
        <v>107</v>
      </c>
      <c r="BN10" s="274" t="s">
        <v>108</v>
      </c>
      <c r="BO10" s="275" t="s">
        <v>12</v>
      </c>
      <c r="BP10" s="273" t="s">
        <v>107</v>
      </c>
      <c r="BQ10" s="274" t="s">
        <v>108</v>
      </c>
      <c r="BR10" s="275" t="s">
        <v>12</v>
      </c>
      <c r="BS10" s="273" t="s">
        <v>107</v>
      </c>
      <c r="BT10" s="274" t="s">
        <v>108</v>
      </c>
      <c r="BU10" s="275" t="s">
        <v>12</v>
      </c>
      <c r="BV10" s="273" t="s">
        <v>107</v>
      </c>
      <c r="BW10" s="274" t="s">
        <v>108</v>
      </c>
      <c r="BX10" s="275" t="s">
        <v>12</v>
      </c>
      <c r="BY10" s="273" t="s">
        <v>107</v>
      </c>
      <c r="BZ10" s="274" t="s">
        <v>108</v>
      </c>
      <c r="CA10" s="275" t="s">
        <v>12</v>
      </c>
      <c r="CB10" s="273" t="s">
        <v>107</v>
      </c>
      <c r="CC10" s="274" t="s">
        <v>108</v>
      </c>
      <c r="CD10" s="275" t="s">
        <v>12</v>
      </c>
      <c r="CE10" s="273" t="s">
        <v>107</v>
      </c>
      <c r="CF10" s="274" t="s">
        <v>108</v>
      </c>
      <c r="CG10" s="275" t="s">
        <v>12</v>
      </c>
      <c r="CH10" s="273" t="s">
        <v>107</v>
      </c>
      <c r="CI10" s="274" t="s">
        <v>108</v>
      </c>
      <c r="CJ10" s="275" t="s">
        <v>12</v>
      </c>
      <c r="CK10" s="273" t="s">
        <v>107</v>
      </c>
      <c r="CL10" s="274" t="s">
        <v>108</v>
      </c>
      <c r="CM10" s="275" t="s">
        <v>12</v>
      </c>
      <c r="CN10" s="273" t="s">
        <v>107</v>
      </c>
      <c r="CO10" s="274" t="s">
        <v>108</v>
      </c>
      <c r="CP10" s="275" t="s">
        <v>12</v>
      </c>
      <c r="CQ10" s="273" t="s">
        <v>107</v>
      </c>
      <c r="CR10" s="274" t="s">
        <v>108</v>
      </c>
      <c r="CS10" s="275" t="s">
        <v>12</v>
      </c>
      <c r="CT10" s="273" t="s">
        <v>107</v>
      </c>
      <c r="CU10" s="274" t="s">
        <v>108</v>
      </c>
      <c r="CV10" s="275" t="s">
        <v>12</v>
      </c>
      <c r="CW10" s="273" t="s">
        <v>107</v>
      </c>
      <c r="CX10" s="274" t="s">
        <v>108</v>
      </c>
      <c r="CY10" s="275" t="s">
        <v>12</v>
      </c>
      <c r="CZ10" s="273" t="s">
        <v>107</v>
      </c>
      <c r="DA10" s="274" t="s">
        <v>108</v>
      </c>
      <c r="DB10" s="275" t="s">
        <v>12</v>
      </c>
      <c r="DC10" s="273" t="s">
        <v>107</v>
      </c>
      <c r="DD10" s="274" t="s">
        <v>108</v>
      </c>
      <c r="DE10" s="275" t="s">
        <v>12</v>
      </c>
      <c r="DF10" s="273" t="s">
        <v>107</v>
      </c>
      <c r="DG10" s="274" t="s">
        <v>108</v>
      </c>
      <c r="DH10" s="275" t="s">
        <v>12</v>
      </c>
      <c r="DI10" s="273" t="s">
        <v>107</v>
      </c>
      <c r="DJ10" s="274" t="s">
        <v>108</v>
      </c>
      <c r="DK10" s="275" t="s">
        <v>12</v>
      </c>
      <c r="DL10" s="273" t="s">
        <v>107</v>
      </c>
      <c r="DM10" s="274" t="s">
        <v>108</v>
      </c>
      <c r="DN10" s="275" t="s">
        <v>12</v>
      </c>
      <c r="DO10" s="273" t="s">
        <v>107</v>
      </c>
      <c r="DP10" s="274" t="s">
        <v>108</v>
      </c>
      <c r="DQ10" s="275" t="s">
        <v>12</v>
      </c>
      <c r="DR10" s="273" t="s">
        <v>107</v>
      </c>
      <c r="DS10" s="274" t="s">
        <v>108</v>
      </c>
      <c r="DT10" s="275" t="s">
        <v>12</v>
      </c>
      <c r="DU10" s="273" t="s">
        <v>107</v>
      </c>
      <c r="DV10" s="274" t="s">
        <v>108</v>
      </c>
      <c r="DW10" s="275" t="s">
        <v>12</v>
      </c>
      <c r="DX10" s="273" t="s">
        <v>107</v>
      </c>
      <c r="DY10" s="274"/>
      <c r="DZ10" s="275"/>
      <c r="EA10" s="275"/>
      <c r="EB10" s="275" t="s">
        <v>109</v>
      </c>
      <c r="EC10" s="275" t="s">
        <v>109</v>
      </c>
      <c r="ED10" s="275" t="s">
        <v>12</v>
      </c>
      <c r="EE10" s="275" t="s">
        <v>108</v>
      </c>
      <c r="EG10" s="275" t="s">
        <v>109</v>
      </c>
      <c r="EH10" s="275" t="s">
        <v>12</v>
      </c>
      <c r="EI10" s="275" t="s">
        <v>108</v>
      </c>
      <c r="EJ10" s="275"/>
      <c r="EK10" s="275" t="s">
        <v>109</v>
      </c>
      <c r="EL10" s="275" t="s">
        <v>109</v>
      </c>
      <c r="EM10" s="275" t="s">
        <v>12</v>
      </c>
      <c r="EN10" s="275" t="s">
        <v>108</v>
      </c>
    </row>
    <row r="11" spans="1:147" x14ac:dyDescent="0.25">
      <c r="A11" s="255">
        <v>45778</v>
      </c>
      <c r="B11" s="241">
        <v>0</v>
      </c>
      <c r="C11" s="242">
        <v>4.6703939999999999E-2</v>
      </c>
      <c r="D11" s="241">
        <f>(B11*C11)/360</f>
        <v>0</v>
      </c>
      <c r="G11" s="241">
        <f>(E11*F11)/360</f>
        <v>0</v>
      </c>
      <c r="J11" s="241">
        <f>(H11*I11)/360</f>
        <v>0</v>
      </c>
      <c r="M11" s="241">
        <f>(K11*L11)/360</f>
        <v>0</v>
      </c>
      <c r="P11" s="241">
        <f>(N11*O11)/360</f>
        <v>0</v>
      </c>
      <c r="S11" s="241">
        <f>(Q11*R11)/360</f>
        <v>0</v>
      </c>
      <c r="V11" s="241">
        <f>(T11*U11)/360</f>
        <v>0</v>
      </c>
      <c r="Y11" s="241">
        <f>(W11*X11)/360</f>
        <v>0</v>
      </c>
      <c r="AB11" s="241">
        <f>(Z11*AA11)/360</f>
        <v>0</v>
      </c>
      <c r="AE11" s="241">
        <v>0</v>
      </c>
      <c r="AH11" s="241">
        <v>0</v>
      </c>
      <c r="AI11" s="256">
        <f>63050000+65000000</f>
        <v>128050000</v>
      </c>
      <c r="AJ11" s="257">
        <v>4.65E-2</v>
      </c>
      <c r="AK11" s="241">
        <f>(AI11*AJ11)/360</f>
        <v>16539.791666666668</v>
      </c>
      <c r="AL11" s="256"/>
      <c r="AM11" s="257"/>
      <c r="AN11" s="241">
        <f>(AL11*AM11)/360</f>
        <v>0</v>
      </c>
      <c r="AO11" s="256"/>
      <c r="AP11" s="257"/>
      <c r="AQ11" s="241">
        <f>(AO11*AP11)/360</f>
        <v>0</v>
      </c>
      <c r="AR11" s="256"/>
      <c r="AS11" s="257"/>
      <c r="AT11" s="241">
        <f>(AR11*AS11)/360</f>
        <v>0</v>
      </c>
      <c r="AW11" s="241">
        <f>(AU11*AV11)/360</f>
        <v>0</v>
      </c>
      <c r="AZ11" s="241">
        <f>(AX11*AY11)/360</f>
        <v>0</v>
      </c>
      <c r="BC11" s="241">
        <f>(BA11*BB11)/360</f>
        <v>0</v>
      </c>
      <c r="BF11" s="241">
        <f>(BD11*BE11)/360</f>
        <v>0</v>
      </c>
      <c r="BI11" s="241">
        <f>(BG11*BH11)/360</f>
        <v>0</v>
      </c>
      <c r="BL11" s="241">
        <f>(BJ11*BK11)/360</f>
        <v>0</v>
      </c>
      <c r="BO11" s="241">
        <f>(BM11*BN11)/360</f>
        <v>0</v>
      </c>
      <c r="BR11" s="241">
        <f>(BP11*BQ11)/360</f>
        <v>0</v>
      </c>
      <c r="BU11" s="241">
        <f>(BS11*BT11)/360</f>
        <v>0</v>
      </c>
      <c r="BX11" s="241">
        <f>(BV11*BW11)/360</f>
        <v>0</v>
      </c>
      <c r="CA11" s="241">
        <f>(BY11*BZ11)/360</f>
        <v>0</v>
      </c>
      <c r="CD11" s="241">
        <f>(CB11*CC11)/360</f>
        <v>0</v>
      </c>
      <c r="CG11" s="241">
        <f>(CE11*CF11)/360</f>
        <v>0</v>
      </c>
      <c r="CJ11" s="241">
        <f>(CH11*CI11)/360</f>
        <v>0</v>
      </c>
      <c r="CM11" s="241">
        <f>(CK11*CL11)/360</f>
        <v>0</v>
      </c>
      <c r="CP11" s="241">
        <f>(CN11*CO11)/360</f>
        <v>0</v>
      </c>
      <c r="CS11" s="241">
        <f>(CQ11*CR11)/360</f>
        <v>0</v>
      </c>
      <c r="CV11" s="241">
        <f>(CT11*CU11)/360</f>
        <v>0</v>
      </c>
      <c r="CY11" s="241">
        <f>(CW11*CX11)/360</f>
        <v>0</v>
      </c>
      <c r="DB11" s="241">
        <f>(CZ11*DA11)/360</f>
        <v>0</v>
      </c>
      <c r="DE11" s="241">
        <f>(DC11*DD11)/360</f>
        <v>0</v>
      </c>
      <c r="DH11" s="241">
        <f>(DF11*DG11)/360</f>
        <v>0</v>
      </c>
      <c r="DK11" s="241">
        <f>(DI11*DJ11)/360</f>
        <v>0</v>
      </c>
      <c r="DN11" s="241">
        <f>(DL11*DM11)/360</f>
        <v>0</v>
      </c>
      <c r="DQ11" s="241">
        <f>(DO11*DP11)/360</f>
        <v>0</v>
      </c>
      <c r="DT11" s="241">
        <f>(DR11*DS11)/360</f>
        <v>0</v>
      </c>
      <c r="DW11" s="241">
        <f>(DU11*DV11)/360</f>
        <v>0</v>
      </c>
      <c r="DZ11" s="241"/>
      <c r="EA11" s="241"/>
      <c r="EB11" s="261">
        <f>B11+E11+H11+K11+N11+Q11+T11+W11+Z11+AC11+AF11+AL11+AO11+AR11+AU11+AX11+BA11+BD11+BG11+DU11+AI11+DR11+DO11+DL11+DI11+DF11+DC11+CZ11+CW11+CT11+CQ11+CN11+CK11+CH11+CE11+CB11+BY11+BV11+BS11+BP11+BM11+BJ11</f>
        <v>128050000</v>
      </c>
      <c r="EC11" s="261">
        <f>EB11-EK11+EL11</f>
        <v>0</v>
      </c>
      <c r="ED11" s="241">
        <f>D11+G11+J11+M11+P11+S11+V11+Y11+AB11+AE11+AH11+AK11+AN11+AQ11+AT11+AW11+AZ11+BC11+BF11+BI11+DW11+DT11+DQ11+DN11+DK11+DH11+DE11+DB11+CY11+CV11+CS11+CP11+CM11+CJ11+CG11+CD11+CA11+BX11+BU11+BR11+BO11+BL11</f>
        <v>16539.791666666668</v>
      </c>
      <c r="EE11" s="242">
        <f>IF(EB11&lt;&gt;0,((ED11/EB11)*360),0)</f>
        <v>4.65E-2</v>
      </c>
      <c r="EG11" s="261">
        <f>Q11+T11+W11+Z11+AC11+AF11</f>
        <v>0</v>
      </c>
      <c r="EH11" s="241">
        <f>S11+V11+Y11+AB11+AE11+AH11</f>
        <v>0</v>
      </c>
      <c r="EI11" s="242">
        <f>IF(EG11&lt;&gt;0,((EH11/EG11)*360),0)</f>
        <v>0</v>
      </c>
      <c r="EJ11" s="242"/>
      <c r="EK11" s="261">
        <f>DR11+DL11+DI11+DF11+DC11+CZ11+CW11+CT11+CQ11+CN11+CK11+CH11+CE11+CB11+BY11+BV11+BS11+BP11+BM11+BJ11+BG11+BD11+BA11+AX11+AU11+AR11+AO11+AL11+AI11+DO11</f>
        <v>128050000</v>
      </c>
      <c r="EL11" s="261">
        <f>DX11</f>
        <v>0</v>
      </c>
      <c r="EM11" s="261">
        <f>DT11+DQ11+DN11+DK11+DH11+DE11+DB11+CY11+CV11+CS11+CP11+CM11+CJ11+CG11+CD11+CA11+BX11+BU11+BR11+BO11+BL11+BI11+BF11+BC11+AZ11+AW11+AT11+AQ11+AN11+AK11</f>
        <v>16539.791666666668</v>
      </c>
      <c r="EN11" s="242">
        <f>IF(EK11&lt;&gt;0,((EM11/EK11)*360),0)</f>
        <v>4.65E-2</v>
      </c>
      <c r="EP11" s="241"/>
    </row>
    <row r="12" spans="1:147" x14ac:dyDescent="0.25">
      <c r="A12" s="255">
        <f>1+A11</f>
        <v>45779</v>
      </c>
      <c r="B12" s="241">
        <v>0</v>
      </c>
      <c r="C12" s="242">
        <v>4.6693990000000005E-2</v>
      </c>
      <c r="D12" s="241">
        <f t="shared" ref="D12:D41" si="0">(B12*C12)/360</f>
        <v>0</v>
      </c>
      <c r="G12" s="241">
        <f t="shared" ref="G12:G41" si="1">(E12*F12)/360</f>
        <v>0</v>
      </c>
      <c r="J12" s="241">
        <f t="shared" ref="J12:J41" si="2">(H12*I12)/360</f>
        <v>0</v>
      </c>
      <c r="M12" s="241">
        <f t="shared" ref="M12:M41" si="3">(K12*L12)/360</f>
        <v>0</v>
      </c>
      <c r="P12" s="241">
        <f t="shared" ref="P12:P41" si="4">(N12*O12)/360</f>
        <v>0</v>
      </c>
      <c r="S12" s="241">
        <f t="shared" ref="S12:S41" si="5">(Q12*R12)/360</f>
        <v>0</v>
      </c>
      <c r="V12" s="241">
        <f t="shared" ref="V12:V41" si="6">(T12*U12)/360</f>
        <v>0</v>
      </c>
      <c r="Y12" s="241">
        <f t="shared" ref="Y12:Y41" si="7">(W12*X12)/360</f>
        <v>0</v>
      </c>
      <c r="AB12" s="241">
        <f t="shared" ref="AB12:AB41" si="8">(Z12*AA12)/360</f>
        <v>0</v>
      </c>
      <c r="AE12" s="241">
        <v>0</v>
      </c>
      <c r="AH12" s="241">
        <v>0</v>
      </c>
      <c r="AI12" s="256">
        <f>64375000+60000000</f>
        <v>124375000</v>
      </c>
      <c r="AJ12" s="257">
        <v>4.6300000000000001E-2</v>
      </c>
      <c r="AK12" s="241">
        <f t="shared" ref="AK12:AK41" si="9">(AI12*AJ12)/360</f>
        <v>15996.006944444445</v>
      </c>
      <c r="AL12" s="256"/>
      <c r="AM12" s="257"/>
      <c r="AN12" s="241">
        <f t="shared" ref="AN12:AN41" si="10">(AL12*AM12)/360</f>
        <v>0</v>
      </c>
      <c r="AO12" s="256"/>
      <c r="AP12" s="257"/>
      <c r="AQ12" s="241">
        <f t="shared" ref="AQ12:AQ41" si="11">(AO12*AP12)/360</f>
        <v>0</v>
      </c>
      <c r="AR12" s="256"/>
      <c r="AS12" s="257"/>
      <c r="AT12" s="241">
        <f t="shared" ref="AT12:AT41" si="12">(AR12*AS12)/360</f>
        <v>0</v>
      </c>
      <c r="AW12" s="241">
        <f t="shared" ref="AW12:AW41" si="13">(AU12*AV12)/360</f>
        <v>0</v>
      </c>
      <c r="AZ12" s="241">
        <f t="shared" ref="AZ12:AZ41" si="14">(AX12*AY12)/360</f>
        <v>0</v>
      </c>
      <c r="BC12" s="241">
        <f t="shared" ref="BC12:BC41" si="15">(BA12*BB12)/360</f>
        <v>0</v>
      </c>
      <c r="BF12" s="241">
        <f t="shared" ref="BF12:BF41" si="16">(BD12*BE12)/360</f>
        <v>0</v>
      </c>
      <c r="BI12" s="241">
        <f t="shared" ref="BI12:BI41" si="17">(BG12*BH12)/360</f>
        <v>0</v>
      </c>
      <c r="BL12" s="241">
        <f t="shared" ref="BL12:BL41" si="18">(BJ12*BK12)/360</f>
        <v>0</v>
      </c>
      <c r="BO12" s="241">
        <f t="shared" ref="BO12:BO41" si="19">(BM12*BN12)/360</f>
        <v>0</v>
      </c>
      <c r="BR12" s="241">
        <f t="shared" ref="BR12:BR41" si="20">(BP12*BQ12)/360</f>
        <v>0</v>
      </c>
      <c r="BU12" s="241">
        <f t="shared" ref="BU12:BU41" si="21">(BS12*BT12)/360</f>
        <v>0</v>
      </c>
      <c r="BX12" s="241">
        <f t="shared" ref="BX12:BX41" si="22">(BV12*BW12)/360</f>
        <v>0</v>
      </c>
      <c r="CA12" s="241">
        <f t="shared" ref="CA12:CA41" si="23">(BY12*BZ12)/360</f>
        <v>0</v>
      </c>
      <c r="CD12" s="241">
        <f t="shared" ref="CD12:CD41" si="24">(CB12*CC12)/360</f>
        <v>0</v>
      </c>
      <c r="CG12" s="241">
        <f t="shared" ref="CG12:CG41" si="25">(CE12*CF12)/360</f>
        <v>0</v>
      </c>
      <c r="CJ12" s="241">
        <f t="shared" ref="CJ12:CJ41" si="26">(CH12*CI12)/360</f>
        <v>0</v>
      </c>
      <c r="CM12" s="241">
        <f t="shared" ref="CM12:CM41" si="27">(CK12*CL12)/360</f>
        <v>0</v>
      </c>
      <c r="CP12" s="241">
        <f t="shared" ref="CP12:CP41" si="28">(CN12*CO12)/360</f>
        <v>0</v>
      </c>
      <c r="CS12" s="241">
        <f t="shared" ref="CS12:CS41" si="29">(CQ12*CR12)/360</f>
        <v>0</v>
      </c>
      <c r="CV12" s="241">
        <f t="shared" ref="CV12:CV41" si="30">(CT12*CU12)/360</f>
        <v>0</v>
      </c>
      <c r="CY12" s="241">
        <f t="shared" ref="CY12:CY41" si="31">(CW12*CX12)/360</f>
        <v>0</v>
      </c>
      <c r="DB12" s="241">
        <f t="shared" ref="DB12:DB41" si="32">(CZ12*DA12)/360</f>
        <v>0</v>
      </c>
      <c r="DE12" s="241">
        <f t="shared" ref="DE12:DE41" si="33">(DC12*DD12)/360</f>
        <v>0</v>
      </c>
      <c r="DH12" s="241">
        <f t="shared" ref="DH12:DH41" si="34">(DF12*DG12)/360</f>
        <v>0</v>
      </c>
      <c r="DK12" s="241">
        <f t="shared" ref="DK12:DK41" si="35">(DI12*DJ12)/360</f>
        <v>0</v>
      </c>
      <c r="DN12" s="241">
        <f t="shared" ref="DN12:DN41" si="36">(DL12*DM12)/360</f>
        <v>0</v>
      </c>
      <c r="DQ12" s="241">
        <f t="shared" ref="DQ12:DQ41" si="37">(DO12*DP12)/360</f>
        <v>0</v>
      </c>
      <c r="DT12" s="241">
        <f t="shared" ref="DT12:DT41" si="38">(DR12*DS12)/360</f>
        <v>0</v>
      </c>
      <c r="DW12" s="241">
        <f t="shared" ref="DW12:DW41" si="39">(DU12*DV12)/360</f>
        <v>0</v>
      </c>
      <c r="DZ12" s="241"/>
      <c r="EA12" s="241"/>
      <c r="EB12" s="261">
        <f t="shared" ref="EB12:EB41" si="40">B12+E12+H12+K12+N12+Q12+T12+W12+Z12+AC12+AF12+AL12+AO12+AR12+AU12+AX12+BA12+BD12+BG12+DU12+AI12+DR12+DO12+DL12+DI12+DF12+DC12+CZ12+CW12+CT12+CQ12+CN12+CK12+CH12+CE12+CB12+BY12+BV12+BS12+BP12+BM12+BJ12</f>
        <v>124375000</v>
      </c>
      <c r="EC12" s="261">
        <f t="shared" ref="EC12:EC41" si="41">EB12-EK12+EL12</f>
        <v>0</v>
      </c>
      <c r="ED12" s="241">
        <f t="shared" ref="ED12:ED41" si="42">D12+G12+J12+M12+P12+S12+V12+Y12+AB12+AE12+AH12+AK12+AN12+AQ12+AT12+AW12+AZ12+BC12+BF12+BI12+DW12+DT12+DQ12+DN12+DK12+DH12+DE12+DB12+CY12+CV12+CS12+CP12+CM12+CJ12+CG12+CD12+CA12+BX12+BU12+BR12+BO12+BL12</f>
        <v>15996.006944444445</v>
      </c>
      <c r="EE12" s="242">
        <f t="shared" ref="EE12:EE41" si="43">IF(EB12&lt;&gt;0,((ED12/EB12)*360),0)</f>
        <v>4.6300000000000001E-2</v>
      </c>
      <c r="EG12" s="261">
        <f t="shared" ref="EG12:EG41" si="44">Q12+T12+W12+Z12+AC12+AF12</f>
        <v>0</v>
      </c>
      <c r="EH12" s="241">
        <f t="shared" ref="EH12:EH41" si="45">S12+V12+Y12+AB12+AE12+AH12</f>
        <v>0</v>
      </c>
      <c r="EI12" s="242">
        <f t="shared" ref="EI12:EI41" si="46">IF(EG12&lt;&gt;0,((EH12/EG12)*360),0)</f>
        <v>0</v>
      </c>
      <c r="EJ12" s="242"/>
      <c r="EK12" s="261">
        <f t="shared" ref="EK12:EK41" si="47">DR12+DL12+DI12+DF12+DC12+CZ12+CW12+CT12+CQ12+CN12+CK12+CH12+CE12+CB12+BY12+BV12+BS12+BP12+BM12+BJ12+BG12+BD12+BA12+AX12+AU12+AR12+AO12+AL12+AI12+DO12</f>
        <v>124375000</v>
      </c>
      <c r="EL12" s="261">
        <f t="shared" ref="EL12:EL41" si="48">DX12</f>
        <v>0</v>
      </c>
      <c r="EM12" s="261">
        <f t="shared" ref="EM12:EM41" si="49">DT12+DQ12+DN12+DK12+DH12+DE12+DB12+CY12+CV12+CS12+CP12+CM12+CJ12+CG12+CD12+CA12+BX12+BU12+BR12+BO12+BL12+BI12+BF12+BC12+AZ12+AW12+AT12+AQ12+AN12+AK12</f>
        <v>15996.006944444445</v>
      </c>
      <c r="EN12" s="242">
        <f t="shared" ref="EN12:EN41" si="50">IF(EK12&lt;&gt;0,((EM12/EK12)*360),0)</f>
        <v>4.6300000000000001E-2</v>
      </c>
      <c r="EP12" s="241"/>
    </row>
    <row r="13" spans="1:147" x14ac:dyDescent="0.25">
      <c r="A13" s="255">
        <f t="shared" ref="A13:A41" si="51">1+A12</f>
        <v>45780</v>
      </c>
      <c r="B13" s="241">
        <v>0</v>
      </c>
      <c r="C13" s="242">
        <v>4.6693990000000005E-2</v>
      </c>
      <c r="D13" s="241">
        <f t="shared" si="0"/>
        <v>0</v>
      </c>
      <c r="G13" s="241">
        <f t="shared" si="1"/>
        <v>0</v>
      </c>
      <c r="J13" s="241">
        <f t="shared" si="2"/>
        <v>0</v>
      </c>
      <c r="M13" s="241">
        <f t="shared" si="3"/>
        <v>0</v>
      </c>
      <c r="P13" s="241">
        <f t="shared" si="4"/>
        <v>0</v>
      </c>
      <c r="S13" s="241">
        <f t="shared" si="5"/>
        <v>0</v>
      </c>
      <c r="V13" s="241">
        <f t="shared" si="6"/>
        <v>0</v>
      </c>
      <c r="Y13" s="241">
        <f t="shared" si="7"/>
        <v>0</v>
      </c>
      <c r="AB13" s="241">
        <f t="shared" si="8"/>
        <v>0</v>
      </c>
      <c r="AE13" s="241">
        <v>0</v>
      </c>
      <c r="AH13" s="241">
        <v>0</v>
      </c>
      <c r="AI13" s="256">
        <f>64375000+60000000</f>
        <v>124375000</v>
      </c>
      <c r="AJ13" s="257">
        <v>4.6300000000000001E-2</v>
      </c>
      <c r="AK13" s="241">
        <f t="shared" si="9"/>
        <v>15996.006944444445</v>
      </c>
      <c r="AL13" s="256"/>
      <c r="AM13" s="257"/>
      <c r="AN13" s="241">
        <f t="shared" si="10"/>
        <v>0</v>
      </c>
      <c r="AO13" s="256"/>
      <c r="AP13" s="257"/>
      <c r="AQ13" s="241">
        <f t="shared" si="11"/>
        <v>0</v>
      </c>
      <c r="AR13" s="256"/>
      <c r="AS13" s="257"/>
      <c r="AT13" s="241">
        <f t="shared" si="12"/>
        <v>0</v>
      </c>
      <c r="AW13" s="241">
        <f t="shared" si="13"/>
        <v>0</v>
      </c>
      <c r="AZ13" s="241">
        <f t="shared" si="14"/>
        <v>0</v>
      </c>
      <c r="BC13" s="241">
        <f t="shared" si="15"/>
        <v>0</v>
      </c>
      <c r="BF13" s="241">
        <f t="shared" si="16"/>
        <v>0</v>
      </c>
      <c r="BI13" s="241">
        <f t="shared" si="17"/>
        <v>0</v>
      </c>
      <c r="BL13" s="241">
        <f t="shared" si="18"/>
        <v>0</v>
      </c>
      <c r="BO13" s="241">
        <f t="shared" si="19"/>
        <v>0</v>
      </c>
      <c r="BR13" s="241">
        <f t="shared" si="20"/>
        <v>0</v>
      </c>
      <c r="BU13" s="241">
        <f t="shared" si="21"/>
        <v>0</v>
      </c>
      <c r="BX13" s="241">
        <f t="shared" si="22"/>
        <v>0</v>
      </c>
      <c r="CA13" s="241">
        <f t="shared" si="23"/>
        <v>0</v>
      </c>
      <c r="CD13" s="241">
        <f t="shared" si="24"/>
        <v>0</v>
      </c>
      <c r="CG13" s="241">
        <f t="shared" si="25"/>
        <v>0</v>
      </c>
      <c r="CJ13" s="241">
        <f t="shared" si="26"/>
        <v>0</v>
      </c>
      <c r="CM13" s="241">
        <f t="shared" si="27"/>
        <v>0</v>
      </c>
      <c r="CP13" s="241">
        <f t="shared" si="28"/>
        <v>0</v>
      </c>
      <c r="CS13" s="241">
        <f t="shared" si="29"/>
        <v>0</v>
      </c>
      <c r="CV13" s="241">
        <f t="shared" si="30"/>
        <v>0</v>
      </c>
      <c r="CY13" s="241">
        <f t="shared" si="31"/>
        <v>0</v>
      </c>
      <c r="DB13" s="241">
        <f t="shared" si="32"/>
        <v>0</v>
      </c>
      <c r="DE13" s="241">
        <f t="shared" si="33"/>
        <v>0</v>
      </c>
      <c r="DH13" s="241">
        <f t="shared" si="34"/>
        <v>0</v>
      </c>
      <c r="DK13" s="241">
        <f t="shared" si="35"/>
        <v>0</v>
      </c>
      <c r="DN13" s="241">
        <f t="shared" si="36"/>
        <v>0</v>
      </c>
      <c r="DQ13" s="241">
        <f t="shared" si="37"/>
        <v>0</v>
      </c>
      <c r="DT13" s="241">
        <f t="shared" si="38"/>
        <v>0</v>
      </c>
      <c r="DW13" s="241">
        <f t="shared" si="39"/>
        <v>0</v>
      </c>
      <c r="DZ13" s="241"/>
      <c r="EA13" s="241"/>
      <c r="EB13" s="261">
        <f t="shared" si="40"/>
        <v>124375000</v>
      </c>
      <c r="EC13" s="261">
        <f t="shared" si="41"/>
        <v>0</v>
      </c>
      <c r="ED13" s="241">
        <f t="shared" si="42"/>
        <v>15996.006944444445</v>
      </c>
      <c r="EE13" s="242">
        <f t="shared" si="43"/>
        <v>4.6300000000000001E-2</v>
      </c>
      <c r="EG13" s="261">
        <f t="shared" si="44"/>
        <v>0</v>
      </c>
      <c r="EH13" s="241">
        <f t="shared" si="45"/>
        <v>0</v>
      </c>
      <c r="EI13" s="242">
        <f t="shared" si="46"/>
        <v>0</v>
      </c>
      <c r="EJ13" s="242"/>
      <c r="EK13" s="261">
        <f t="shared" si="47"/>
        <v>124375000</v>
      </c>
      <c r="EL13" s="261">
        <f t="shared" si="48"/>
        <v>0</v>
      </c>
      <c r="EM13" s="261">
        <f t="shared" si="49"/>
        <v>15996.006944444445</v>
      </c>
      <c r="EN13" s="242">
        <f t="shared" si="50"/>
        <v>4.6300000000000001E-2</v>
      </c>
      <c r="EP13" s="241"/>
    </row>
    <row r="14" spans="1:147" x14ac:dyDescent="0.25">
      <c r="A14" s="255">
        <f t="shared" si="51"/>
        <v>45781</v>
      </c>
      <c r="B14" s="241">
        <v>0</v>
      </c>
      <c r="C14" s="242">
        <v>4.6693990000000005E-2</v>
      </c>
      <c r="D14" s="241">
        <f t="shared" si="0"/>
        <v>0</v>
      </c>
      <c r="G14" s="241">
        <f t="shared" si="1"/>
        <v>0</v>
      </c>
      <c r="J14" s="241">
        <f t="shared" si="2"/>
        <v>0</v>
      </c>
      <c r="M14" s="241">
        <f t="shared" si="3"/>
        <v>0</v>
      </c>
      <c r="P14" s="241">
        <f t="shared" si="4"/>
        <v>0</v>
      </c>
      <c r="S14" s="241">
        <f t="shared" si="5"/>
        <v>0</v>
      </c>
      <c r="V14" s="241">
        <f t="shared" si="6"/>
        <v>0</v>
      </c>
      <c r="Y14" s="241">
        <f t="shared" si="7"/>
        <v>0</v>
      </c>
      <c r="AB14" s="241">
        <f t="shared" si="8"/>
        <v>0</v>
      </c>
      <c r="AE14" s="241">
        <v>0</v>
      </c>
      <c r="AH14" s="241">
        <v>0</v>
      </c>
      <c r="AI14" s="256">
        <f>64375000+60000000</f>
        <v>124375000</v>
      </c>
      <c r="AJ14" s="257">
        <v>4.6300000000000001E-2</v>
      </c>
      <c r="AK14" s="241">
        <f t="shared" si="9"/>
        <v>15996.006944444445</v>
      </c>
      <c r="AL14" s="256"/>
      <c r="AM14" s="257"/>
      <c r="AN14" s="241">
        <f t="shared" si="10"/>
        <v>0</v>
      </c>
      <c r="AO14" s="256"/>
      <c r="AP14" s="257"/>
      <c r="AQ14" s="241">
        <f t="shared" si="11"/>
        <v>0</v>
      </c>
      <c r="AR14" s="256"/>
      <c r="AS14" s="257"/>
      <c r="AT14" s="241">
        <f t="shared" si="12"/>
        <v>0</v>
      </c>
      <c r="AW14" s="241">
        <f t="shared" si="13"/>
        <v>0</v>
      </c>
      <c r="AZ14" s="241">
        <f t="shared" si="14"/>
        <v>0</v>
      </c>
      <c r="BC14" s="241">
        <f t="shared" si="15"/>
        <v>0</v>
      </c>
      <c r="BF14" s="241">
        <f t="shared" si="16"/>
        <v>0</v>
      </c>
      <c r="BI14" s="241">
        <f t="shared" si="17"/>
        <v>0</v>
      </c>
      <c r="BL14" s="241">
        <f t="shared" si="18"/>
        <v>0</v>
      </c>
      <c r="BO14" s="241">
        <f t="shared" si="19"/>
        <v>0</v>
      </c>
      <c r="BR14" s="241">
        <f t="shared" si="20"/>
        <v>0</v>
      </c>
      <c r="BU14" s="241">
        <f t="shared" si="21"/>
        <v>0</v>
      </c>
      <c r="BX14" s="241">
        <f t="shared" si="22"/>
        <v>0</v>
      </c>
      <c r="CA14" s="241">
        <f t="shared" si="23"/>
        <v>0</v>
      </c>
      <c r="CD14" s="241">
        <f t="shared" si="24"/>
        <v>0</v>
      </c>
      <c r="CG14" s="241">
        <f t="shared" si="25"/>
        <v>0</v>
      </c>
      <c r="CJ14" s="241">
        <f t="shared" si="26"/>
        <v>0</v>
      </c>
      <c r="CM14" s="241">
        <f t="shared" si="27"/>
        <v>0</v>
      </c>
      <c r="CP14" s="241">
        <f t="shared" si="28"/>
        <v>0</v>
      </c>
      <c r="CS14" s="241">
        <f t="shared" si="29"/>
        <v>0</v>
      </c>
      <c r="CV14" s="241">
        <f t="shared" si="30"/>
        <v>0</v>
      </c>
      <c r="CY14" s="241">
        <f t="shared" si="31"/>
        <v>0</v>
      </c>
      <c r="DB14" s="241">
        <f t="shared" si="32"/>
        <v>0</v>
      </c>
      <c r="DE14" s="241">
        <f t="shared" si="33"/>
        <v>0</v>
      </c>
      <c r="DH14" s="241">
        <f t="shared" si="34"/>
        <v>0</v>
      </c>
      <c r="DK14" s="241">
        <f t="shared" si="35"/>
        <v>0</v>
      </c>
      <c r="DN14" s="241">
        <f t="shared" si="36"/>
        <v>0</v>
      </c>
      <c r="DQ14" s="241">
        <f t="shared" si="37"/>
        <v>0</v>
      </c>
      <c r="DT14" s="241">
        <f t="shared" si="38"/>
        <v>0</v>
      </c>
      <c r="DW14" s="241">
        <f t="shared" si="39"/>
        <v>0</v>
      </c>
      <c r="DZ14" s="241"/>
      <c r="EA14" s="241"/>
      <c r="EB14" s="261">
        <f t="shared" si="40"/>
        <v>124375000</v>
      </c>
      <c r="EC14" s="261">
        <f t="shared" si="41"/>
        <v>0</v>
      </c>
      <c r="ED14" s="241">
        <f t="shared" si="42"/>
        <v>15996.006944444445</v>
      </c>
      <c r="EE14" s="242">
        <f t="shared" si="43"/>
        <v>4.6300000000000001E-2</v>
      </c>
      <c r="EG14" s="261">
        <f t="shared" si="44"/>
        <v>0</v>
      </c>
      <c r="EH14" s="241">
        <f t="shared" si="45"/>
        <v>0</v>
      </c>
      <c r="EI14" s="242">
        <f t="shared" si="46"/>
        <v>0</v>
      </c>
      <c r="EJ14" s="242"/>
      <c r="EK14" s="261">
        <f t="shared" si="47"/>
        <v>124375000</v>
      </c>
      <c r="EL14" s="261">
        <f t="shared" si="48"/>
        <v>0</v>
      </c>
      <c r="EM14" s="261">
        <f t="shared" si="49"/>
        <v>15996.006944444445</v>
      </c>
      <c r="EN14" s="242">
        <f t="shared" si="50"/>
        <v>4.6300000000000001E-2</v>
      </c>
      <c r="EP14" s="241"/>
    </row>
    <row r="15" spans="1:147" x14ac:dyDescent="0.25">
      <c r="A15" s="255">
        <f t="shared" si="51"/>
        <v>45782</v>
      </c>
      <c r="B15" s="241">
        <v>0</v>
      </c>
      <c r="C15" s="242">
        <v>4.656155E-2</v>
      </c>
      <c r="D15" s="241">
        <f t="shared" si="0"/>
        <v>0</v>
      </c>
      <c r="G15" s="241">
        <f t="shared" si="1"/>
        <v>0</v>
      </c>
      <c r="J15" s="241">
        <f t="shared" si="2"/>
        <v>0</v>
      </c>
      <c r="M15" s="241">
        <f t="shared" si="3"/>
        <v>0</v>
      </c>
      <c r="P15" s="241">
        <f t="shared" si="4"/>
        <v>0</v>
      </c>
      <c r="S15" s="241">
        <f t="shared" si="5"/>
        <v>0</v>
      </c>
      <c r="V15" s="241">
        <f t="shared" si="6"/>
        <v>0</v>
      </c>
      <c r="Y15" s="241">
        <f t="shared" si="7"/>
        <v>0</v>
      </c>
      <c r="AB15" s="241">
        <f t="shared" si="8"/>
        <v>0</v>
      </c>
      <c r="AE15" s="241">
        <v>0</v>
      </c>
      <c r="AH15" s="241">
        <v>0</v>
      </c>
      <c r="AI15" s="256">
        <f>24125000+40000000</f>
        <v>64125000</v>
      </c>
      <c r="AJ15" s="257">
        <v>4.6300000000000001E-2</v>
      </c>
      <c r="AK15" s="241">
        <f t="shared" si="9"/>
        <v>8247.1875</v>
      </c>
      <c r="AL15" s="256"/>
      <c r="AM15" s="257"/>
      <c r="AN15" s="241">
        <f t="shared" si="10"/>
        <v>0</v>
      </c>
      <c r="AO15" s="256"/>
      <c r="AP15" s="257"/>
      <c r="AQ15" s="241">
        <f t="shared" si="11"/>
        <v>0</v>
      </c>
      <c r="AR15" s="256"/>
      <c r="AS15" s="257"/>
      <c r="AT15" s="241">
        <f t="shared" si="12"/>
        <v>0</v>
      </c>
      <c r="AW15" s="241">
        <f t="shared" si="13"/>
        <v>0</v>
      </c>
      <c r="AZ15" s="241">
        <f t="shared" si="14"/>
        <v>0</v>
      </c>
      <c r="BC15" s="241">
        <f t="shared" si="15"/>
        <v>0</v>
      </c>
      <c r="BF15" s="241">
        <f t="shared" si="16"/>
        <v>0</v>
      </c>
      <c r="BI15" s="241">
        <f t="shared" si="17"/>
        <v>0</v>
      </c>
      <c r="BL15" s="241">
        <f t="shared" si="18"/>
        <v>0</v>
      </c>
      <c r="BO15" s="241">
        <f t="shared" si="19"/>
        <v>0</v>
      </c>
      <c r="BR15" s="241">
        <f t="shared" si="20"/>
        <v>0</v>
      </c>
      <c r="BU15" s="241">
        <f t="shared" si="21"/>
        <v>0</v>
      </c>
      <c r="BX15" s="241">
        <f t="shared" si="22"/>
        <v>0</v>
      </c>
      <c r="CA15" s="241">
        <f t="shared" si="23"/>
        <v>0</v>
      </c>
      <c r="CD15" s="241">
        <f t="shared" si="24"/>
        <v>0</v>
      </c>
      <c r="CG15" s="241">
        <f t="shared" si="25"/>
        <v>0</v>
      </c>
      <c r="CJ15" s="241">
        <f t="shared" si="26"/>
        <v>0</v>
      </c>
      <c r="CM15" s="241">
        <f t="shared" si="27"/>
        <v>0</v>
      </c>
      <c r="CP15" s="241">
        <f t="shared" si="28"/>
        <v>0</v>
      </c>
      <c r="CS15" s="241">
        <f t="shared" si="29"/>
        <v>0</v>
      </c>
      <c r="CV15" s="241">
        <f t="shared" si="30"/>
        <v>0</v>
      </c>
      <c r="CY15" s="241">
        <f t="shared" si="31"/>
        <v>0</v>
      </c>
      <c r="DB15" s="241">
        <f t="shared" si="32"/>
        <v>0</v>
      </c>
      <c r="DE15" s="241">
        <f t="shared" si="33"/>
        <v>0</v>
      </c>
      <c r="DH15" s="241">
        <f t="shared" si="34"/>
        <v>0</v>
      </c>
      <c r="DK15" s="241">
        <f t="shared" si="35"/>
        <v>0</v>
      </c>
      <c r="DN15" s="241">
        <f t="shared" si="36"/>
        <v>0</v>
      </c>
      <c r="DQ15" s="241">
        <f t="shared" si="37"/>
        <v>0</v>
      </c>
      <c r="DT15" s="241">
        <f t="shared" si="38"/>
        <v>0</v>
      </c>
      <c r="DW15" s="241">
        <f t="shared" si="39"/>
        <v>0</v>
      </c>
      <c r="DZ15" s="241"/>
      <c r="EA15" s="241"/>
      <c r="EB15" s="261">
        <f t="shared" si="40"/>
        <v>64125000</v>
      </c>
      <c r="EC15" s="261">
        <f t="shared" si="41"/>
        <v>0</v>
      </c>
      <c r="ED15" s="241">
        <f t="shared" si="42"/>
        <v>8247.1875</v>
      </c>
      <c r="EE15" s="242">
        <f t="shared" si="43"/>
        <v>4.6300000000000001E-2</v>
      </c>
      <c r="EG15" s="261">
        <f t="shared" si="44"/>
        <v>0</v>
      </c>
      <c r="EH15" s="241">
        <f t="shared" si="45"/>
        <v>0</v>
      </c>
      <c r="EI15" s="242">
        <f t="shared" si="46"/>
        <v>0</v>
      </c>
      <c r="EJ15" s="242"/>
      <c r="EK15" s="261">
        <f t="shared" si="47"/>
        <v>64125000</v>
      </c>
      <c r="EL15" s="261">
        <f t="shared" si="48"/>
        <v>0</v>
      </c>
      <c r="EM15" s="261">
        <f t="shared" si="49"/>
        <v>8247.1875</v>
      </c>
      <c r="EN15" s="242">
        <f t="shared" si="50"/>
        <v>4.6300000000000001E-2</v>
      </c>
      <c r="EP15" s="241"/>
    </row>
    <row r="16" spans="1:147" x14ac:dyDescent="0.25">
      <c r="A16" s="255">
        <f t="shared" si="51"/>
        <v>45783</v>
      </c>
      <c r="B16" s="241">
        <v>0</v>
      </c>
      <c r="C16" s="242">
        <v>4.673559E-2</v>
      </c>
      <c r="D16" s="241">
        <f t="shared" si="0"/>
        <v>0</v>
      </c>
      <c r="G16" s="241">
        <f t="shared" si="1"/>
        <v>0</v>
      </c>
      <c r="J16" s="241">
        <f t="shared" si="2"/>
        <v>0</v>
      </c>
      <c r="M16" s="241">
        <f t="shared" si="3"/>
        <v>0</v>
      </c>
      <c r="P16" s="241">
        <f t="shared" si="4"/>
        <v>0</v>
      </c>
      <c r="S16" s="241">
        <f t="shared" si="5"/>
        <v>0</v>
      </c>
      <c r="V16" s="241">
        <f t="shared" si="6"/>
        <v>0</v>
      </c>
      <c r="Y16" s="241">
        <f t="shared" si="7"/>
        <v>0</v>
      </c>
      <c r="AB16" s="241">
        <f t="shared" si="8"/>
        <v>0</v>
      </c>
      <c r="AE16" s="241">
        <v>0</v>
      </c>
      <c r="AH16" s="241">
        <v>0</v>
      </c>
      <c r="AI16" s="256">
        <f>30000000+29350000</f>
        <v>59350000</v>
      </c>
      <c r="AJ16" s="257">
        <v>4.6300000000000001E-2</v>
      </c>
      <c r="AK16" s="241">
        <f t="shared" si="9"/>
        <v>7633.0694444444443</v>
      </c>
      <c r="AL16" s="256"/>
      <c r="AM16" s="257"/>
      <c r="AN16" s="241">
        <f t="shared" si="10"/>
        <v>0</v>
      </c>
      <c r="AO16" s="256"/>
      <c r="AP16" s="257"/>
      <c r="AQ16" s="241">
        <f t="shared" si="11"/>
        <v>0</v>
      </c>
      <c r="AR16" s="256"/>
      <c r="AS16" s="257"/>
      <c r="AT16" s="241">
        <f t="shared" si="12"/>
        <v>0</v>
      </c>
      <c r="AW16" s="241">
        <f t="shared" si="13"/>
        <v>0</v>
      </c>
      <c r="AZ16" s="241">
        <f t="shared" si="14"/>
        <v>0</v>
      </c>
      <c r="BC16" s="241">
        <f t="shared" si="15"/>
        <v>0</v>
      </c>
      <c r="BF16" s="241">
        <f t="shared" si="16"/>
        <v>0</v>
      </c>
      <c r="BI16" s="241">
        <f t="shared" si="17"/>
        <v>0</v>
      </c>
      <c r="BL16" s="241">
        <f t="shared" si="18"/>
        <v>0</v>
      </c>
      <c r="BO16" s="241">
        <f t="shared" si="19"/>
        <v>0</v>
      </c>
      <c r="BR16" s="241">
        <f t="shared" si="20"/>
        <v>0</v>
      </c>
      <c r="BU16" s="241">
        <f t="shared" si="21"/>
        <v>0</v>
      </c>
      <c r="BX16" s="241">
        <f t="shared" si="22"/>
        <v>0</v>
      </c>
      <c r="CA16" s="241">
        <f t="shared" si="23"/>
        <v>0</v>
      </c>
      <c r="CD16" s="241">
        <f t="shared" si="24"/>
        <v>0</v>
      </c>
      <c r="CG16" s="241">
        <f t="shared" si="25"/>
        <v>0</v>
      </c>
      <c r="CJ16" s="241">
        <f t="shared" si="26"/>
        <v>0</v>
      </c>
      <c r="CM16" s="241">
        <f t="shared" si="27"/>
        <v>0</v>
      </c>
      <c r="CP16" s="241">
        <f t="shared" si="28"/>
        <v>0</v>
      </c>
      <c r="CS16" s="241">
        <f t="shared" si="29"/>
        <v>0</v>
      </c>
      <c r="CV16" s="241">
        <f t="shared" si="30"/>
        <v>0</v>
      </c>
      <c r="CY16" s="241">
        <f t="shared" si="31"/>
        <v>0</v>
      </c>
      <c r="DB16" s="241">
        <f t="shared" si="32"/>
        <v>0</v>
      </c>
      <c r="DE16" s="241">
        <f t="shared" si="33"/>
        <v>0</v>
      </c>
      <c r="DH16" s="241">
        <f t="shared" si="34"/>
        <v>0</v>
      </c>
      <c r="DK16" s="241">
        <f t="shared" si="35"/>
        <v>0</v>
      </c>
      <c r="DN16" s="241">
        <f t="shared" si="36"/>
        <v>0</v>
      </c>
      <c r="DQ16" s="241">
        <f t="shared" si="37"/>
        <v>0</v>
      </c>
      <c r="DT16" s="241">
        <f t="shared" si="38"/>
        <v>0</v>
      </c>
      <c r="DW16" s="241">
        <f t="shared" si="39"/>
        <v>0</v>
      </c>
      <c r="DZ16" s="241"/>
      <c r="EA16" s="241"/>
      <c r="EB16" s="261">
        <f t="shared" si="40"/>
        <v>59350000</v>
      </c>
      <c r="EC16" s="261">
        <f t="shared" si="41"/>
        <v>0</v>
      </c>
      <c r="ED16" s="241">
        <f t="shared" si="42"/>
        <v>7633.0694444444443</v>
      </c>
      <c r="EE16" s="242">
        <f t="shared" si="43"/>
        <v>4.6300000000000001E-2</v>
      </c>
      <c r="EG16" s="261">
        <f t="shared" si="44"/>
        <v>0</v>
      </c>
      <c r="EH16" s="241">
        <f t="shared" si="45"/>
        <v>0</v>
      </c>
      <c r="EI16" s="242">
        <f t="shared" si="46"/>
        <v>0</v>
      </c>
      <c r="EJ16" s="242"/>
      <c r="EK16" s="261">
        <f t="shared" si="47"/>
        <v>59350000</v>
      </c>
      <c r="EL16" s="261">
        <f t="shared" si="48"/>
        <v>0</v>
      </c>
      <c r="EM16" s="261">
        <f t="shared" si="49"/>
        <v>7633.0694444444443</v>
      </c>
      <c r="EN16" s="242">
        <f t="shared" si="50"/>
        <v>4.6300000000000001E-2</v>
      </c>
      <c r="EP16" s="241"/>
    </row>
    <row r="17" spans="1:146" x14ac:dyDescent="0.25">
      <c r="A17" s="255">
        <f t="shared" si="51"/>
        <v>45784</v>
      </c>
      <c r="B17" s="241">
        <v>0</v>
      </c>
      <c r="C17" s="242">
        <v>4.6706690000000002E-2</v>
      </c>
      <c r="D17" s="241">
        <f t="shared" si="0"/>
        <v>0</v>
      </c>
      <c r="G17" s="241">
        <f t="shared" si="1"/>
        <v>0</v>
      </c>
      <c r="J17" s="241">
        <f t="shared" si="2"/>
        <v>0</v>
      </c>
      <c r="M17" s="241">
        <f t="shared" si="3"/>
        <v>0</v>
      </c>
      <c r="P17" s="241">
        <f t="shared" si="4"/>
        <v>0</v>
      </c>
      <c r="S17" s="241">
        <f t="shared" si="5"/>
        <v>0</v>
      </c>
      <c r="V17" s="241">
        <f t="shared" si="6"/>
        <v>0</v>
      </c>
      <c r="Y17" s="241">
        <f t="shared" si="7"/>
        <v>0</v>
      </c>
      <c r="AB17" s="241">
        <f t="shared" si="8"/>
        <v>0</v>
      </c>
      <c r="AE17" s="241">
        <v>0</v>
      </c>
      <c r="AH17" s="241">
        <v>0</v>
      </c>
      <c r="AI17" s="256">
        <f>35000000+19225000</f>
        <v>54225000</v>
      </c>
      <c r="AJ17" s="257">
        <v>4.5999999999999999E-2</v>
      </c>
      <c r="AK17" s="241">
        <f t="shared" si="9"/>
        <v>6928.75</v>
      </c>
      <c r="AL17" s="256"/>
      <c r="AM17" s="257"/>
      <c r="AN17" s="241">
        <f t="shared" si="10"/>
        <v>0</v>
      </c>
      <c r="AO17" s="256"/>
      <c r="AP17" s="257"/>
      <c r="AQ17" s="241">
        <f t="shared" si="11"/>
        <v>0</v>
      </c>
      <c r="AR17" s="256"/>
      <c r="AS17" s="257"/>
      <c r="AT17" s="241">
        <f t="shared" si="12"/>
        <v>0</v>
      </c>
      <c r="AW17" s="241">
        <f t="shared" si="13"/>
        <v>0</v>
      </c>
      <c r="AZ17" s="241">
        <f t="shared" si="14"/>
        <v>0</v>
      </c>
      <c r="BC17" s="241">
        <f t="shared" si="15"/>
        <v>0</v>
      </c>
      <c r="BF17" s="241">
        <f t="shared" si="16"/>
        <v>0</v>
      </c>
      <c r="BI17" s="241">
        <f t="shared" si="17"/>
        <v>0</v>
      </c>
      <c r="BL17" s="241">
        <f t="shared" si="18"/>
        <v>0</v>
      </c>
      <c r="BO17" s="241">
        <f t="shared" si="19"/>
        <v>0</v>
      </c>
      <c r="BR17" s="241">
        <f t="shared" si="20"/>
        <v>0</v>
      </c>
      <c r="BU17" s="241">
        <f t="shared" si="21"/>
        <v>0</v>
      </c>
      <c r="BX17" s="241">
        <f t="shared" si="22"/>
        <v>0</v>
      </c>
      <c r="CA17" s="241">
        <f t="shared" si="23"/>
        <v>0</v>
      </c>
      <c r="CD17" s="241">
        <f t="shared" si="24"/>
        <v>0</v>
      </c>
      <c r="CG17" s="241">
        <f t="shared" si="25"/>
        <v>0</v>
      </c>
      <c r="CJ17" s="241">
        <f t="shared" si="26"/>
        <v>0</v>
      </c>
      <c r="CM17" s="241">
        <f t="shared" si="27"/>
        <v>0</v>
      </c>
      <c r="CP17" s="241">
        <f t="shared" si="28"/>
        <v>0</v>
      </c>
      <c r="CS17" s="241">
        <f t="shared" si="29"/>
        <v>0</v>
      </c>
      <c r="CV17" s="241">
        <f t="shared" si="30"/>
        <v>0</v>
      </c>
      <c r="CY17" s="241">
        <f t="shared" si="31"/>
        <v>0</v>
      </c>
      <c r="DB17" s="241">
        <f t="shared" si="32"/>
        <v>0</v>
      </c>
      <c r="DE17" s="241">
        <f t="shared" si="33"/>
        <v>0</v>
      </c>
      <c r="DH17" s="241">
        <f t="shared" si="34"/>
        <v>0</v>
      </c>
      <c r="DK17" s="241">
        <f t="shared" si="35"/>
        <v>0</v>
      </c>
      <c r="DN17" s="241">
        <f t="shared" si="36"/>
        <v>0</v>
      </c>
      <c r="DQ17" s="241">
        <f t="shared" si="37"/>
        <v>0</v>
      </c>
      <c r="DT17" s="241">
        <f t="shared" si="38"/>
        <v>0</v>
      </c>
      <c r="DW17" s="241">
        <f t="shared" si="39"/>
        <v>0</v>
      </c>
      <c r="DZ17" s="241"/>
      <c r="EA17" s="241"/>
      <c r="EB17" s="261">
        <f t="shared" si="40"/>
        <v>54225000</v>
      </c>
      <c r="EC17" s="261">
        <f t="shared" si="41"/>
        <v>0</v>
      </c>
      <c r="ED17" s="241">
        <f t="shared" si="42"/>
        <v>6928.75</v>
      </c>
      <c r="EE17" s="242">
        <f t="shared" si="43"/>
        <v>4.6000000000000006E-2</v>
      </c>
      <c r="EG17" s="261">
        <f t="shared" si="44"/>
        <v>0</v>
      </c>
      <c r="EH17" s="241">
        <f t="shared" si="45"/>
        <v>0</v>
      </c>
      <c r="EI17" s="242">
        <f t="shared" si="46"/>
        <v>0</v>
      </c>
      <c r="EJ17" s="242"/>
      <c r="EK17" s="261">
        <f t="shared" si="47"/>
        <v>54225000</v>
      </c>
      <c r="EL17" s="261">
        <f t="shared" si="48"/>
        <v>0</v>
      </c>
      <c r="EM17" s="261">
        <f t="shared" si="49"/>
        <v>6928.75</v>
      </c>
      <c r="EN17" s="242">
        <f t="shared" si="50"/>
        <v>4.6000000000000006E-2</v>
      </c>
      <c r="EP17" s="241"/>
    </row>
    <row r="18" spans="1:146" x14ac:dyDescent="0.25">
      <c r="A18" s="255">
        <f t="shared" si="51"/>
        <v>45785</v>
      </c>
      <c r="B18" s="241">
        <v>0</v>
      </c>
      <c r="C18" s="242">
        <v>4.6858079999999996E-2</v>
      </c>
      <c r="D18" s="241">
        <f t="shared" si="0"/>
        <v>0</v>
      </c>
      <c r="G18" s="241">
        <f t="shared" si="1"/>
        <v>0</v>
      </c>
      <c r="J18" s="241">
        <f t="shared" si="2"/>
        <v>0</v>
      </c>
      <c r="M18" s="241">
        <f t="shared" si="3"/>
        <v>0</v>
      </c>
      <c r="P18" s="241">
        <f t="shared" si="4"/>
        <v>0</v>
      </c>
      <c r="S18" s="241">
        <f t="shared" si="5"/>
        <v>0</v>
      </c>
      <c r="V18" s="241">
        <f t="shared" si="6"/>
        <v>0</v>
      </c>
      <c r="Y18" s="241">
        <f t="shared" si="7"/>
        <v>0</v>
      </c>
      <c r="AB18" s="241">
        <f t="shared" si="8"/>
        <v>0</v>
      </c>
      <c r="AE18" s="241">
        <v>0</v>
      </c>
      <c r="AH18" s="241">
        <v>0</v>
      </c>
      <c r="AI18" s="256">
        <f>35000000+18850000</f>
        <v>53850000</v>
      </c>
      <c r="AJ18" s="257">
        <v>4.5999999999999999E-2</v>
      </c>
      <c r="AK18" s="241">
        <f t="shared" si="9"/>
        <v>6880.833333333333</v>
      </c>
      <c r="AL18" s="256"/>
      <c r="AM18" s="257"/>
      <c r="AN18" s="241">
        <f t="shared" si="10"/>
        <v>0</v>
      </c>
      <c r="AO18" s="256"/>
      <c r="AP18" s="257"/>
      <c r="AQ18" s="241">
        <f t="shared" si="11"/>
        <v>0</v>
      </c>
      <c r="AR18" s="256"/>
      <c r="AS18" s="257"/>
      <c r="AT18" s="241">
        <f t="shared" si="12"/>
        <v>0</v>
      </c>
      <c r="AW18" s="241">
        <f t="shared" si="13"/>
        <v>0</v>
      </c>
      <c r="AZ18" s="241">
        <f t="shared" si="14"/>
        <v>0</v>
      </c>
      <c r="BC18" s="241">
        <f t="shared" si="15"/>
        <v>0</v>
      </c>
      <c r="BF18" s="241">
        <f t="shared" si="16"/>
        <v>0</v>
      </c>
      <c r="BI18" s="241">
        <f t="shared" si="17"/>
        <v>0</v>
      </c>
      <c r="BL18" s="241">
        <f t="shared" si="18"/>
        <v>0</v>
      </c>
      <c r="BO18" s="241">
        <f t="shared" si="19"/>
        <v>0</v>
      </c>
      <c r="BR18" s="241">
        <f t="shared" si="20"/>
        <v>0</v>
      </c>
      <c r="BU18" s="241">
        <f t="shared" si="21"/>
        <v>0</v>
      </c>
      <c r="BX18" s="241">
        <f t="shared" si="22"/>
        <v>0</v>
      </c>
      <c r="CA18" s="241">
        <f t="shared" si="23"/>
        <v>0</v>
      </c>
      <c r="CD18" s="241">
        <f t="shared" si="24"/>
        <v>0</v>
      </c>
      <c r="CG18" s="241">
        <f t="shared" si="25"/>
        <v>0</v>
      </c>
      <c r="CJ18" s="241">
        <f t="shared" si="26"/>
        <v>0</v>
      </c>
      <c r="CM18" s="241">
        <f t="shared" si="27"/>
        <v>0</v>
      </c>
      <c r="CP18" s="241">
        <f t="shared" si="28"/>
        <v>0</v>
      </c>
      <c r="CS18" s="241">
        <f t="shared" si="29"/>
        <v>0</v>
      </c>
      <c r="CV18" s="241">
        <f t="shared" si="30"/>
        <v>0</v>
      </c>
      <c r="CY18" s="241">
        <f t="shared" si="31"/>
        <v>0</v>
      </c>
      <c r="DB18" s="241">
        <f t="shared" si="32"/>
        <v>0</v>
      </c>
      <c r="DE18" s="241">
        <f t="shared" si="33"/>
        <v>0</v>
      </c>
      <c r="DH18" s="241">
        <f t="shared" si="34"/>
        <v>0</v>
      </c>
      <c r="DK18" s="241">
        <f t="shared" si="35"/>
        <v>0</v>
      </c>
      <c r="DN18" s="241">
        <f t="shared" si="36"/>
        <v>0</v>
      </c>
      <c r="DQ18" s="241">
        <f t="shared" si="37"/>
        <v>0</v>
      </c>
      <c r="DT18" s="241">
        <f t="shared" si="38"/>
        <v>0</v>
      </c>
      <c r="DW18" s="241">
        <f t="shared" si="39"/>
        <v>0</v>
      </c>
      <c r="DZ18" s="241"/>
      <c r="EA18" s="241"/>
      <c r="EB18" s="261">
        <f t="shared" si="40"/>
        <v>53850000</v>
      </c>
      <c r="EC18" s="261">
        <f t="shared" si="41"/>
        <v>0</v>
      </c>
      <c r="ED18" s="241">
        <f t="shared" si="42"/>
        <v>6880.833333333333</v>
      </c>
      <c r="EE18" s="242">
        <f t="shared" si="43"/>
        <v>4.5999999999999992E-2</v>
      </c>
      <c r="EG18" s="261">
        <f t="shared" si="44"/>
        <v>0</v>
      </c>
      <c r="EH18" s="241">
        <f t="shared" si="45"/>
        <v>0</v>
      </c>
      <c r="EI18" s="242">
        <f t="shared" si="46"/>
        <v>0</v>
      </c>
      <c r="EJ18" s="242"/>
      <c r="EK18" s="261">
        <f t="shared" si="47"/>
        <v>53850000</v>
      </c>
      <c r="EL18" s="261">
        <f t="shared" si="48"/>
        <v>0</v>
      </c>
      <c r="EM18" s="261">
        <f t="shared" si="49"/>
        <v>6880.833333333333</v>
      </c>
      <c r="EN18" s="242">
        <f t="shared" si="50"/>
        <v>4.5999999999999992E-2</v>
      </c>
      <c r="EP18" s="241"/>
    </row>
    <row r="19" spans="1:146" x14ac:dyDescent="0.25">
      <c r="A19" s="255">
        <f t="shared" si="51"/>
        <v>45786</v>
      </c>
      <c r="B19" s="241">
        <v>0</v>
      </c>
      <c r="C19" s="242">
        <v>4.7046919999999999E-2</v>
      </c>
      <c r="D19" s="241">
        <f t="shared" si="0"/>
        <v>0</v>
      </c>
      <c r="G19" s="241">
        <f t="shared" si="1"/>
        <v>0</v>
      </c>
      <c r="J19" s="241">
        <f t="shared" si="2"/>
        <v>0</v>
      </c>
      <c r="M19" s="241">
        <f t="shared" si="3"/>
        <v>0</v>
      </c>
      <c r="P19" s="241">
        <f t="shared" si="4"/>
        <v>0</v>
      </c>
      <c r="S19" s="241">
        <f t="shared" si="5"/>
        <v>0</v>
      </c>
      <c r="V19" s="241">
        <f t="shared" si="6"/>
        <v>0</v>
      </c>
      <c r="Y19" s="241">
        <f t="shared" si="7"/>
        <v>0</v>
      </c>
      <c r="AB19" s="241">
        <f t="shared" si="8"/>
        <v>0</v>
      </c>
      <c r="AE19" s="241">
        <v>0</v>
      </c>
      <c r="AH19" s="241">
        <v>0</v>
      </c>
      <c r="AI19" s="256">
        <f>40000000+26525000</f>
        <v>66525000</v>
      </c>
      <c r="AJ19" s="257">
        <v>4.5999999999999999E-2</v>
      </c>
      <c r="AK19" s="241">
        <f t="shared" si="9"/>
        <v>8500.4166666666661</v>
      </c>
      <c r="AL19" s="256"/>
      <c r="AM19" s="257"/>
      <c r="AN19" s="241">
        <f t="shared" si="10"/>
        <v>0</v>
      </c>
      <c r="AO19" s="256"/>
      <c r="AP19" s="257"/>
      <c r="AQ19" s="241">
        <f t="shared" si="11"/>
        <v>0</v>
      </c>
      <c r="AR19" s="256"/>
      <c r="AS19" s="257"/>
      <c r="AT19" s="241">
        <f t="shared" si="12"/>
        <v>0</v>
      </c>
      <c r="AW19" s="241">
        <f t="shared" si="13"/>
        <v>0</v>
      </c>
      <c r="AZ19" s="241">
        <f t="shared" si="14"/>
        <v>0</v>
      </c>
      <c r="BC19" s="241">
        <f t="shared" si="15"/>
        <v>0</v>
      </c>
      <c r="BF19" s="241">
        <f t="shared" si="16"/>
        <v>0</v>
      </c>
      <c r="BI19" s="241">
        <f t="shared" si="17"/>
        <v>0</v>
      </c>
      <c r="BL19" s="241">
        <f t="shared" si="18"/>
        <v>0</v>
      </c>
      <c r="BO19" s="241">
        <f t="shared" si="19"/>
        <v>0</v>
      </c>
      <c r="BR19" s="241">
        <f t="shared" si="20"/>
        <v>0</v>
      </c>
      <c r="BU19" s="241">
        <f t="shared" si="21"/>
        <v>0</v>
      </c>
      <c r="BX19" s="241">
        <f t="shared" si="22"/>
        <v>0</v>
      </c>
      <c r="CA19" s="241">
        <f t="shared" si="23"/>
        <v>0</v>
      </c>
      <c r="CD19" s="241">
        <f t="shared" si="24"/>
        <v>0</v>
      </c>
      <c r="CG19" s="241">
        <f t="shared" si="25"/>
        <v>0</v>
      </c>
      <c r="CJ19" s="241">
        <f t="shared" si="26"/>
        <v>0</v>
      </c>
      <c r="CM19" s="241">
        <f t="shared" si="27"/>
        <v>0</v>
      </c>
      <c r="CP19" s="241">
        <f t="shared" si="28"/>
        <v>0</v>
      </c>
      <c r="CS19" s="241">
        <f t="shared" si="29"/>
        <v>0</v>
      </c>
      <c r="CV19" s="241">
        <f t="shared" si="30"/>
        <v>0</v>
      </c>
      <c r="CY19" s="241">
        <f t="shared" si="31"/>
        <v>0</v>
      </c>
      <c r="DB19" s="241">
        <f t="shared" si="32"/>
        <v>0</v>
      </c>
      <c r="DE19" s="241">
        <f t="shared" si="33"/>
        <v>0</v>
      </c>
      <c r="DH19" s="241">
        <f t="shared" si="34"/>
        <v>0</v>
      </c>
      <c r="DK19" s="241">
        <f t="shared" si="35"/>
        <v>0</v>
      </c>
      <c r="DN19" s="241">
        <f t="shared" si="36"/>
        <v>0</v>
      </c>
      <c r="DQ19" s="241">
        <f t="shared" si="37"/>
        <v>0</v>
      </c>
      <c r="DT19" s="241">
        <f t="shared" si="38"/>
        <v>0</v>
      </c>
      <c r="DW19" s="241">
        <f t="shared" si="39"/>
        <v>0</v>
      </c>
      <c r="DZ19" s="241"/>
      <c r="EA19" s="241"/>
      <c r="EB19" s="261">
        <f t="shared" si="40"/>
        <v>66525000</v>
      </c>
      <c r="EC19" s="261">
        <f t="shared" si="41"/>
        <v>0</v>
      </c>
      <c r="ED19" s="241">
        <f t="shared" si="42"/>
        <v>8500.4166666666661</v>
      </c>
      <c r="EE19" s="242">
        <f t="shared" si="43"/>
        <v>4.5999999999999992E-2</v>
      </c>
      <c r="EG19" s="261">
        <f t="shared" si="44"/>
        <v>0</v>
      </c>
      <c r="EH19" s="241">
        <f t="shared" si="45"/>
        <v>0</v>
      </c>
      <c r="EI19" s="242">
        <f t="shared" si="46"/>
        <v>0</v>
      </c>
      <c r="EJ19" s="242"/>
      <c r="EK19" s="261">
        <f t="shared" si="47"/>
        <v>66525000</v>
      </c>
      <c r="EL19" s="261">
        <f t="shared" si="48"/>
        <v>0</v>
      </c>
      <c r="EM19" s="261">
        <f t="shared" si="49"/>
        <v>8500.4166666666661</v>
      </c>
      <c r="EN19" s="242">
        <f t="shared" si="50"/>
        <v>4.5999999999999992E-2</v>
      </c>
      <c r="EP19" s="241"/>
    </row>
    <row r="20" spans="1:146" x14ac:dyDescent="0.25">
      <c r="A20" s="255">
        <f t="shared" si="51"/>
        <v>45787</v>
      </c>
      <c r="B20" s="241">
        <v>0</v>
      </c>
      <c r="C20" s="242">
        <v>4.7046919999999999E-2</v>
      </c>
      <c r="D20" s="241">
        <f t="shared" si="0"/>
        <v>0</v>
      </c>
      <c r="G20" s="241">
        <f t="shared" si="1"/>
        <v>0</v>
      </c>
      <c r="J20" s="241">
        <f t="shared" si="2"/>
        <v>0</v>
      </c>
      <c r="M20" s="241">
        <f t="shared" si="3"/>
        <v>0</v>
      </c>
      <c r="P20" s="241">
        <f t="shared" si="4"/>
        <v>0</v>
      </c>
      <c r="S20" s="241">
        <f t="shared" si="5"/>
        <v>0</v>
      </c>
      <c r="V20" s="241">
        <f t="shared" si="6"/>
        <v>0</v>
      </c>
      <c r="Y20" s="241">
        <f t="shared" si="7"/>
        <v>0</v>
      </c>
      <c r="AB20" s="241">
        <f t="shared" si="8"/>
        <v>0</v>
      </c>
      <c r="AE20" s="241">
        <v>0</v>
      </c>
      <c r="AH20" s="241">
        <v>0</v>
      </c>
      <c r="AI20" s="256">
        <f>40000000+26525000</f>
        <v>66525000</v>
      </c>
      <c r="AJ20" s="257">
        <v>4.5999999999999999E-2</v>
      </c>
      <c r="AK20" s="241">
        <f t="shared" si="9"/>
        <v>8500.4166666666661</v>
      </c>
      <c r="AL20" s="256"/>
      <c r="AM20" s="257"/>
      <c r="AN20" s="241">
        <f t="shared" si="10"/>
        <v>0</v>
      </c>
      <c r="AO20" s="256"/>
      <c r="AP20" s="257"/>
      <c r="AQ20" s="241">
        <f t="shared" si="11"/>
        <v>0</v>
      </c>
      <c r="AR20" s="256"/>
      <c r="AS20" s="257"/>
      <c r="AT20" s="241">
        <f t="shared" si="12"/>
        <v>0</v>
      </c>
      <c r="AW20" s="241">
        <f t="shared" si="13"/>
        <v>0</v>
      </c>
      <c r="AZ20" s="241">
        <f t="shared" si="14"/>
        <v>0</v>
      </c>
      <c r="BC20" s="241">
        <f t="shared" si="15"/>
        <v>0</v>
      </c>
      <c r="BF20" s="241">
        <f t="shared" si="16"/>
        <v>0</v>
      </c>
      <c r="BI20" s="241">
        <f t="shared" si="17"/>
        <v>0</v>
      </c>
      <c r="BL20" s="241">
        <f t="shared" si="18"/>
        <v>0</v>
      </c>
      <c r="BO20" s="241">
        <f t="shared" si="19"/>
        <v>0</v>
      </c>
      <c r="BR20" s="241">
        <f t="shared" si="20"/>
        <v>0</v>
      </c>
      <c r="BU20" s="241">
        <f t="shared" si="21"/>
        <v>0</v>
      </c>
      <c r="BX20" s="241">
        <f t="shared" si="22"/>
        <v>0</v>
      </c>
      <c r="CA20" s="241">
        <f t="shared" si="23"/>
        <v>0</v>
      </c>
      <c r="CD20" s="241">
        <f t="shared" si="24"/>
        <v>0</v>
      </c>
      <c r="CG20" s="241">
        <f t="shared" si="25"/>
        <v>0</v>
      </c>
      <c r="CJ20" s="241">
        <f t="shared" si="26"/>
        <v>0</v>
      </c>
      <c r="CM20" s="241">
        <f t="shared" si="27"/>
        <v>0</v>
      </c>
      <c r="CP20" s="241">
        <f t="shared" si="28"/>
        <v>0</v>
      </c>
      <c r="CS20" s="241">
        <f t="shared" si="29"/>
        <v>0</v>
      </c>
      <c r="CV20" s="241">
        <f t="shared" si="30"/>
        <v>0</v>
      </c>
      <c r="CY20" s="241">
        <f t="shared" si="31"/>
        <v>0</v>
      </c>
      <c r="DB20" s="241">
        <f t="shared" si="32"/>
        <v>0</v>
      </c>
      <c r="DE20" s="241">
        <f t="shared" si="33"/>
        <v>0</v>
      </c>
      <c r="DH20" s="241">
        <f t="shared" si="34"/>
        <v>0</v>
      </c>
      <c r="DK20" s="241">
        <f t="shared" si="35"/>
        <v>0</v>
      </c>
      <c r="DN20" s="241">
        <f t="shared" si="36"/>
        <v>0</v>
      </c>
      <c r="DQ20" s="241">
        <f t="shared" si="37"/>
        <v>0</v>
      </c>
      <c r="DT20" s="241">
        <f t="shared" si="38"/>
        <v>0</v>
      </c>
      <c r="DW20" s="241">
        <f t="shared" si="39"/>
        <v>0</v>
      </c>
      <c r="DZ20" s="241"/>
      <c r="EA20" s="241"/>
      <c r="EB20" s="261">
        <f t="shared" si="40"/>
        <v>66525000</v>
      </c>
      <c r="EC20" s="261">
        <f t="shared" si="41"/>
        <v>0</v>
      </c>
      <c r="ED20" s="241">
        <f t="shared" si="42"/>
        <v>8500.4166666666661</v>
      </c>
      <c r="EE20" s="242">
        <f t="shared" si="43"/>
        <v>4.5999999999999992E-2</v>
      </c>
      <c r="EG20" s="261">
        <f t="shared" si="44"/>
        <v>0</v>
      </c>
      <c r="EH20" s="241">
        <f t="shared" si="45"/>
        <v>0</v>
      </c>
      <c r="EI20" s="242">
        <f t="shared" si="46"/>
        <v>0</v>
      </c>
      <c r="EJ20" s="242"/>
      <c r="EK20" s="261">
        <f t="shared" si="47"/>
        <v>66525000</v>
      </c>
      <c r="EL20" s="261">
        <f t="shared" si="48"/>
        <v>0</v>
      </c>
      <c r="EM20" s="261">
        <f t="shared" si="49"/>
        <v>8500.4166666666661</v>
      </c>
      <c r="EN20" s="242">
        <f t="shared" si="50"/>
        <v>4.5999999999999992E-2</v>
      </c>
      <c r="EP20" s="241"/>
    </row>
    <row r="21" spans="1:146" x14ac:dyDescent="0.25">
      <c r="A21" s="255">
        <f t="shared" si="51"/>
        <v>45788</v>
      </c>
      <c r="B21" s="241">
        <v>0</v>
      </c>
      <c r="C21" s="242">
        <v>4.7046919999999999E-2</v>
      </c>
      <c r="D21" s="241">
        <f t="shared" si="0"/>
        <v>0</v>
      </c>
      <c r="G21" s="241">
        <f t="shared" si="1"/>
        <v>0</v>
      </c>
      <c r="J21" s="241">
        <f t="shared" si="2"/>
        <v>0</v>
      </c>
      <c r="M21" s="241">
        <f t="shared" si="3"/>
        <v>0</v>
      </c>
      <c r="P21" s="241">
        <f t="shared" si="4"/>
        <v>0</v>
      </c>
      <c r="S21" s="241">
        <f t="shared" si="5"/>
        <v>0</v>
      </c>
      <c r="V21" s="241">
        <f t="shared" si="6"/>
        <v>0</v>
      </c>
      <c r="Y21" s="241">
        <f t="shared" si="7"/>
        <v>0</v>
      </c>
      <c r="AB21" s="241">
        <f t="shared" si="8"/>
        <v>0</v>
      </c>
      <c r="AE21" s="241">
        <v>0</v>
      </c>
      <c r="AH21" s="241">
        <v>0</v>
      </c>
      <c r="AI21" s="256">
        <f>40000000+26525000</f>
        <v>66525000</v>
      </c>
      <c r="AJ21" s="257">
        <v>4.5999999999999999E-2</v>
      </c>
      <c r="AK21" s="241">
        <f t="shared" si="9"/>
        <v>8500.4166666666661</v>
      </c>
      <c r="AL21" s="256"/>
      <c r="AM21" s="257"/>
      <c r="AN21" s="241">
        <f t="shared" si="10"/>
        <v>0</v>
      </c>
      <c r="AO21" s="256"/>
      <c r="AP21" s="257"/>
      <c r="AQ21" s="241">
        <f t="shared" si="11"/>
        <v>0</v>
      </c>
      <c r="AR21" s="256"/>
      <c r="AS21" s="257"/>
      <c r="AT21" s="241">
        <f t="shared" si="12"/>
        <v>0</v>
      </c>
      <c r="AW21" s="241">
        <f t="shared" si="13"/>
        <v>0</v>
      </c>
      <c r="AZ21" s="241">
        <f t="shared" si="14"/>
        <v>0</v>
      </c>
      <c r="BC21" s="241">
        <f t="shared" si="15"/>
        <v>0</v>
      </c>
      <c r="BF21" s="241">
        <f t="shared" si="16"/>
        <v>0</v>
      </c>
      <c r="BI21" s="241">
        <f t="shared" si="17"/>
        <v>0</v>
      </c>
      <c r="BL21" s="241">
        <f t="shared" si="18"/>
        <v>0</v>
      </c>
      <c r="BO21" s="241">
        <f t="shared" si="19"/>
        <v>0</v>
      </c>
      <c r="BR21" s="241">
        <f t="shared" si="20"/>
        <v>0</v>
      </c>
      <c r="BU21" s="241">
        <f t="shared" si="21"/>
        <v>0</v>
      </c>
      <c r="BX21" s="241">
        <f t="shared" si="22"/>
        <v>0</v>
      </c>
      <c r="CA21" s="241">
        <f t="shared" si="23"/>
        <v>0</v>
      </c>
      <c r="CD21" s="241">
        <f t="shared" si="24"/>
        <v>0</v>
      </c>
      <c r="CG21" s="241">
        <f t="shared" si="25"/>
        <v>0</v>
      </c>
      <c r="CJ21" s="241">
        <f t="shared" si="26"/>
        <v>0</v>
      </c>
      <c r="CM21" s="241">
        <f t="shared" si="27"/>
        <v>0</v>
      </c>
      <c r="CP21" s="241">
        <f t="shared" si="28"/>
        <v>0</v>
      </c>
      <c r="CS21" s="241">
        <f t="shared" si="29"/>
        <v>0</v>
      </c>
      <c r="CV21" s="241">
        <f t="shared" si="30"/>
        <v>0</v>
      </c>
      <c r="CY21" s="241">
        <f t="shared" si="31"/>
        <v>0</v>
      </c>
      <c r="DB21" s="241">
        <f t="shared" si="32"/>
        <v>0</v>
      </c>
      <c r="DE21" s="241">
        <f t="shared" si="33"/>
        <v>0</v>
      </c>
      <c r="DH21" s="241">
        <f t="shared" si="34"/>
        <v>0</v>
      </c>
      <c r="DK21" s="241">
        <f t="shared" si="35"/>
        <v>0</v>
      </c>
      <c r="DN21" s="241">
        <f t="shared" si="36"/>
        <v>0</v>
      </c>
      <c r="DQ21" s="241">
        <f t="shared" si="37"/>
        <v>0</v>
      </c>
      <c r="DT21" s="241">
        <f t="shared" si="38"/>
        <v>0</v>
      </c>
      <c r="DW21" s="241">
        <f t="shared" si="39"/>
        <v>0</v>
      </c>
      <c r="DZ21" s="241"/>
      <c r="EA21" s="241"/>
      <c r="EB21" s="261">
        <f t="shared" si="40"/>
        <v>66525000</v>
      </c>
      <c r="EC21" s="261">
        <f t="shared" si="41"/>
        <v>0</v>
      </c>
      <c r="ED21" s="241">
        <f t="shared" si="42"/>
        <v>8500.4166666666661</v>
      </c>
      <c r="EE21" s="242">
        <f t="shared" si="43"/>
        <v>4.5999999999999992E-2</v>
      </c>
      <c r="EG21" s="261">
        <f t="shared" si="44"/>
        <v>0</v>
      </c>
      <c r="EH21" s="241">
        <f t="shared" si="45"/>
        <v>0</v>
      </c>
      <c r="EI21" s="242">
        <f t="shared" si="46"/>
        <v>0</v>
      </c>
      <c r="EJ21" s="242"/>
      <c r="EK21" s="261">
        <f t="shared" si="47"/>
        <v>66525000</v>
      </c>
      <c r="EL21" s="261">
        <f t="shared" si="48"/>
        <v>0</v>
      </c>
      <c r="EM21" s="261">
        <f t="shared" si="49"/>
        <v>8500.4166666666661</v>
      </c>
      <c r="EN21" s="242">
        <f t="shared" si="50"/>
        <v>4.5999999999999992E-2</v>
      </c>
      <c r="EP21" s="241"/>
    </row>
    <row r="22" spans="1:146" x14ac:dyDescent="0.25">
      <c r="A22" s="255">
        <f t="shared" si="51"/>
        <v>45789</v>
      </c>
      <c r="B22" s="241">
        <v>0</v>
      </c>
      <c r="C22" s="242">
        <v>4.7031780000000002E-2</v>
      </c>
      <c r="D22" s="241">
        <f t="shared" si="0"/>
        <v>0</v>
      </c>
      <c r="G22" s="241">
        <f t="shared" si="1"/>
        <v>0</v>
      </c>
      <c r="J22" s="241">
        <f t="shared" si="2"/>
        <v>0</v>
      </c>
      <c r="M22" s="241">
        <f t="shared" si="3"/>
        <v>0</v>
      </c>
      <c r="P22" s="241">
        <f t="shared" si="4"/>
        <v>0</v>
      </c>
      <c r="S22" s="241">
        <f t="shared" si="5"/>
        <v>0</v>
      </c>
      <c r="V22" s="241">
        <f t="shared" si="6"/>
        <v>0</v>
      </c>
      <c r="Y22" s="241">
        <f t="shared" si="7"/>
        <v>0</v>
      </c>
      <c r="AB22" s="241">
        <f t="shared" si="8"/>
        <v>0</v>
      </c>
      <c r="AE22" s="241">
        <v>0</v>
      </c>
      <c r="AH22" s="241">
        <v>0</v>
      </c>
      <c r="AI22" s="256">
        <f>45850000+30000000</f>
        <v>75850000</v>
      </c>
      <c r="AJ22" s="257">
        <v>4.58E-2</v>
      </c>
      <c r="AK22" s="241">
        <f t="shared" si="9"/>
        <v>9649.8055555555547</v>
      </c>
      <c r="AL22" s="256"/>
      <c r="AM22" s="257"/>
      <c r="AN22" s="241">
        <f t="shared" si="10"/>
        <v>0</v>
      </c>
      <c r="AO22" s="256"/>
      <c r="AP22" s="257"/>
      <c r="AQ22" s="241">
        <f t="shared" si="11"/>
        <v>0</v>
      </c>
      <c r="AR22" s="256"/>
      <c r="AS22" s="257"/>
      <c r="AT22" s="241">
        <f t="shared" si="12"/>
        <v>0</v>
      </c>
      <c r="AW22" s="241">
        <f t="shared" si="13"/>
        <v>0</v>
      </c>
      <c r="AZ22" s="241">
        <f t="shared" si="14"/>
        <v>0</v>
      </c>
      <c r="BC22" s="241">
        <f t="shared" si="15"/>
        <v>0</v>
      </c>
      <c r="BF22" s="241">
        <f t="shared" si="16"/>
        <v>0</v>
      </c>
      <c r="BI22" s="241">
        <f t="shared" si="17"/>
        <v>0</v>
      </c>
      <c r="BL22" s="241">
        <f t="shared" si="18"/>
        <v>0</v>
      </c>
      <c r="BO22" s="241">
        <f t="shared" si="19"/>
        <v>0</v>
      </c>
      <c r="BR22" s="241">
        <f t="shared" si="20"/>
        <v>0</v>
      </c>
      <c r="BU22" s="241">
        <f t="shared" si="21"/>
        <v>0</v>
      </c>
      <c r="BX22" s="241">
        <f t="shared" si="22"/>
        <v>0</v>
      </c>
      <c r="CA22" s="241">
        <f t="shared" si="23"/>
        <v>0</v>
      </c>
      <c r="CD22" s="241">
        <f t="shared" si="24"/>
        <v>0</v>
      </c>
      <c r="CG22" s="241">
        <f t="shared" si="25"/>
        <v>0</v>
      </c>
      <c r="CJ22" s="241">
        <f t="shared" si="26"/>
        <v>0</v>
      </c>
      <c r="CM22" s="241">
        <f t="shared" si="27"/>
        <v>0</v>
      </c>
      <c r="CP22" s="241">
        <f t="shared" si="28"/>
        <v>0</v>
      </c>
      <c r="CS22" s="241">
        <f t="shared" si="29"/>
        <v>0</v>
      </c>
      <c r="CV22" s="241">
        <f t="shared" si="30"/>
        <v>0</v>
      </c>
      <c r="CY22" s="241">
        <f t="shared" si="31"/>
        <v>0</v>
      </c>
      <c r="DB22" s="241">
        <f t="shared" si="32"/>
        <v>0</v>
      </c>
      <c r="DE22" s="241">
        <f t="shared" si="33"/>
        <v>0</v>
      </c>
      <c r="DH22" s="241">
        <f t="shared" si="34"/>
        <v>0</v>
      </c>
      <c r="DK22" s="241">
        <f t="shared" si="35"/>
        <v>0</v>
      </c>
      <c r="DN22" s="241">
        <f t="shared" si="36"/>
        <v>0</v>
      </c>
      <c r="DQ22" s="241">
        <f t="shared" si="37"/>
        <v>0</v>
      </c>
      <c r="DT22" s="241">
        <f t="shared" si="38"/>
        <v>0</v>
      </c>
      <c r="DW22" s="241">
        <f t="shared" si="39"/>
        <v>0</v>
      </c>
      <c r="DZ22" s="241"/>
      <c r="EA22" s="241"/>
      <c r="EB22" s="261">
        <f t="shared" si="40"/>
        <v>75850000</v>
      </c>
      <c r="EC22" s="261">
        <f t="shared" si="41"/>
        <v>0</v>
      </c>
      <c r="ED22" s="241">
        <f t="shared" si="42"/>
        <v>9649.8055555555547</v>
      </c>
      <c r="EE22" s="242">
        <f t="shared" si="43"/>
        <v>4.5799999999999993E-2</v>
      </c>
      <c r="EG22" s="261">
        <f t="shared" si="44"/>
        <v>0</v>
      </c>
      <c r="EH22" s="241">
        <f t="shared" si="45"/>
        <v>0</v>
      </c>
      <c r="EI22" s="242">
        <f t="shared" si="46"/>
        <v>0</v>
      </c>
      <c r="EJ22" s="242"/>
      <c r="EK22" s="261">
        <f t="shared" si="47"/>
        <v>75850000</v>
      </c>
      <c r="EL22" s="261">
        <f t="shared" si="48"/>
        <v>0</v>
      </c>
      <c r="EM22" s="261">
        <f t="shared" si="49"/>
        <v>9649.8055555555547</v>
      </c>
      <c r="EN22" s="242">
        <f t="shared" si="50"/>
        <v>4.5799999999999993E-2</v>
      </c>
      <c r="EP22" s="241"/>
    </row>
    <row r="23" spans="1:146" x14ac:dyDescent="0.25">
      <c r="A23" s="255">
        <f t="shared" si="51"/>
        <v>45790</v>
      </c>
      <c r="B23" s="241">
        <v>0</v>
      </c>
      <c r="C23" s="242">
        <v>4.6989370000000003E-2</v>
      </c>
      <c r="D23" s="241">
        <f t="shared" si="0"/>
        <v>0</v>
      </c>
      <c r="G23" s="241">
        <f t="shared" si="1"/>
        <v>0</v>
      </c>
      <c r="J23" s="241">
        <f t="shared" si="2"/>
        <v>0</v>
      </c>
      <c r="M23" s="241">
        <f t="shared" si="3"/>
        <v>0</v>
      </c>
      <c r="P23" s="241">
        <f t="shared" si="4"/>
        <v>0</v>
      </c>
      <c r="S23" s="241">
        <f t="shared" si="5"/>
        <v>0</v>
      </c>
      <c r="V23" s="241">
        <f t="shared" si="6"/>
        <v>0</v>
      </c>
      <c r="Y23" s="241">
        <f t="shared" si="7"/>
        <v>0</v>
      </c>
      <c r="AB23" s="241">
        <f t="shared" si="8"/>
        <v>0</v>
      </c>
      <c r="AE23" s="241">
        <v>0</v>
      </c>
      <c r="AH23" s="241">
        <v>0</v>
      </c>
      <c r="AI23" s="256">
        <f>50675000+35000000</f>
        <v>85675000</v>
      </c>
      <c r="AJ23" s="257">
        <v>4.58E-2</v>
      </c>
      <c r="AK23" s="241">
        <f t="shared" si="9"/>
        <v>10899.763888888889</v>
      </c>
      <c r="AL23" s="256"/>
      <c r="AM23" s="257"/>
      <c r="AN23" s="241">
        <f t="shared" si="10"/>
        <v>0</v>
      </c>
      <c r="AO23" s="256"/>
      <c r="AP23" s="257"/>
      <c r="AQ23" s="241">
        <f t="shared" si="11"/>
        <v>0</v>
      </c>
      <c r="AR23" s="256"/>
      <c r="AS23" s="257"/>
      <c r="AT23" s="241">
        <f t="shared" si="12"/>
        <v>0</v>
      </c>
      <c r="AW23" s="241">
        <f t="shared" si="13"/>
        <v>0</v>
      </c>
      <c r="AZ23" s="241">
        <f t="shared" si="14"/>
        <v>0</v>
      </c>
      <c r="BC23" s="241">
        <f t="shared" si="15"/>
        <v>0</v>
      </c>
      <c r="BF23" s="241">
        <f t="shared" si="16"/>
        <v>0</v>
      </c>
      <c r="BI23" s="241">
        <f t="shared" si="17"/>
        <v>0</v>
      </c>
      <c r="BL23" s="241">
        <f t="shared" si="18"/>
        <v>0</v>
      </c>
      <c r="BO23" s="241">
        <f t="shared" si="19"/>
        <v>0</v>
      </c>
      <c r="BR23" s="241">
        <f t="shared" si="20"/>
        <v>0</v>
      </c>
      <c r="BU23" s="241">
        <f t="shared" si="21"/>
        <v>0</v>
      </c>
      <c r="BX23" s="241">
        <f t="shared" si="22"/>
        <v>0</v>
      </c>
      <c r="CA23" s="241">
        <f t="shared" si="23"/>
        <v>0</v>
      </c>
      <c r="CD23" s="241">
        <f t="shared" si="24"/>
        <v>0</v>
      </c>
      <c r="CG23" s="241">
        <f t="shared" si="25"/>
        <v>0</v>
      </c>
      <c r="CJ23" s="241">
        <f t="shared" si="26"/>
        <v>0</v>
      </c>
      <c r="CM23" s="241">
        <f t="shared" si="27"/>
        <v>0</v>
      </c>
      <c r="CP23" s="241">
        <f t="shared" si="28"/>
        <v>0</v>
      </c>
      <c r="CS23" s="241">
        <f t="shared" si="29"/>
        <v>0</v>
      </c>
      <c r="CV23" s="241">
        <f t="shared" si="30"/>
        <v>0</v>
      </c>
      <c r="CY23" s="241">
        <f t="shared" si="31"/>
        <v>0</v>
      </c>
      <c r="DB23" s="241">
        <f t="shared" si="32"/>
        <v>0</v>
      </c>
      <c r="DE23" s="241">
        <f t="shared" si="33"/>
        <v>0</v>
      </c>
      <c r="DH23" s="241">
        <f t="shared" si="34"/>
        <v>0</v>
      </c>
      <c r="DK23" s="241">
        <f t="shared" si="35"/>
        <v>0</v>
      </c>
      <c r="DN23" s="241">
        <f t="shared" si="36"/>
        <v>0</v>
      </c>
      <c r="DQ23" s="241">
        <f t="shared" si="37"/>
        <v>0</v>
      </c>
      <c r="DT23" s="241">
        <f t="shared" si="38"/>
        <v>0</v>
      </c>
      <c r="DW23" s="241">
        <f t="shared" si="39"/>
        <v>0</v>
      </c>
      <c r="DZ23" s="241"/>
      <c r="EA23" s="241"/>
      <c r="EB23" s="261">
        <f t="shared" si="40"/>
        <v>85675000</v>
      </c>
      <c r="EC23" s="261">
        <f t="shared" si="41"/>
        <v>0</v>
      </c>
      <c r="ED23" s="241">
        <f t="shared" si="42"/>
        <v>10899.763888888889</v>
      </c>
      <c r="EE23" s="242">
        <f t="shared" si="43"/>
        <v>4.58E-2</v>
      </c>
      <c r="EG23" s="261">
        <f t="shared" si="44"/>
        <v>0</v>
      </c>
      <c r="EH23" s="241">
        <f t="shared" si="45"/>
        <v>0</v>
      </c>
      <c r="EI23" s="242">
        <f t="shared" si="46"/>
        <v>0</v>
      </c>
      <c r="EJ23" s="242"/>
      <c r="EK23" s="261">
        <f t="shared" si="47"/>
        <v>85675000</v>
      </c>
      <c r="EL23" s="261">
        <f t="shared" si="48"/>
        <v>0</v>
      </c>
      <c r="EM23" s="261">
        <f t="shared" si="49"/>
        <v>10899.763888888889</v>
      </c>
      <c r="EN23" s="242">
        <f t="shared" si="50"/>
        <v>4.58E-2</v>
      </c>
      <c r="EP23" s="241"/>
    </row>
    <row r="24" spans="1:146" x14ac:dyDescent="0.25">
      <c r="A24" s="255">
        <f t="shared" si="51"/>
        <v>45791</v>
      </c>
      <c r="B24" s="241">
        <v>0</v>
      </c>
      <c r="C24" s="242">
        <v>4.6559719999999999E-2</v>
      </c>
      <c r="D24" s="241">
        <f t="shared" si="0"/>
        <v>0</v>
      </c>
      <c r="G24" s="241">
        <f t="shared" si="1"/>
        <v>0</v>
      </c>
      <c r="J24" s="241">
        <f t="shared" si="2"/>
        <v>0</v>
      </c>
      <c r="M24" s="241">
        <f t="shared" si="3"/>
        <v>0</v>
      </c>
      <c r="P24" s="241">
        <f t="shared" si="4"/>
        <v>0</v>
      </c>
      <c r="S24" s="241">
        <f t="shared" si="5"/>
        <v>0</v>
      </c>
      <c r="V24" s="241">
        <f t="shared" si="6"/>
        <v>0</v>
      </c>
      <c r="Y24" s="241">
        <f t="shared" si="7"/>
        <v>0</v>
      </c>
      <c r="AB24" s="241">
        <f t="shared" si="8"/>
        <v>0</v>
      </c>
      <c r="AE24" s="241">
        <v>0</v>
      </c>
      <c r="AH24" s="241">
        <v>0</v>
      </c>
      <c r="AI24" s="256">
        <f>32975000+45000000</f>
        <v>77975000</v>
      </c>
      <c r="AJ24" s="257">
        <v>4.58E-2</v>
      </c>
      <c r="AK24" s="241">
        <f t="shared" si="9"/>
        <v>9920.1527777777774</v>
      </c>
      <c r="AL24" s="256"/>
      <c r="AM24" s="257"/>
      <c r="AN24" s="241">
        <f t="shared" si="10"/>
        <v>0</v>
      </c>
      <c r="AO24" s="256"/>
      <c r="AP24" s="257"/>
      <c r="AQ24" s="241">
        <f t="shared" si="11"/>
        <v>0</v>
      </c>
      <c r="AR24" s="256"/>
      <c r="AS24" s="257"/>
      <c r="AT24" s="241">
        <f t="shared" si="12"/>
        <v>0</v>
      </c>
      <c r="AW24" s="241">
        <f t="shared" si="13"/>
        <v>0</v>
      </c>
      <c r="AZ24" s="241">
        <f t="shared" si="14"/>
        <v>0</v>
      </c>
      <c r="BC24" s="241">
        <f t="shared" si="15"/>
        <v>0</v>
      </c>
      <c r="BF24" s="241">
        <f t="shared" si="16"/>
        <v>0</v>
      </c>
      <c r="BI24" s="241">
        <f t="shared" si="17"/>
        <v>0</v>
      </c>
      <c r="BL24" s="241">
        <f t="shared" si="18"/>
        <v>0</v>
      </c>
      <c r="BO24" s="241">
        <f t="shared" si="19"/>
        <v>0</v>
      </c>
      <c r="BR24" s="241">
        <f t="shared" si="20"/>
        <v>0</v>
      </c>
      <c r="BU24" s="241">
        <f t="shared" si="21"/>
        <v>0</v>
      </c>
      <c r="BX24" s="241">
        <f t="shared" si="22"/>
        <v>0</v>
      </c>
      <c r="CA24" s="241">
        <f t="shared" si="23"/>
        <v>0</v>
      </c>
      <c r="CD24" s="241">
        <f t="shared" si="24"/>
        <v>0</v>
      </c>
      <c r="CG24" s="241">
        <f t="shared" si="25"/>
        <v>0</v>
      </c>
      <c r="CJ24" s="241">
        <f t="shared" si="26"/>
        <v>0</v>
      </c>
      <c r="CM24" s="241">
        <f t="shared" si="27"/>
        <v>0</v>
      </c>
      <c r="CP24" s="241">
        <f t="shared" si="28"/>
        <v>0</v>
      </c>
      <c r="CS24" s="241">
        <f t="shared" si="29"/>
        <v>0</v>
      </c>
      <c r="CV24" s="241">
        <f t="shared" si="30"/>
        <v>0</v>
      </c>
      <c r="CY24" s="241">
        <f t="shared" si="31"/>
        <v>0</v>
      </c>
      <c r="DB24" s="241">
        <f t="shared" si="32"/>
        <v>0</v>
      </c>
      <c r="DE24" s="241">
        <f t="shared" si="33"/>
        <v>0</v>
      </c>
      <c r="DH24" s="241">
        <f t="shared" si="34"/>
        <v>0</v>
      </c>
      <c r="DK24" s="241">
        <f t="shared" si="35"/>
        <v>0</v>
      </c>
      <c r="DN24" s="241">
        <f t="shared" si="36"/>
        <v>0</v>
      </c>
      <c r="DQ24" s="241">
        <f t="shared" si="37"/>
        <v>0</v>
      </c>
      <c r="DT24" s="241">
        <f t="shared" si="38"/>
        <v>0</v>
      </c>
      <c r="DW24" s="241">
        <f t="shared" si="39"/>
        <v>0</v>
      </c>
      <c r="DZ24" s="241"/>
      <c r="EA24" s="241"/>
      <c r="EB24" s="261">
        <f t="shared" si="40"/>
        <v>77975000</v>
      </c>
      <c r="EC24" s="261">
        <f t="shared" si="41"/>
        <v>0</v>
      </c>
      <c r="ED24" s="241">
        <f t="shared" si="42"/>
        <v>9920.1527777777774</v>
      </c>
      <c r="EE24" s="242">
        <f t="shared" si="43"/>
        <v>4.58E-2</v>
      </c>
      <c r="EG24" s="261">
        <f t="shared" si="44"/>
        <v>0</v>
      </c>
      <c r="EH24" s="241">
        <f t="shared" si="45"/>
        <v>0</v>
      </c>
      <c r="EI24" s="242">
        <f t="shared" si="46"/>
        <v>0</v>
      </c>
      <c r="EJ24" s="242"/>
      <c r="EK24" s="261">
        <f t="shared" si="47"/>
        <v>77975000</v>
      </c>
      <c r="EL24" s="261">
        <f t="shared" si="48"/>
        <v>0</v>
      </c>
      <c r="EM24" s="261">
        <f t="shared" si="49"/>
        <v>9920.1527777777774</v>
      </c>
      <c r="EN24" s="242">
        <f t="shared" si="50"/>
        <v>4.58E-2</v>
      </c>
      <c r="EP24" s="241"/>
    </row>
    <row r="25" spans="1:146" x14ac:dyDescent="0.25">
      <c r="A25" s="255">
        <f t="shared" si="51"/>
        <v>45792</v>
      </c>
      <c r="B25" s="241">
        <v>0</v>
      </c>
      <c r="C25" s="242">
        <v>4.6735449999999998E-2</v>
      </c>
      <c r="D25" s="241">
        <f t="shared" si="0"/>
        <v>0</v>
      </c>
      <c r="G25" s="241">
        <f t="shared" si="1"/>
        <v>0</v>
      </c>
      <c r="J25" s="241">
        <f t="shared" si="2"/>
        <v>0</v>
      </c>
      <c r="M25" s="241">
        <f t="shared" si="3"/>
        <v>0</v>
      </c>
      <c r="P25" s="241">
        <f t="shared" si="4"/>
        <v>0</v>
      </c>
      <c r="S25" s="241">
        <f t="shared" si="5"/>
        <v>0</v>
      </c>
      <c r="V25" s="241">
        <f t="shared" si="6"/>
        <v>0</v>
      </c>
      <c r="Y25" s="241">
        <f t="shared" si="7"/>
        <v>0</v>
      </c>
      <c r="AB25" s="241">
        <f t="shared" si="8"/>
        <v>0</v>
      </c>
      <c r="AE25" s="241">
        <v>0</v>
      </c>
      <c r="AH25" s="241">
        <v>0</v>
      </c>
      <c r="AI25" s="256">
        <f>50000000+35375000</f>
        <v>85375000</v>
      </c>
      <c r="AJ25" s="257">
        <v>4.58E-2</v>
      </c>
      <c r="AK25" s="241">
        <f t="shared" si="9"/>
        <v>10861.597222222223</v>
      </c>
      <c r="AL25" s="256"/>
      <c r="AM25" s="257"/>
      <c r="AN25" s="241">
        <f t="shared" si="10"/>
        <v>0</v>
      </c>
      <c r="AO25" s="256"/>
      <c r="AP25" s="257"/>
      <c r="AQ25" s="241">
        <f t="shared" si="11"/>
        <v>0</v>
      </c>
      <c r="AR25" s="256"/>
      <c r="AS25" s="257"/>
      <c r="AT25" s="241">
        <f t="shared" si="12"/>
        <v>0</v>
      </c>
      <c r="AW25" s="241">
        <f t="shared" si="13"/>
        <v>0</v>
      </c>
      <c r="AZ25" s="241">
        <f t="shared" si="14"/>
        <v>0</v>
      </c>
      <c r="BC25" s="241">
        <f t="shared" si="15"/>
        <v>0</v>
      </c>
      <c r="BF25" s="241">
        <f t="shared" si="16"/>
        <v>0</v>
      </c>
      <c r="BI25" s="241">
        <f t="shared" si="17"/>
        <v>0</v>
      </c>
      <c r="BL25" s="241">
        <f t="shared" si="18"/>
        <v>0</v>
      </c>
      <c r="BO25" s="241">
        <f t="shared" si="19"/>
        <v>0</v>
      </c>
      <c r="BR25" s="241">
        <f t="shared" si="20"/>
        <v>0</v>
      </c>
      <c r="BU25" s="241">
        <f t="shared" si="21"/>
        <v>0</v>
      </c>
      <c r="BX25" s="241">
        <f t="shared" si="22"/>
        <v>0</v>
      </c>
      <c r="CA25" s="241">
        <f t="shared" si="23"/>
        <v>0</v>
      </c>
      <c r="CD25" s="241">
        <f t="shared" si="24"/>
        <v>0</v>
      </c>
      <c r="CG25" s="241">
        <f t="shared" si="25"/>
        <v>0</v>
      </c>
      <c r="CJ25" s="241">
        <f t="shared" si="26"/>
        <v>0</v>
      </c>
      <c r="CM25" s="241">
        <f t="shared" si="27"/>
        <v>0</v>
      </c>
      <c r="CP25" s="241">
        <f t="shared" si="28"/>
        <v>0</v>
      </c>
      <c r="CS25" s="241">
        <f t="shared" si="29"/>
        <v>0</v>
      </c>
      <c r="CV25" s="241">
        <f t="shared" si="30"/>
        <v>0</v>
      </c>
      <c r="CY25" s="241">
        <f t="shared" si="31"/>
        <v>0</v>
      </c>
      <c r="DB25" s="241">
        <f t="shared" si="32"/>
        <v>0</v>
      </c>
      <c r="DE25" s="241">
        <f t="shared" si="33"/>
        <v>0</v>
      </c>
      <c r="DH25" s="241">
        <f t="shared" si="34"/>
        <v>0</v>
      </c>
      <c r="DK25" s="241">
        <f t="shared" si="35"/>
        <v>0</v>
      </c>
      <c r="DN25" s="241">
        <f t="shared" si="36"/>
        <v>0</v>
      </c>
      <c r="DQ25" s="241">
        <f t="shared" si="37"/>
        <v>0</v>
      </c>
      <c r="DT25" s="241">
        <f t="shared" si="38"/>
        <v>0</v>
      </c>
      <c r="DW25" s="241">
        <f t="shared" si="39"/>
        <v>0</v>
      </c>
      <c r="DZ25" s="241"/>
      <c r="EA25" s="241"/>
      <c r="EB25" s="261">
        <f t="shared" si="40"/>
        <v>85375000</v>
      </c>
      <c r="EC25" s="261">
        <f t="shared" si="41"/>
        <v>0</v>
      </c>
      <c r="ED25" s="241">
        <f t="shared" si="42"/>
        <v>10861.597222222223</v>
      </c>
      <c r="EE25" s="242">
        <f t="shared" si="43"/>
        <v>4.58E-2</v>
      </c>
      <c r="EG25" s="261">
        <f t="shared" si="44"/>
        <v>0</v>
      </c>
      <c r="EH25" s="241">
        <f t="shared" si="45"/>
        <v>0</v>
      </c>
      <c r="EI25" s="242">
        <f t="shared" si="46"/>
        <v>0</v>
      </c>
      <c r="EJ25" s="242"/>
      <c r="EK25" s="261">
        <f t="shared" si="47"/>
        <v>85375000</v>
      </c>
      <c r="EL25" s="261">
        <f t="shared" si="48"/>
        <v>0</v>
      </c>
      <c r="EM25" s="261">
        <f t="shared" si="49"/>
        <v>10861.597222222223</v>
      </c>
      <c r="EN25" s="242">
        <f t="shared" si="50"/>
        <v>4.58E-2</v>
      </c>
      <c r="EP25" s="241"/>
    </row>
    <row r="26" spans="1:146" x14ac:dyDescent="0.25">
      <c r="A26" s="255">
        <f t="shared" si="51"/>
        <v>45793</v>
      </c>
      <c r="B26" s="241">
        <v>0</v>
      </c>
      <c r="C26" s="242">
        <v>4.6762980000000003E-2</v>
      </c>
      <c r="D26" s="241">
        <f t="shared" si="0"/>
        <v>0</v>
      </c>
      <c r="G26" s="241">
        <f t="shared" si="1"/>
        <v>0</v>
      </c>
      <c r="J26" s="241">
        <f t="shared" si="2"/>
        <v>0</v>
      </c>
      <c r="M26" s="241">
        <f t="shared" si="3"/>
        <v>0</v>
      </c>
      <c r="P26" s="241">
        <f t="shared" si="4"/>
        <v>0</v>
      </c>
      <c r="S26" s="241">
        <f t="shared" si="5"/>
        <v>0</v>
      </c>
      <c r="V26" s="241">
        <f t="shared" si="6"/>
        <v>0</v>
      </c>
      <c r="Y26" s="241">
        <f t="shared" si="7"/>
        <v>0</v>
      </c>
      <c r="AB26" s="241">
        <f t="shared" si="8"/>
        <v>0</v>
      </c>
      <c r="AE26" s="241">
        <v>0</v>
      </c>
      <c r="AH26" s="241">
        <v>0</v>
      </c>
      <c r="AI26" s="256">
        <f>28750000+60000000</f>
        <v>88750000</v>
      </c>
      <c r="AJ26" s="257">
        <v>4.58E-2</v>
      </c>
      <c r="AK26" s="241">
        <f t="shared" si="9"/>
        <v>11290.972222222223</v>
      </c>
      <c r="AL26" s="256"/>
      <c r="AM26" s="257"/>
      <c r="AN26" s="241">
        <f t="shared" si="10"/>
        <v>0</v>
      </c>
      <c r="AO26" s="256"/>
      <c r="AP26" s="257"/>
      <c r="AQ26" s="241">
        <f t="shared" si="11"/>
        <v>0</v>
      </c>
      <c r="AR26" s="256"/>
      <c r="AS26" s="257"/>
      <c r="AT26" s="241">
        <f t="shared" si="12"/>
        <v>0</v>
      </c>
      <c r="AW26" s="241">
        <f t="shared" si="13"/>
        <v>0</v>
      </c>
      <c r="AZ26" s="241">
        <f t="shared" si="14"/>
        <v>0</v>
      </c>
      <c r="BC26" s="241">
        <f t="shared" si="15"/>
        <v>0</v>
      </c>
      <c r="BF26" s="241">
        <f t="shared" si="16"/>
        <v>0</v>
      </c>
      <c r="BI26" s="241">
        <f t="shared" si="17"/>
        <v>0</v>
      </c>
      <c r="BL26" s="241">
        <f t="shared" si="18"/>
        <v>0</v>
      </c>
      <c r="BO26" s="241">
        <f t="shared" si="19"/>
        <v>0</v>
      </c>
      <c r="BR26" s="241">
        <f t="shared" si="20"/>
        <v>0</v>
      </c>
      <c r="BU26" s="241">
        <f t="shared" si="21"/>
        <v>0</v>
      </c>
      <c r="BX26" s="241">
        <f t="shared" si="22"/>
        <v>0</v>
      </c>
      <c r="CA26" s="241">
        <f t="shared" si="23"/>
        <v>0</v>
      </c>
      <c r="CD26" s="241">
        <f t="shared" si="24"/>
        <v>0</v>
      </c>
      <c r="CG26" s="241">
        <f t="shared" si="25"/>
        <v>0</v>
      </c>
      <c r="CJ26" s="241">
        <f t="shared" si="26"/>
        <v>0</v>
      </c>
      <c r="CM26" s="241">
        <f t="shared" si="27"/>
        <v>0</v>
      </c>
      <c r="CP26" s="241">
        <f t="shared" si="28"/>
        <v>0</v>
      </c>
      <c r="CS26" s="241">
        <f t="shared" si="29"/>
        <v>0</v>
      </c>
      <c r="CV26" s="241">
        <f t="shared" si="30"/>
        <v>0</v>
      </c>
      <c r="CY26" s="241">
        <f t="shared" si="31"/>
        <v>0</v>
      </c>
      <c r="DB26" s="241">
        <f t="shared" si="32"/>
        <v>0</v>
      </c>
      <c r="DE26" s="241">
        <f t="shared" si="33"/>
        <v>0</v>
      </c>
      <c r="DH26" s="241">
        <f t="shared" si="34"/>
        <v>0</v>
      </c>
      <c r="DK26" s="241">
        <f t="shared" si="35"/>
        <v>0</v>
      </c>
      <c r="DN26" s="241">
        <f t="shared" si="36"/>
        <v>0</v>
      </c>
      <c r="DQ26" s="241">
        <f t="shared" si="37"/>
        <v>0</v>
      </c>
      <c r="DT26" s="241">
        <f t="shared" si="38"/>
        <v>0</v>
      </c>
      <c r="DW26" s="241">
        <f t="shared" si="39"/>
        <v>0</v>
      </c>
      <c r="DZ26" s="241"/>
      <c r="EA26" s="241"/>
      <c r="EB26" s="261">
        <f t="shared" si="40"/>
        <v>88750000</v>
      </c>
      <c r="EC26" s="261">
        <f t="shared" si="41"/>
        <v>0</v>
      </c>
      <c r="ED26" s="241">
        <f t="shared" si="42"/>
        <v>11290.972222222223</v>
      </c>
      <c r="EE26" s="242">
        <f t="shared" si="43"/>
        <v>4.58E-2</v>
      </c>
      <c r="EG26" s="261">
        <f t="shared" si="44"/>
        <v>0</v>
      </c>
      <c r="EH26" s="241">
        <f t="shared" si="45"/>
        <v>0</v>
      </c>
      <c r="EI26" s="242">
        <f t="shared" si="46"/>
        <v>0</v>
      </c>
      <c r="EJ26" s="242"/>
      <c r="EK26" s="261">
        <f t="shared" si="47"/>
        <v>88750000</v>
      </c>
      <c r="EL26" s="261">
        <f t="shared" si="48"/>
        <v>0</v>
      </c>
      <c r="EM26" s="261">
        <f t="shared" si="49"/>
        <v>11290.972222222223</v>
      </c>
      <c r="EN26" s="242">
        <f t="shared" si="50"/>
        <v>4.58E-2</v>
      </c>
      <c r="EP26" s="241"/>
    </row>
    <row r="27" spans="1:146" x14ac:dyDescent="0.25">
      <c r="A27" s="255">
        <f t="shared" si="51"/>
        <v>45794</v>
      </c>
      <c r="B27" s="241">
        <v>0</v>
      </c>
      <c r="C27" s="242">
        <v>4.6762980000000003E-2</v>
      </c>
      <c r="D27" s="241">
        <f t="shared" si="0"/>
        <v>0</v>
      </c>
      <c r="G27" s="241">
        <f t="shared" si="1"/>
        <v>0</v>
      </c>
      <c r="J27" s="241">
        <f t="shared" si="2"/>
        <v>0</v>
      </c>
      <c r="M27" s="241">
        <f t="shared" si="3"/>
        <v>0</v>
      </c>
      <c r="P27" s="241">
        <f t="shared" si="4"/>
        <v>0</v>
      </c>
      <c r="S27" s="241">
        <f t="shared" si="5"/>
        <v>0</v>
      </c>
      <c r="V27" s="241">
        <f t="shared" si="6"/>
        <v>0</v>
      </c>
      <c r="Y27" s="241">
        <f t="shared" si="7"/>
        <v>0</v>
      </c>
      <c r="AB27" s="241">
        <f t="shared" si="8"/>
        <v>0</v>
      </c>
      <c r="AE27" s="241">
        <v>0</v>
      </c>
      <c r="AH27" s="241">
        <v>0</v>
      </c>
      <c r="AI27" s="256">
        <f>28750000+60000000</f>
        <v>88750000</v>
      </c>
      <c r="AJ27" s="257">
        <v>4.58E-2</v>
      </c>
      <c r="AK27" s="241">
        <f t="shared" si="9"/>
        <v>11290.972222222223</v>
      </c>
      <c r="AL27" s="256"/>
      <c r="AM27" s="257"/>
      <c r="AN27" s="241">
        <f t="shared" si="10"/>
        <v>0</v>
      </c>
      <c r="AO27" s="256"/>
      <c r="AP27" s="257"/>
      <c r="AQ27" s="241">
        <f t="shared" si="11"/>
        <v>0</v>
      </c>
      <c r="AR27" s="256"/>
      <c r="AS27" s="257"/>
      <c r="AT27" s="241">
        <f t="shared" si="12"/>
        <v>0</v>
      </c>
      <c r="AW27" s="241">
        <f t="shared" si="13"/>
        <v>0</v>
      </c>
      <c r="AZ27" s="241">
        <f t="shared" si="14"/>
        <v>0</v>
      </c>
      <c r="BC27" s="241">
        <f t="shared" si="15"/>
        <v>0</v>
      </c>
      <c r="BF27" s="241">
        <f t="shared" si="16"/>
        <v>0</v>
      </c>
      <c r="BI27" s="241">
        <f t="shared" si="17"/>
        <v>0</v>
      </c>
      <c r="BL27" s="241">
        <f t="shared" si="18"/>
        <v>0</v>
      </c>
      <c r="BO27" s="241">
        <f t="shared" si="19"/>
        <v>0</v>
      </c>
      <c r="BR27" s="241">
        <f t="shared" si="20"/>
        <v>0</v>
      </c>
      <c r="BU27" s="241">
        <f t="shared" si="21"/>
        <v>0</v>
      </c>
      <c r="BX27" s="241">
        <f t="shared" si="22"/>
        <v>0</v>
      </c>
      <c r="CA27" s="241">
        <f t="shared" si="23"/>
        <v>0</v>
      </c>
      <c r="CD27" s="241">
        <f t="shared" si="24"/>
        <v>0</v>
      </c>
      <c r="CG27" s="241">
        <f t="shared" si="25"/>
        <v>0</v>
      </c>
      <c r="CJ27" s="241">
        <f t="shared" si="26"/>
        <v>0</v>
      </c>
      <c r="CM27" s="241">
        <f t="shared" si="27"/>
        <v>0</v>
      </c>
      <c r="CP27" s="241">
        <f t="shared" si="28"/>
        <v>0</v>
      </c>
      <c r="CS27" s="241">
        <f t="shared" si="29"/>
        <v>0</v>
      </c>
      <c r="CV27" s="241">
        <f t="shared" si="30"/>
        <v>0</v>
      </c>
      <c r="CY27" s="241">
        <f t="shared" si="31"/>
        <v>0</v>
      </c>
      <c r="DB27" s="241">
        <f t="shared" si="32"/>
        <v>0</v>
      </c>
      <c r="DE27" s="241">
        <f t="shared" si="33"/>
        <v>0</v>
      </c>
      <c r="DH27" s="241">
        <f t="shared" si="34"/>
        <v>0</v>
      </c>
      <c r="DK27" s="241">
        <f t="shared" si="35"/>
        <v>0</v>
      </c>
      <c r="DN27" s="241">
        <f t="shared" si="36"/>
        <v>0</v>
      </c>
      <c r="DQ27" s="241">
        <f t="shared" si="37"/>
        <v>0</v>
      </c>
      <c r="DT27" s="241">
        <f t="shared" si="38"/>
        <v>0</v>
      </c>
      <c r="DW27" s="241">
        <f t="shared" si="39"/>
        <v>0</v>
      </c>
      <c r="DZ27" s="241"/>
      <c r="EA27" s="241"/>
      <c r="EB27" s="261">
        <f t="shared" si="40"/>
        <v>88750000</v>
      </c>
      <c r="EC27" s="261">
        <f t="shared" si="41"/>
        <v>0</v>
      </c>
      <c r="ED27" s="241">
        <f t="shared" si="42"/>
        <v>11290.972222222223</v>
      </c>
      <c r="EE27" s="242">
        <f t="shared" si="43"/>
        <v>4.58E-2</v>
      </c>
      <c r="EG27" s="261">
        <f t="shared" si="44"/>
        <v>0</v>
      </c>
      <c r="EH27" s="241">
        <f t="shared" si="45"/>
        <v>0</v>
      </c>
      <c r="EI27" s="242">
        <f t="shared" si="46"/>
        <v>0</v>
      </c>
      <c r="EJ27" s="242"/>
      <c r="EK27" s="261">
        <f t="shared" si="47"/>
        <v>88750000</v>
      </c>
      <c r="EL27" s="261">
        <f t="shared" si="48"/>
        <v>0</v>
      </c>
      <c r="EM27" s="261">
        <f t="shared" si="49"/>
        <v>11290.972222222223</v>
      </c>
      <c r="EN27" s="242">
        <f t="shared" si="50"/>
        <v>4.58E-2</v>
      </c>
      <c r="EP27" s="241"/>
    </row>
    <row r="28" spans="1:146" x14ac:dyDescent="0.25">
      <c r="A28" s="255">
        <f t="shared" si="51"/>
        <v>45795</v>
      </c>
      <c r="B28" s="241">
        <v>0</v>
      </c>
      <c r="C28" s="242">
        <v>4.6762980000000003E-2</v>
      </c>
      <c r="D28" s="241">
        <f t="shared" si="0"/>
        <v>0</v>
      </c>
      <c r="G28" s="241">
        <f t="shared" si="1"/>
        <v>0</v>
      </c>
      <c r="J28" s="241">
        <f t="shared" si="2"/>
        <v>0</v>
      </c>
      <c r="M28" s="241">
        <f t="shared" si="3"/>
        <v>0</v>
      </c>
      <c r="P28" s="241">
        <f t="shared" si="4"/>
        <v>0</v>
      </c>
      <c r="S28" s="241">
        <f t="shared" si="5"/>
        <v>0</v>
      </c>
      <c r="V28" s="241">
        <f t="shared" si="6"/>
        <v>0</v>
      </c>
      <c r="Y28" s="241">
        <f t="shared" si="7"/>
        <v>0</v>
      </c>
      <c r="AB28" s="241">
        <f t="shared" si="8"/>
        <v>0</v>
      </c>
      <c r="AE28" s="241">
        <v>0</v>
      </c>
      <c r="AH28" s="241">
        <v>0</v>
      </c>
      <c r="AI28" s="256">
        <f>28750000+60000000</f>
        <v>88750000</v>
      </c>
      <c r="AJ28" s="257">
        <v>4.58E-2</v>
      </c>
      <c r="AK28" s="241">
        <f t="shared" si="9"/>
        <v>11290.972222222223</v>
      </c>
      <c r="AL28" s="256"/>
      <c r="AM28" s="257"/>
      <c r="AN28" s="241">
        <f t="shared" si="10"/>
        <v>0</v>
      </c>
      <c r="AO28" s="256"/>
      <c r="AP28" s="257"/>
      <c r="AQ28" s="241">
        <f t="shared" si="11"/>
        <v>0</v>
      </c>
      <c r="AR28" s="256"/>
      <c r="AS28" s="257"/>
      <c r="AT28" s="241">
        <f t="shared" si="12"/>
        <v>0</v>
      </c>
      <c r="AW28" s="241">
        <f t="shared" si="13"/>
        <v>0</v>
      </c>
      <c r="AZ28" s="241">
        <f t="shared" si="14"/>
        <v>0</v>
      </c>
      <c r="BC28" s="241">
        <f t="shared" si="15"/>
        <v>0</v>
      </c>
      <c r="BF28" s="241">
        <f t="shared" si="16"/>
        <v>0</v>
      </c>
      <c r="BI28" s="241">
        <f t="shared" si="17"/>
        <v>0</v>
      </c>
      <c r="BL28" s="241">
        <f t="shared" si="18"/>
        <v>0</v>
      </c>
      <c r="BO28" s="241">
        <f t="shared" si="19"/>
        <v>0</v>
      </c>
      <c r="BR28" s="241">
        <f t="shared" si="20"/>
        <v>0</v>
      </c>
      <c r="BU28" s="241">
        <f t="shared" si="21"/>
        <v>0</v>
      </c>
      <c r="BX28" s="241">
        <f t="shared" si="22"/>
        <v>0</v>
      </c>
      <c r="CA28" s="241">
        <f t="shared" si="23"/>
        <v>0</v>
      </c>
      <c r="CD28" s="241">
        <f t="shared" si="24"/>
        <v>0</v>
      </c>
      <c r="CG28" s="241">
        <f t="shared" si="25"/>
        <v>0</v>
      </c>
      <c r="CJ28" s="241">
        <f t="shared" si="26"/>
        <v>0</v>
      </c>
      <c r="CM28" s="241">
        <f t="shared" si="27"/>
        <v>0</v>
      </c>
      <c r="CP28" s="241">
        <f t="shared" si="28"/>
        <v>0</v>
      </c>
      <c r="CS28" s="241">
        <f t="shared" si="29"/>
        <v>0</v>
      </c>
      <c r="CV28" s="241">
        <f t="shared" si="30"/>
        <v>0</v>
      </c>
      <c r="CY28" s="241">
        <f t="shared" si="31"/>
        <v>0</v>
      </c>
      <c r="DB28" s="241">
        <f t="shared" si="32"/>
        <v>0</v>
      </c>
      <c r="DE28" s="241">
        <f t="shared" si="33"/>
        <v>0</v>
      </c>
      <c r="DH28" s="241">
        <f t="shared" si="34"/>
        <v>0</v>
      </c>
      <c r="DK28" s="241">
        <f t="shared" si="35"/>
        <v>0</v>
      </c>
      <c r="DN28" s="241">
        <f t="shared" si="36"/>
        <v>0</v>
      </c>
      <c r="DQ28" s="241">
        <f t="shared" si="37"/>
        <v>0</v>
      </c>
      <c r="DT28" s="241">
        <f t="shared" si="38"/>
        <v>0</v>
      </c>
      <c r="DW28" s="241">
        <f t="shared" si="39"/>
        <v>0</v>
      </c>
      <c r="DZ28" s="241"/>
      <c r="EA28" s="241"/>
      <c r="EB28" s="261">
        <f t="shared" si="40"/>
        <v>88750000</v>
      </c>
      <c r="EC28" s="261">
        <f t="shared" si="41"/>
        <v>0</v>
      </c>
      <c r="ED28" s="241">
        <f t="shared" si="42"/>
        <v>11290.972222222223</v>
      </c>
      <c r="EE28" s="242">
        <f t="shared" si="43"/>
        <v>4.58E-2</v>
      </c>
      <c r="EG28" s="261">
        <f t="shared" si="44"/>
        <v>0</v>
      </c>
      <c r="EH28" s="241">
        <f t="shared" si="45"/>
        <v>0</v>
      </c>
      <c r="EI28" s="242">
        <f t="shared" si="46"/>
        <v>0</v>
      </c>
      <c r="EJ28" s="242"/>
      <c r="EK28" s="261">
        <f t="shared" si="47"/>
        <v>88750000</v>
      </c>
      <c r="EL28" s="261">
        <f t="shared" si="48"/>
        <v>0</v>
      </c>
      <c r="EM28" s="261">
        <f t="shared" si="49"/>
        <v>11290.972222222223</v>
      </c>
      <c r="EN28" s="242">
        <f t="shared" si="50"/>
        <v>4.58E-2</v>
      </c>
      <c r="EP28" s="241"/>
    </row>
    <row r="29" spans="1:146" x14ac:dyDescent="0.25">
      <c r="A29" s="255">
        <f t="shared" si="51"/>
        <v>45796</v>
      </c>
      <c r="B29" s="241">
        <v>0</v>
      </c>
      <c r="C29" s="242">
        <v>4.6739119999999995E-2</v>
      </c>
      <c r="D29" s="241">
        <f t="shared" si="0"/>
        <v>0</v>
      </c>
      <c r="G29" s="241">
        <f t="shared" si="1"/>
        <v>0</v>
      </c>
      <c r="J29" s="241">
        <f t="shared" si="2"/>
        <v>0</v>
      </c>
      <c r="M29" s="241">
        <f t="shared" si="3"/>
        <v>0</v>
      </c>
      <c r="P29" s="241">
        <f t="shared" si="4"/>
        <v>0</v>
      </c>
      <c r="S29" s="241">
        <f t="shared" si="5"/>
        <v>0</v>
      </c>
      <c r="V29" s="241">
        <f t="shared" si="6"/>
        <v>0</v>
      </c>
      <c r="Y29" s="241">
        <f t="shared" si="7"/>
        <v>0</v>
      </c>
      <c r="AB29" s="241">
        <f t="shared" si="8"/>
        <v>0</v>
      </c>
      <c r="AE29" s="241">
        <v>0</v>
      </c>
      <c r="AH29" s="241">
        <v>0</v>
      </c>
      <c r="AI29" s="256">
        <f>25000000+63475000+100000</f>
        <v>88575000</v>
      </c>
      <c r="AJ29" s="257">
        <v>4.5699999999999998E-2</v>
      </c>
      <c r="AK29" s="241">
        <f t="shared" si="9"/>
        <v>11244.104166666666</v>
      </c>
      <c r="AL29" s="256"/>
      <c r="AM29" s="257"/>
      <c r="AN29" s="241">
        <f t="shared" si="10"/>
        <v>0</v>
      </c>
      <c r="AO29" s="256"/>
      <c r="AP29" s="257"/>
      <c r="AQ29" s="241">
        <f t="shared" si="11"/>
        <v>0</v>
      </c>
      <c r="AR29" s="256"/>
      <c r="AS29" s="257"/>
      <c r="AT29" s="241">
        <f t="shared" si="12"/>
        <v>0</v>
      </c>
      <c r="AW29" s="241">
        <f t="shared" si="13"/>
        <v>0</v>
      </c>
      <c r="AZ29" s="241">
        <f t="shared" si="14"/>
        <v>0</v>
      </c>
      <c r="BC29" s="241">
        <f t="shared" si="15"/>
        <v>0</v>
      </c>
      <c r="BF29" s="241">
        <f t="shared" si="16"/>
        <v>0</v>
      </c>
      <c r="BI29" s="241">
        <f t="shared" si="17"/>
        <v>0</v>
      </c>
      <c r="BL29" s="241">
        <f t="shared" si="18"/>
        <v>0</v>
      </c>
      <c r="BO29" s="241">
        <f t="shared" si="19"/>
        <v>0</v>
      </c>
      <c r="BR29" s="241">
        <f t="shared" si="20"/>
        <v>0</v>
      </c>
      <c r="BU29" s="241">
        <f t="shared" si="21"/>
        <v>0</v>
      </c>
      <c r="BX29" s="241">
        <f t="shared" si="22"/>
        <v>0</v>
      </c>
      <c r="CA29" s="241">
        <f t="shared" si="23"/>
        <v>0</v>
      </c>
      <c r="CD29" s="241">
        <f t="shared" si="24"/>
        <v>0</v>
      </c>
      <c r="CG29" s="241">
        <f t="shared" si="25"/>
        <v>0</v>
      </c>
      <c r="CJ29" s="241">
        <f t="shared" si="26"/>
        <v>0</v>
      </c>
      <c r="CM29" s="241">
        <f t="shared" si="27"/>
        <v>0</v>
      </c>
      <c r="CP29" s="241">
        <f t="shared" si="28"/>
        <v>0</v>
      </c>
      <c r="CS29" s="241">
        <f t="shared" si="29"/>
        <v>0</v>
      </c>
      <c r="CV29" s="241">
        <f t="shared" si="30"/>
        <v>0</v>
      </c>
      <c r="CY29" s="241">
        <f t="shared" si="31"/>
        <v>0</v>
      </c>
      <c r="DB29" s="241">
        <f t="shared" si="32"/>
        <v>0</v>
      </c>
      <c r="DE29" s="241">
        <f t="shared" si="33"/>
        <v>0</v>
      </c>
      <c r="DH29" s="241">
        <f t="shared" si="34"/>
        <v>0</v>
      </c>
      <c r="DK29" s="241">
        <f t="shared" si="35"/>
        <v>0</v>
      </c>
      <c r="DN29" s="241">
        <f t="shared" si="36"/>
        <v>0</v>
      </c>
      <c r="DQ29" s="241">
        <f t="shared" si="37"/>
        <v>0</v>
      </c>
      <c r="DT29" s="241">
        <f t="shared" si="38"/>
        <v>0</v>
      </c>
      <c r="DW29" s="241">
        <f t="shared" si="39"/>
        <v>0</v>
      </c>
      <c r="DZ29" s="241"/>
      <c r="EA29" s="241"/>
      <c r="EB29" s="261">
        <f t="shared" si="40"/>
        <v>88575000</v>
      </c>
      <c r="EC29" s="261">
        <f t="shared" si="41"/>
        <v>0</v>
      </c>
      <c r="ED29" s="241">
        <f t="shared" si="42"/>
        <v>11244.104166666666</v>
      </c>
      <c r="EE29" s="242">
        <f t="shared" si="43"/>
        <v>4.5699999999999998E-2</v>
      </c>
      <c r="EG29" s="261">
        <f t="shared" si="44"/>
        <v>0</v>
      </c>
      <c r="EH29" s="241">
        <f t="shared" si="45"/>
        <v>0</v>
      </c>
      <c r="EI29" s="242">
        <f t="shared" si="46"/>
        <v>0</v>
      </c>
      <c r="EJ29" s="242"/>
      <c r="EK29" s="261">
        <f t="shared" si="47"/>
        <v>88575000</v>
      </c>
      <c r="EL29" s="261">
        <f t="shared" si="48"/>
        <v>0</v>
      </c>
      <c r="EM29" s="261">
        <f t="shared" si="49"/>
        <v>11244.104166666666</v>
      </c>
      <c r="EN29" s="242">
        <f t="shared" si="50"/>
        <v>4.5699999999999998E-2</v>
      </c>
      <c r="EP29" s="241"/>
    </row>
    <row r="30" spans="1:146" x14ac:dyDescent="0.25">
      <c r="A30" s="255">
        <f t="shared" si="51"/>
        <v>45797</v>
      </c>
      <c r="B30" s="241">
        <v>0</v>
      </c>
      <c r="C30" s="242">
        <v>4.6748839999999993E-2</v>
      </c>
      <c r="D30" s="241">
        <f t="shared" si="0"/>
        <v>0</v>
      </c>
      <c r="G30" s="241">
        <f t="shared" si="1"/>
        <v>0</v>
      </c>
      <c r="J30" s="241">
        <f t="shared" si="2"/>
        <v>0</v>
      </c>
      <c r="M30" s="241">
        <f t="shared" si="3"/>
        <v>0</v>
      </c>
      <c r="P30" s="241">
        <f t="shared" si="4"/>
        <v>0</v>
      </c>
      <c r="S30" s="241">
        <f t="shared" si="5"/>
        <v>0</v>
      </c>
      <c r="V30" s="241">
        <f t="shared" si="6"/>
        <v>0</v>
      </c>
      <c r="Y30" s="241">
        <f t="shared" si="7"/>
        <v>0</v>
      </c>
      <c r="AB30" s="241">
        <f t="shared" si="8"/>
        <v>0</v>
      </c>
      <c r="AE30" s="241">
        <v>0</v>
      </c>
      <c r="AH30" s="241">
        <v>0</v>
      </c>
      <c r="AI30" s="256">
        <f>65000000+17225000</f>
        <v>82225000</v>
      </c>
      <c r="AJ30" s="257">
        <v>4.5699999999999998E-2</v>
      </c>
      <c r="AK30" s="241">
        <f t="shared" si="9"/>
        <v>10438.006944444445</v>
      </c>
      <c r="AL30" s="256"/>
      <c r="AM30" s="257"/>
      <c r="AN30" s="241">
        <f t="shared" si="10"/>
        <v>0</v>
      </c>
      <c r="AO30" s="256"/>
      <c r="AP30" s="257"/>
      <c r="AQ30" s="241">
        <f t="shared" si="11"/>
        <v>0</v>
      </c>
      <c r="AR30" s="256"/>
      <c r="AS30" s="257"/>
      <c r="AT30" s="241">
        <f t="shared" si="12"/>
        <v>0</v>
      </c>
      <c r="AW30" s="241">
        <f t="shared" si="13"/>
        <v>0</v>
      </c>
      <c r="AZ30" s="241">
        <f t="shared" si="14"/>
        <v>0</v>
      </c>
      <c r="BC30" s="241">
        <f t="shared" si="15"/>
        <v>0</v>
      </c>
      <c r="BF30" s="241">
        <f t="shared" si="16"/>
        <v>0</v>
      </c>
      <c r="BI30" s="241">
        <f t="shared" si="17"/>
        <v>0</v>
      </c>
      <c r="BL30" s="241">
        <f t="shared" si="18"/>
        <v>0</v>
      </c>
      <c r="BO30" s="241">
        <f t="shared" si="19"/>
        <v>0</v>
      </c>
      <c r="BR30" s="241">
        <f t="shared" si="20"/>
        <v>0</v>
      </c>
      <c r="BU30" s="241">
        <f t="shared" si="21"/>
        <v>0</v>
      </c>
      <c r="BX30" s="241">
        <f t="shared" si="22"/>
        <v>0</v>
      </c>
      <c r="CA30" s="241">
        <f t="shared" si="23"/>
        <v>0</v>
      </c>
      <c r="CD30" s="241">
        <f t="shared" si="24"/>
        <v>0</v>
      </c>
      <c r="CG30" s="241">
        <f t="shared" si="25"/>
        <v>0</v>
      </c>
      <c r="CJ30" s="241">
        <f t="shared" si="26"/>
        <v>0</v>
      </c>
      <c r="CM30" s="241">
        <f t="shared" si="27"/>
        <v>0</v>
      </c>
      <c r="CP30" s="241">
        <f t="shared" si="28"/>
        <v>0</v>
      </c>
      <c r="CS30" s="241">
        <f t="shared" si="29"/>
        <v>0</v>
      </c>
      <c r="CV30" s="241">
        <f t="shared" si="30"/>
        <v>0</v>
      </c>
      <c r="CY30" s="241">
        <f t="shared" si="31"/>
        <v>0</v>
      </c>
      <c r="DB30" s="241">
        <f t="shared" si="32"/>
        <v>0</v>
      </c>
      <c r="DE30" s="241">
        <f t="shared" si="33"/>
        <v>0</v>
      </c>
      <c r="DH30" s="241">
        <f t="shared" si="34"/>
        <v>0</v>
      </c>
      <c r="DK30" s="241">
        <f t="shared" si="35"/>
        <v>0</v>
      </c>
      <c r="DN30" s="241">
        <f t="shared" si="36"/>
        <v>0</v>
      </c>
      <c r="DQ30" s="241">
        <f t="shared" si="37"/>
        <v>0</v>
      </c>
      <c r="DT30" s="241">
        <f t="shared" si="38"/>
        <v>0</v>
      </c>
      <c r="DW30" s="241">
        <f t="shared" si="39"/>
        <v>0</v>
      </c>
      <c r="DZ30" s="241"/>
      <c r="EA30" s="241"/>
      <c r="EB30" s="261">
        <f t="shared" si="40"/>
        <v>82225000</v>
      </c>
      <c r="EC30" s="261">
        <f t="shared" si="41"/>
        <v>0</v>
      </c>
      <c r="ED30" s="241">
        <f t="shared" si="42"/>
        <v>10438.006944444445</v>
      </c>
      <c r="EE30" s="242">
        <f t="shared" si="43"/>
        <v>4.5699999999999998E-2</v>
      </c>
      <c r="EG30" s="261">
        <f t="shared" si="44"/>
        <v>0</v>
      </c>
      <c r="EH30" s="241">
        <f t="shared" si="45"/>
        <v>0</v>
      </c>
      <c r="EI30" s="242">
        <f t="shared" si="46"/>
        <v>0</v>
      </c>
      <c r="EJ30" s="242"/>
      <c r="EK30" s="261">
        <f t="shared" si="47"/>
        <v>82225000</v>
      </c>
      <c r="EL30" s="261">
        <f t="shared" si="48"/>
        <v>0</v>
      </c>
      <c r="EM30" s="261">
        <f t="shared" si="49"/>
        <v>10438.006944444445</v>
      </c>
      <c r="EN30" s="242">
        <f t="shared" si="50"/>
        <v>4.5699999999999998E-2</v>
      </c>
      <c r="EP30" s="241"/>
    </row>
    <row r="31" spans="1:146" x14ac:dyDescent="0.25">
      <c r="A31" s="255">
        <f t="shared" si="51"/>
        <v>45798</v>
      </c>
      <c r="B31" s="241">
        <v>0</v>
      </c>
      <c r="C31" s="242">
        <v>4.6724170000000002E-2</v>
      </c>
      <c r="D31" s="241">
        <f t="shared" si="0"/>
        <v>0</v>
      </c>
      <c r="G31" s="241">
        <f t="shared" si="1"/>
        <v>0</v>
      </c>
      <c r="J31" s="241">
        <f t="shared" si="2"/>
        <v>0</v>
      </c>
      <c r="M31" s="241">
        <f t="shared" si="3"/>
        <v>0</v>
      </c>
      <c r="P31" s="241">
        <f t="shared" si="4"/>
        <v>0</v>
      </c>
      <c r="S31" s="241">
        <f t="shared" si="5"/>
        <v>0</v>
      </c>
      <c r="V31" s="241">
        <f t="shared" si="6"/>
        <v>0</v>
      </c>
      <c r="Y31" s="241">
        <f t="shared" si="7"/>
        <v>0</v>
      </c>
      <c r="AB31" s="241">
        <f t="shared" si="8"/>
        <v>0</v>
      </c>
      <c r="AE31" s="241">
        <v>0</v>
      </c>
      <c r="AH31" s="241">
        <v>0</v>
      </c>
      <c r="AI31" s="256">
        <f>17500000</f>
        <v>17500000</v>
      </c>
      <c r="AJ31" s="257">
        <v>4.5699999999999998E-2</v>
      </c>
      <c r="AK31" s="241">
        <f t="shared" si="9"/>
        <v>2221.5277777777778</v>
      </c>
      <c r="AL31" s="256"/>
      <c r="AM31" s="257"/>
      <c r="AN31" s="241">
        <f t="shared" si="10"/>
        <v>0</v>
      </c>
      <c r="AO31" s="256"/>
      <c r="AP31" s="257"/>
      <c r="AQ31" s="241">
        <f t="shared" si="11"/>
        <v>0</v>
      </c>
      <c r="AR31" s="256"/>
      <c r="AS31" s="257"/>
      <c r="AT31" s="241">
        <f t="shared" si="12"/>
        <v>0</v>
      </c>
      <c r="AW31" s="241">
        <f t="shared" si="13"/>
        <v>0</v>
      </c>
      <c r="AZ31" s="241">
        <f t="shared" si="14"/>
        <v>0</v>
      </c>
      <c r="BC31" s="241">
        <f t="shared" si="15"/>
        <v>0</v>
      </c>
      <c r="BF31" s="241">
        <f t="shared" si="16"/>
        <v>0</v>
      </c>
      <c r="BI31" s="241">
        <f t="shared" si="17"/>
        <v>0</v>
      </c>
      <c r="BL31" s="241">
        <f t="shared" si="18"/>
        <v>0</v>
      </c>
      <c r="BO31" s="241">
        <f t="shared" si="19"/>
        <v>0</v>
      </c>
      <c r="BR31" s="241">
        <f t="shared" si="20"/>
        <v>0</v>
      </c>
      <c r="BU31" s="241">
        <f t="shared" si="21"/>
        <v>0</v>
      </c>
      <c r="BX31" s="241">
        <f t="shared" si="22"/>
        <v>0</v>
      </c>
      <c r="CA31" s="241">
        <f t="shared" si="23"/>
        <v>0</v>
      </c>
      <c r="CD31" s="241">
        <f t="shared" si="24"/>
        <v>0</v>
      </c>
      <c r="CG31" s="241">
        <f t="shared" si="25"/>
        <v>0</v>
      </c>
      <c r="CJ31" s="241">
        <f t="shared" si="26"/>
        <v>0</v>
      </c>
      <c r="CM31" s="241">
        <f t="shared" si="27"/>
        <v>0</v>
      </c>
      <c r="CP31" s="241">
        <f t="shared" si="28"/>
        <v>0</v>
      </c>
      <c r="CS31" s="241">
        <f t="shared" si="29"/>
        <v>0</v>
      </c>
      <c r="CV31" s="241">
        <f t="shared" si="30"/>
        <v>0</v>
      </c>
      <c r="CY31" s="241">
        <f t="shared" si="31"/>
        <v>0</v>
      </c>
      <c r="DB31" s="241">
        <f t="shared" si="32"/>
        <v>0</v>
      </c>
      <c r="DE31" s="241">
        <f t="shared" si="33"/>
        <v>0</v>
      </c>
      <c r="DH31" s="241">
        <f t="shared" si="34"/>
        <v>0</v>
      </c>
      <c r="DK31" s="241">
        <f t="shared" si="35"/>
        <v>0</v>
      </c>
      <c r="DN31" s="241">
        <f t="shared" si="36"/>
        <v>0</v>
      </c>
      <c r="DQ31" s="241">
        <f t="shared" si="37"/>
        <v>0</v>
      </c>
      <c r="DT31" s="241">
        <f t="shared" si="38"/>
        <v>0</v>
      </c>
      <c r="DW31" s="241">
        <f t="shared" si="39"/>
        <v>0</v>
      </c>
      <c r="DZ31" s="241"/>
      <c r="EA31" s="241"/>
      <c r="EB31" s="261">
        <f t="shared" si="40"/>
        <v>17500000</v>
      </c>
      <c r="EC31" s="261">
        <f t="shared" si="41"/>
        <v>0</v>
      </c>
      <c r="ED31" s="241">
        <f t="shared" si="42"/>
        <v>2221.5277777777778</v>
      </c>
      <c r="EE31" s="242">
        <f t="shared" si="43"/>
        <v>4.5699999999999998E-2</v>
      </c>
      <c r="EG31" s="261">
        <f t="shared" si="44"/>
        <v>0</v>
      </c>
      <c r="EH31" s="241">
        <f t="shared" si="45"/>
        <v>0</v>
      </c>
      <c r="EI31" s="242">
        <f t="shared" si="46"/>
        <v>0</v>
      </c>
      <c r="EJ31" s="242"/>
      <c r="EK31" s="261">
        <f t="shared" si="47"/>
        <v>17500000</v>
      </c>
      <c r="EL31" s="261">
        <f t="shared" si="48"/>
        <v>0</v>
      </c>
      <c r="EM31" s="261">
        <f t="shared" si="49"/>
        <v>2221.5277777777778</v>
      </c>
      <c r="EN31" s="242">
        <f t="shared" si="50"/>
        <v>4.5699999999999998E-2</v>
      </c>
      <c r="EP31" s="241"/>
    </row>
    <row r="32" spans="1:146" x14ac:dyDescent="0.25">
      <c r="A32" s="255">
        <f t="shared" si="51"/>
        <v>45799</v>
      </c>
      <c r="B32" s="241">
        <v>0</v>
      </c>
      <c r="C32" s="242">
        <v>4.6720150000000002E-2</v>
      </c>
      <c r="D32" s="241">
        <f t="shared" si="0"/>
        <v>0</v>
      </c>
      <c r="G32" s="241">
        <f t="shared" si="1"/>
        <v>0</v>
      </c>
      <c r="J32" s="241">
        <f t="shared" si="2"/>
        <v>0</v>
      </c>
      <c r="M32" s="241">
        <f t="shared" si="3"/>
        <v>0</v>
      </c>
      <c r="P32" s="241">
        <f t="shared" si="4"/>
        <v>0</v>
      </c>
      <c r="S32" s="241">
        <f t="shared" si="5"/>
        <v>0</v>
      </c>
      <c r="V32" s="241">
        <f t="shared" si="6"/>
        <v>0</v>
      </c>
      <c r="Y32" s="241">
        <f t="shared" si="7"/>
        <v>0</v>
      </c>
      <c r="AB32" s="241">
        <f t="shared" si="8"/>
        <v>0</v>
      </c>
      <c r="AE32" s="241">
        <v>0</v>
      </c>
      <c r="AH32" s="241">
        <v>0</v>
      </c>
      <c r="AI32" s="256">
        <f>16550000</f>
        <v>16550000</v>
      </c>
      <c r="AJ32" s="257">
        <v>4.5699999999999998E-2</v>
      </c>
      <c r="AK32" s="241">
        <f t="shared" si="9"/>
        <v>2100.9305555555557</v>
      </c>
      <c r="AL32" s="256"/>
      <c r="AM32" s="257"/>
      <c r="AN32" s="241">
        <f t="shared" si="10"/>
        <v>0</v>
      </c>
      <c r="AO32" s="256"/>
      <c r="AP32" s="257"/>
      <c r="AQ32" s="241">
        <f t="shared" si="11"/>
        <v>0</v>
      </c>
      <c r="AR32" s="256"/>
      <c r="AS32" s="257"/>
      <c r="AT32" s="241">
        <f t="shared" si="12"/>
        <v>0</v>
      </c>
      <c r="AW32" s="241">
        <f t="shared" si="13"/>
        <v>0</v>
      </c>
      <c r="AZ32" s="241">
        <f t="shared" si="14"/>
        <v>0</v>
      </c>
      <c r="BC32" s="241">
        <f t="shared" si="15"/>
        <v>0</v>
      </c>
      <c r="BF32" s="241">
        <f t="shared" si="16"/>
        <v>0</v>
      </c>
      <c r="BI32" s="241">
        <f t="shared" si="17"/>
        <v>0</v>
      </c>
      <c r="BL32" s="241">
        <f t="shared" si="18"/>
        <v>0</v>
      </c>
      <c r="BO32" s="241">
        <f t="shared" si="19"/>
        <v>0</v>
      </c>
      <c r="BR32" s="241">
        <f t="shared" si="20"/>
        <v>0</v>
      </c>
      <c r="BU32" s="241">
        <f t="shared" si="21"/>
        <v>0</v>
      </c>
      <c r="BX32" s="241">
        <f t="shared" si="22"/>
        <v>0</v>
      </c>
      <c r="CA32" s="241">
        <f t="shared" si="23"/>
        <v>0</v>
      </c>
      <c r="CD32" s="241">
        <f t="shared" si="24"/>
        <v>0</v>
      </c>
      <c r="CG32" s="241">
        <f t="shared" si="25"/>
        <v>0</v>
      </c>
      <c r="CJ32" s="241">
        <f t="shared" si="26"/>
        <v>0</v>
      </c>
      <c r="CM32" s="241">
        <f t="shared" si="27"/>
        <v>0</v>
      </c>
      <c r="CP32" s="241">
        <f t="shared" si="28"/>
        <v>0</v>
      </c>
      <c r="CS32" s="241">
        <f t="shared" si="29"/>
        <v>0</v>
      </c>
      <c r="CV32" s="241">
        <f t="shared" si="30"/>
        <v>0</v>
      </c>
      <c r="CY32" s="241">
        <f t="shared" si="31"/>
        <v>0</v>
      </c>
      <c r="DB32" s="241">
        <f t="shared" si="32"/>
        <v>0</v>
      </c>
      <c r="DE32" s="241">
        <f t="shared" si="33"/>
        <v>0</v>
      </c>
      <c r="DH32" s="241">
        <f t="shared" si="34"/>
        <v>0</v>
      </c>
      <c r="DK32" s="241">
        <f t="shared" si="35"/>
        <v>0</v>
      </c>
      <c r="DN32" s="241">
        <f t="shared" si="36"/>
        <v>0</v>
      </c>
      <c r="DQ32" s="241">
        <f t="shared" si="37"/>
        <v>0</v>
      </c>
      <c r="DT32" s="241">
        <f t="shared" si="38"/>
        <v>0</v>
      </c>
      <c r="DW32" s="241">
        <f t="shared" si="39"/>
        <v>0</v>
      </c>
      <c r="DZ32" s="241"/>
      <c r="EA32" s="241"/>
      <c r="EB32" s="261">
        <f t="shared" si="40"/>
        <v>16550000</v>
      </c>
      <c r="EC32" s="261">
        <f t="shared" si="41"/>
        <v>0</v>
      </c>
      <c r="ED32" s="241">
        <f t="shared" si="42"/>
        <v>2100.9305555555557</v>
      </c>
      <c r="EE32" s="242">
        <f t="shared" si="43"/>
        <v>4.5699999999999998E-2</v>
      </c>
      <c r="EG32" s="261">
        <f t="shared" si="44"/>
        <v>0</v>
      </c>
      <c r="EH32" s="241">
        <f t="shared" si="45"/>
        <v>0</v>
      </c>
      <c r="EI32" s="242">
        <f t="shared" si="46"/>
        <v>0</v>
      </c>
      <c r="EJ32" s="242"/>
      <c r="EK32" s="261">
        <f t="shared" si="47"/>
        <v>16550000</v>
      </c>
      <c r="EL32" s="261">
        <f t="shared" si="48"/>
        <v>0</v>
      </c>
      <c r="EM32" s="261">
        <f t="shared" si="49"/>
        <v>2100.9305555555557</v>
      </c>
      <c r="EN32" s="242">
        <f t="shared" si="50"/>
        <v>4.5699999999999998E-2</v>
      </c>
      <c r="EP32" s="241"/>
    </row>
    <row r="33" spans="1:146" x14ac:dyDescent="0.25">
      <c r="A33" s="255">
        <f t="shared" si="51"/>
        <v>45800</v>
      </c>
      <c r="B33" s="241">
        <v>0</v>
      </c>
      <c r="C33" s="242">
        <v>4.6733419999999998E-2</v>
      </c>
      <c r="D33" s="241">
        <f t="shared" si="0"/>
        <v>0</v>
      </c>
      <c r="G33" s="241">
        <f t="shared" si="1"/>
        <v>0</v>
      </c>
      <c r="J33" s="241">
        <f t="shared" si="2"/>
        <v>0</v>
      </c>
      <c r="M33" s="241">
        <f t="shared" si="3"/>
        <v>0</v>
      </c>
      <c r="P33" s="241">
        <f t="shared" si="4"/>
        <v>0</v>
      </c>
      <c r="S33" s="241">
        <f t="shared" si="5"/>
        <v>0</v>
      </c>
      <c r="V33" s="241">
        <f t="shared" si="6"/>
        <v>0</v>
      </c>
      <c r="Y33" s="241">
        <f t="shared" si="7"/>
        <v>0</v>
      </c>
      <c r="AB33" s="241">
        <f t="shared" si="8"/>
        <v>0</v>
      </c>
      <c r="AE33" s="241">
        <v>0</v>
      </c>
      <c r="AH33" s="241">
        <v>0</v>
      </c>
      <c r="AI33" s="256">
        <f>25900000</f>
        <v>25900000</v>
      </c>
      <c r="AJ33" s="257">
        <v>4.5699999999999998E-2</v>
      </c>
      <c r="AK33" s="241">
        <f t="shared" si="9"/>
        <v>3287.8611111111113</v>
      </c>
      <c r="AL33" s="256"/>
      <c r="AM33" s="257"/>
      <c r="AN33" s="241">
        <f t="shared" si="10"/>
        <v>0</v>
      </c>
      <c r="AO33" s="256"/>
      <c r="AP33" s="257"/>
      <c r="AQ33" s="241">
        <f t="shared" si="11"/>
        <v>0</v>
      </c>
      <c r="AR33" s="256"/>
      <c r="AS33" s="257"/>
      <c r="AT33" s="241">
        <f t="shared" si="12"/>
        <v>0</v>
      </c>
      <c r="AW33" s="241">
        <f t="shared" si="13"/>
        <v>0</v>
      </c>
      <c r="AZ33" s="241">
        <f t="shared" si="14"/>
        <v>0</v>
      </c>
      <c r="BC33" s="241">
        <f t="shared" si="15"/>
        <v>0</v>
      </c>
      <c r="BF33" s="241">
        <f t="shared" si="16"/>
        <v>0</v>
      </c>
      <c r="BI33" s="241">
        <f t="shared" si="17"/>
        <v>0</v>
      </c>
      <c r="BL33" s="241">
        <f t="shared" si="18"/>
        <v>0</v>
      </c>
      <c r="BO33" s="241">
        <f t="shared" si="19"/>
        <v>0</v>
      </c>
      <c r="BR33" s="241">
        <f t="shared" si="20"/>
        <v>0</v>
      </c>
      <c r="BU33" s="241">
        <f t="shared" si="21"/>
        <v>0</v>
      </c>
      <c r="BX33" s="241">
        <f t="shared" si="22"/>
        <v>0</v>
      </c>
      <c r="CA33" s="241">
        <f t="shared" si="23"/>
        <v>0</v>
      </c>
      <c r="CD33" s="241">
        <f t="shared" si="24"/>
        <v>0</v>
      </c>
      <c r="CG33" s="241">
        <f t="shared" si="25"/>
        <v>0</v>
      </c>
      <c r="CJ33" s="241">
        <f t="shared" si="26"/>
        <v>0</v>
      </c>
      <c r="CM33" s="241">
        <f t="shared" si="27"/>
        <v>0</v>
      </c>
      <c r="CP33" s="241">
        <f t="shared" si="28"/>
        <v>0</v>
      </c>
      <c r="CS33" s="241">
        <f t="shared" si="29"/>
        <v>0</v>
      </c>
      <c r="CV33" s="241">
        <f t="shared" si="30"/>
        <v>0</v>
      </c>
      <c r="CY33" s="241">
        <f t="shared" si="31"/>
        <v>0</v>
      </c>
      <c r="DB33" s="241">
        <f t="shared" si="32"/>
        <v>0</v>
      </c>
      <c r="DE33" s="241">
        <f t="shared" si="33"/>
        <v>0</v>
      </c>
      <c r="DH33" s="241">
        <f t="shared" si="34"/>
        <v>0</v>
      </c>
      <c r="DK33" s="241">
        <f t="shared" si="35"/>
        <v>0</v>
      </c>
      <c r="DN33" s="241">
        <f t="shared" si="36"/>
        <v>0</v>
      </c>
      <c r="DQ33" s="241">
        <f t="shared" si="37"/>
        <v>0</v>
      </c>
      <c r="DT33" s="241">
        <f t="shared" si="38"/>
        <v>0</v>
      </c>
      <c r="DW33" s="241">
        <f t="shared" si="39"/>
        <v>0</v>
      </c>
      <c r="DZ33" s="241"/>
      <c r="EA33" s="241"/>
      <c r="EB33" s="261">
        <f t="shared" si="40"/>
        <v>25900000</v>
      </c>
      <c r="EC33" s="261">
        <f t="shared" si="41"/>
        <v>0</v>
      </c>
      <c r="ED33" s="241">
        <f t="shared" si="42"/>
        <v>3287.8611111111113</v>
      </c>
      <c r="EE33" s="242">
        <f t="shared" si="43"/>
        <v>4.5699999999999998E-2</v>
      </c>
      <c r="EG33" s="261">
        <f t="shared" si="44"/>
        <v>0</v>
      </c>
      <c r="EH33" s="241">
        <f t="shared" si="45"/>
        <v>0</v>
      </c>
      <c r="EI33" s="242">
        <f t="shared" si="46"/>
        <v>0</v>
      </c>
      <c r="EJ33" s="242"/>
      <c r="EK33" s="261">
        <f t="shared" si="47"/>
        <v>25900000</v>
      </c>
      <c r="EL33" s="261">
        <f t="shared" si="48"/>
        <v>0</v>
      </c>
      <c r="EM33" s="261">
        <f t="shared" si="49"/>
        <v>3287.8611111111113</v>
      </c>
      <c r="EN33" s="242">
        <f t="shared" si="50"/>
        <v>4.5699999999999998E-2</v>
      </c>
      <c r="EP33" s="241"/>
    </row>
    <row r="34" spans="1:146" x14ac:dyDescent="0.25">
      <c r="A34" s="255">
        <f t="shared" si="51"/>
        <v>45801</v>
      </c>
      <c r="B34" s="241">
        <v>0</v>
      </c>
      <c r="C34" s="242">
        <v>4.6733419999999998E-2</v>
      </c>
      <c r="D34" s="241">
        <f t="shared" si="0"/>
        <v>0</v>
      </c>
      <c r="G34" s="241">
        <f t="shared" si="1"/>
        <v>0</v>
      </c>
      <c r="J34" s="241">
        <f t="shared" si="2"/>
        <v>0</v>
      </c>
      <c r="M34" s="241">
        <f t="shared" si="3"/>
        <v>0</v>
      </c>
      <c r="P34" s="241">
        <f t="shared" si="4"/>
        <v>0</v>
      </c>
      <c r="S34" s="241">
        <f t="shared" si="5"/>
        <v>0</v>
      </c>
      <c r="V34" s="241">
        <f t="shared" si="6"/>
        <v>0</v>
      </c>
      <c r="Y34" s="241">
        <f t="shared" si="7"/>
        <v>0</v>
      </c>
      <c r="AB34" s="241">
        <f t="shared" si="8"/>
        <v>0</v>
      </c>
      <c r="AE34" s="241">
        <v>0</v>
      </c>
      <c r="AH34" s="241">
        <v>0</v>
      </c>
      <c r="AI34" s="256">
        <f>25900000</f>
        <v>25900000</v>
      </c>
      <c r="AJ34" s="257">
        <v>4.5699999999999998E-2</v>
      </c>
      <c r="AK34" s="241">
        <f t="shared" si="9"/>
        <v>3287.8611111111113</v>
      </c>
      <c r="AL34" s="256"/>
      <c r="AM34" s="257"/>
      <c r="AN34" s="241">
        <f t="shared" si="10"/>
        <v>0</v>
      </c>
      <c r="AO34" s="256"/>
      <c r="AP34" s="257"/>
      <c r="AQ34" s="241">
        <f t="shared" si="11"/>
        <v>0</v>
      </c>
      <c r="AR34" s="256"/>
      <c r="AS34" s="257"/>
      <c r="AT34" s="241">
        <f t="shared" si="12"/>
        <v>0</v>
      </c>
      <c r="AW34" s="241">
        <f t="shared" si="13"/>
        <v>0</v>
      </c>
      <c r="AZ34" s="241">
        <f t="shared" si="14"/>
        <v>0</v>
      </c>
      <c r="BC34" s="241">
        <f t="shared" si="15"/>
        <v>0</v>
      </c>
      <c r="BF34" s="241">
        <f t="shared" si="16"/>
        <v>0</v>
      </c>
      <c r="BI34" s="241">
        <f t="shared" si="17"/>
        <v>0</v>
      </c>
      <c r="BL34" s="241">
        <f t="shared" si="18"/>
        <v>0</v>
      </c>
      <c r="BO34" s="241">
        <f t="shared" si="19"/>
        <v>0</v>
      </c>
      <c r="BR34" s="241">
        <f t="shared" si="20"/>
        <v>0</v>
      </c>
      <c r="BU34" s="241">
        <f t="shared" si="21"/>
        <v>0</v>
      </c>
      <c r="BX34" s="241">
        <f t="shared" si="22"/>
        <v>0</v>
      </c>
      <c r="CA34" s="241">
        <f t="shared" si="23"/>
        <v>0</v>
      </c>
      <c r="CD34" s="241">
        <f t="shared" si="24"/>
        <v>0</v>
      </c>
      <c r="CG34" s="241">
        <f t="shared" si="25"/>
        <v>0</v>
      </c>
      <c r="CJ34" s="241">
        <f t="shared" si="26"/>
        <v>0</v>
      </c>
      <c r="CM34" s="241">
        <f t="shared" si="27"/>
        <v>0</v>
      </c>
      <c r="CP34" s="241">
        <f t="shared" si="28"/>
        <v>0</v>
      </c>
      <c r="CS34" s="241">
        <f t="shared" si="29"/>
        <v>0</v>
      </c>
      <c r="CV34" s="241">
        <f t="shared" si="30"/>
        <v>0</v>
      </c>
      <c r="CY34" s="241">
        <f t="shared" si="31"/>
        <v>0</v>
      </c>
      <c r="DB34" s="241">
        <f t="shared" si="32"/>
        <v>0</v>
      </c>
      <c r="DE34" s="241">
        <f t="shared" si="33"/>
        <v>0</v>
      </c>
      <c r="DH34" s="241">
        <f t="shared" si="34"/>
        <v>0</v>
      </c>
      <c r="DK34" s="241">
        <f t="shared" si="35"/>
        <v>0</v>
      </c>
      <c r="DN34" s="241">
        <f t="shared" si="36"/>
        <v>0</v>
      </c>
      <c r="DQ34" s="241">
        <f t="shared" si="37"/>
        <v>0</v>
      </c>
      <c r="DT34" s="241">
        <f t="shared" si="38"/>
        <v>0</v>
      </c>
      <c r="DW34" s="241">
        <f t="shared" si="39"/>
        <v>0</v>
      </c>
      <c r="DZ34" s="241"/>
      <c r="EA34" s="241"/>
      <c r="EB34" s="261">
        <f t="shared" si="40"/>
        <v>25900000</v>
      </c>
      <c r="EC34" s="261">
        <f t="shared" si="41"/>
        <v>0</v>
      </c>
      <c r="ED34" s="241">
        <f t="shared" si="42"/>
        <v>3287.8611111111113</v>
      </c>
      <c r="EE34" s="242">
        <f t="shared" si="43"/>
        <v>4.5699999999999998E-2</v>
      </c>
      <c r="EG34" s="261">
        <f t="shared" si="44"/>
        <v>0</v>
      </c>
      <c r="EH34" s="241">
        <f t="shared" si="45"/>
        <v>0</v>
      </c>
      <c r="EI34" s="242">
        <f t="shared" si="46"/>
        <v>0</v>
      </c>
      <c r="EJ34" s="242"/>
      <c r="EK34" s="261">
        <f t="shared" si="47"/>
        <v>25900000</v>
      </c>
      <c r="EL34" s="261">
        <f t="shared" si="48"/>
        <v>0</v>
      </c>
      <c r="EM34" s="261">
        <f t="shared" si="49"/>
        <v>3287.8611111111113</v>
      </c>
      <c r="EN34" s="242">
        <f t="shared" si="50"/>
        <v>4.5699999999999998E-2</v>
      </c>
      <c r="EP34" s="241"/>
    </row>
    <row r="35" spans="1:146" x14ac:dyDescent="0.25">
      <c r="A35" s="255">
        <f t="shared" si="51"/>
        <v>45802</v>
      </c>
      <c r="B35" s="241">
        <v>0</v>
      </c>
      <c r="C35" s="242">
        <v>4.6733419999999998E-2</v>
      </c>
      <c r="D35" s="241">
        <f t="shared" si="0"/>
        <v>0</v>
      </c>
      <c r="G35" s="241">
        <f t="shared" si="1"/>
        <v>0</v>
      </c>
      <c r="J35" s="241">
        <f t="shared" si="2"/>
        <v>0</v>
      </c>
      <c r="M35" s="241">
        <f t="shared" si="3"/>
        <v>0</v>
      </c>
      <c r="P35" s="241">
        <f t="shared" si="4"/>
        <v>0</v>
      </c>
      <c r="S35" s="241">
        <f t="shared" si="5"/>
        <v>0</v>
      </c>
      <c r="V35" s="241">
        <f t="shared" si="6"/>
        <v>0</v>
      </c>
      <c r="Y35" s="241">
        <f t="shared" si="7"/>
        <v>0</v>
      </c>
      <c r="AB35" s="241">
        <f t="shared" si="8"/>
        <v>0</v>
      </c>
      <c r="AE35" s="241">
        <v>0</v>
      </c>
      <c r="AH35" s="241">
        <v>0</v>
      </c>
      <c r="AI35" s="256">
        <f>25900000</f>
        <v>25900000</v>
      </c>
      <c r="AJ35" s="257">
        <v>4.5699999999999998E-2</v>
      </c>
      <c r="AK35" s="241">
        <f t="shared" si="9"/>
        <v>3287.8611111111113</v>
      </c>
      <c r="AL35" s="256"/>
      <c r="AM35" s="257"/>
      <c r="AN35" s="241">
        <f t="shared" si="10"/>
        <v>0</v>
      </c>
      <c r="AO35" s="256"/>
      <c r="AP35" s="257"/>
      <c r="AQ35" s="241">
        <f t="shared" si="11"/>
        <v>0</v>
      </c>
      <c r="AR35" s="256"/>
      <c r="AS35" s="257"/>
      <c r="AT35" s="241">
        <f t="shared" si="12"/>
        <v>0</v>
      </c>
      <c r="AW35" s="241">
        <f t="shared" si="13"/>
        <v>0</v>
      </c>
      <c r="AZ35" s="241">
        <f t="shared" si="14"/>
        <v>0</v>
      </c>
      <c r="BC35" s="241">
        <f t="shared" si="15"/>
        <v>0</v>
      </c>
      <c r="BF35" s="241">
        <f t="shared" si="16"/>
        <v>0</v>
      </c>
      <c r="BI35" s="241">
        <f t="shared" si="17"/>
        <v>0</v>
      </c>
      <c r="BL35" s="241">
        <f t="shared" si="18"/>
        <v>0</v>
      </c>
      <c r="BO35" s="241">
        <f t="shared" si="19"/>
        <v>0</v>
      </c>
      <c r="BR35" s="241">
        <f t="shared" si="20"/>
        <v>0</v>
      </c>
      <c r="BU35" s="241">
        <f t="shared" si="21"/>
        <v>0</v>
      </c>
      <c r="BX35" s="241">
        <f t="shared" si="22"/>
        <v>0</v>
      </c>
      <c r="CA35" s="241">
        <f t="shared" si="23"/>
        <v>0</v>
      </c>
      <c r="CD35" s="241">
        <f t="shared" si="24"/>
        <v>0</v>
      </c>
      <c r="CG35" s="241">
        <f t="shared" si="25"/>
        <v>0</v>
      </c>
      <c r="CJ35" s="241">
        <f t="shared" si="26"/>
        <v>0</v>
      </c>
      <c r="CM35" s="241">
        <f t="shared" si="27"/>
        <v>0</v>
      </c>
      <c r="CP35" s="241">
        <f t="shared" si="28"/>
        <v>0</v>
      </c>
      <c r="CS35" s="241">
        <f t="shared" si="29"/>
        <v>0</v>
      </c>
      <c r="CV35" s="241">
        <f t="shared" si="30"/>
        <v>0</v>
      </c>
      <c r="CY35" s="241">
        <f t="shared" si="31"/>
        <v>0</v>
      </c>
      <c r="DB35" s="241">
        <f t="shared" si="32"/>
        <v>0</v>
      </c>
      <c r="DE35" s="241">
        <f t="shared" si="33"/>
        <v>0</v>
      </c>
      <c r="DH35" s="241">
        <f t="shared" si="34"/>
        <v>0</v>
      </c>
      <c r="DK35" s="241">
        <f t="shared" si="35"/>
        <v>0</v>
      </c>
      <c r="DN35" s="241">
        <f t="shared" si="36"/>
        <v>0</v>
      </c>
      <c r="DQ35" s="241">
        <f t="shared" si="37"/>
        <v>0</v>
      </c>
      <c r="DT35" s="241">
        <f t="shared" si="38"/>
        <v>0</v>
      </c>
      <c r="DW35" s="241">
        <f t="shared" si="39"/>
        <v>0</v>
      </c>
      <c r="DZ35" s="241"/>
      <c r="EA35" s="241"/>
      <c r="EB35" s="261">
        <f t="shared" si="40"/>
        <v>25900000</v>
      </c>
      <c r="EC35" s="261">
        <f t="shared" si="41"/>
        <v>0</v>
      </c>
      <c r="ED35" s="241">
        <f t="shared" si="42"/>
        <v>3287.8611111111113</v>
      </c>
      <c r="EE35" s="242">
        <f t="shared" si="43"/>
        <v>4.5699999999999998E-2</v>
      </c>
      <c r="EG35" s="261">
        <f t="shared" si="44"/>
        <v>0</v>
      </c>
      <c r="EH35" s="241">
        <f t="shared" si="45"/>
        <v>0</v>
      </c>
      <c r="EI35" s="242">
        <f t="shared" si="46"/>
        <v>0</v>
      </c>
      <c r="EJ35" s="242"/>
      <c r="EK35" s="261">
        <f t="shared" si="47"/>
        <v>25900000</v>
      </c>
      <c r="EL35" s="261">
        <f t="shared" si="48"/>
        <v>0</v>
      </c>
      <c r="EM35" s="261">
        <f t="shared" si="49"/>
        <v>3287.8611111111113</v>
      </c>
      <c r="EN35" s="242">
        <f t="shared" si="50"/>
        <v>4.5699999999999998E-2</v>
      </c>
      <c r="EP35" s="241"/>
    </row>
    <row r="36" spans="1:146" x14ac:dyDescent="0.25">
      <c r="A36" s="255">
        <f t="shared" si="51"/>
        <v>45803</v>
      </c>
      <c r="B36" s="241">
        <v>0</v>
      </c>
      <c r="C36" s="242">
        <v>4.6733419999999998E-2</v>
      </c>
      <c r="D36" s="241">
        <f t="shared" si="0"/>
        <v>0</v>
      </c>
      <c r="G36" s="241">
        <f t="shared" si="1"/>
        <v>0</v>
      </c>
      <c r="J36" s="241">
        <f t="shared" si="2"/>
        <v>0</v>
      </c>
      <c r="M36" s="241">
        <f t="shared" si="3"/>
        <v>0</v>
      </c>
      <c r="P36" s="241">
        <f t="shared" si="4"/>
        <v>0</v>
      </c>
      <c r="S36" s="241">
        <f t="shared" si="5"/>
        <v>0</v>
      </c>
      <c r="V36" s="241">
        <f t="shared" si="6"/>
        <v>0</v>
      </c>
      <c r="Y36" s="241">
        <f t="shared" si="7"/>
        <v>0</v>
      </c>
      <c r="AB36" s="241">
        <f t="shared" si="8"/>
        <v>0</v>
      </c>
      <c r="AE36" s="241">
        <v>0</v>
      </c>
      <c r="AH36" s="241">
        <v>0</v>
      </c>
      <c r="AI36" s="256">
        <f>25900000</f>
        <v>25900000</v>
      </c>
      <c r="AJ36" s="257">
        <v>4.5699999999999998E-2</v>
      </c>
      <c r="AK36" s="241">
        <f t="shared" si="9"/>
        <v>3287.8611111111113</v>
      </c>
      <c r="AL36" s="256"/>
      <c r="AM36" s="257"/>
      <c r="AN36" s="241">
        <f t="shared" si="10"/>
        <v>0</v>
      </c>
      <c r="AO36" s="256"/>
      <c r="AP36" s="257"/>
      <c r="AQ36" s="241">
        <f t="shared" si="11"/>
        <v>0</v>
      </c>
      <c r="AR36" s="256"/>
      <c r="AS36" s="257"/>
      <c r="AT36" s="241">
        <f t="shared" si="12"/>
        <v>0</v>
      </c>
      <c r="AW36" s="241">
        <f t="shared" si="13"/>
        <v>0</v>
      </c>
      <c r="AZ36" s="241">
        <f t="shared" si="14"/>
        <v>0</v>
      </c>
      <c r="BC36" s="241">
        <f t="shared" si="15"/>
        <v>0</v>
      </c>
      <c r="BF36" s="241">
        <f t="shared" si="16"/>
        <v>0</v>
      </c>
      <c r="BI36" s="241">
        <f t="shared" si="17"/>
        <v>0</v>
      </c>
      <c r="BL36" s="241">
        <f t="shared" si="18"/>
        <v>0</v>
      </c>
      <c r="BO36" s="241">
        <f t="shared" si="19"/>
        <v>0</v>
      </c>
      <c r="BR36" s="241">
        <f t="shared" si="20"/>
        <v>0</v>
      </c>
      <c r="BU36" s="241">
        <f t="shared" si="21"/>
        <v>0</v>
      </c>
      <c r="BX36" s="241">
        <f t="shared" si="22"/>
        <v>0</v>
      </c>
      <c r="CA36" s="241">
        <f t="shared" si="23"/>
        <v>0</v>
      </c>
      <c r="CD36" s="241">
        <f t="shared" si="24"/>
        <v>0</v>
      </c>
      <c r="CG36" s="241">
        <f t="shared" si="25"/>
        <v>0</v>
      </c>
      <c r="CJ36" s="241">
        <f t="shared" si="26"/>
        <v>0</v>
      </c>
      <c r="CM36" s="241">
        <f t="shared" si="27"/>
        <v>0</v>
      </c>
      <c r="CP36" s="241">
        <f t="shared" si="28"/>
        <v>0</v>
      </c>
      <c r="CS36" s="241">
        <f t="shared" si="29"/>
        <v>0</v>
      </c>
      <c r="CV36" s="241">
        <f t="shared" si="30"/>
        <v>0</v>
      </c>
      <c r="CY36" s="241">
        <f t="shared" si="31"/>
        <v>0</v>
      </c>
      <c r="DB36" s="241">
        <f t="shared" si="32"/>
        <v>0</v>
      </c>
      <c r="DE36" s="241">
        <f t="shared" si="33"/>
        <v>0</v>
      </c>
      <c r="DH36" s="241">
        <f t="shared" si="34"/>
        <v>0</v>
      </c>
      <c r="DK36" s="241">
        <f t="shared" si="35"/>
        <v>0</v>
      </c>
      <c r="DN36" s="241">
        <f t="shared" si="36"/>
        <v>0</v>
      </c>
      <c r="DQ36" s="241">
        <f t="shared" si="37"/>
        <v>0</v>
      </c>
      <c r="DT36" s="241">
        <f t="shared" si="38"/>
        <v>0</v>
      </c>
      <c r="DW36" s="241">
        <f t="shared" si="39"/>
        <v>0</v>
      </c>
      <c r="DZ36" s="241"/>
      <c r="EA36" s="241"/>
      <c r="EB36" s="261">
        <f t="shared" si="40"/>
        <v>25900000</v>
      </c>
      <c r="EC36" s="261">
        <f t="shared" si="41"/>
        <v>0</v>
      </c>
      <c r="ED36" s="241">
        <f t="shared" si="42"/>
        <v>3287.8611111111113</v>
      </c>
      <c r="EE36" s="242">
        <f t="shared" si="43"/>
        <v>4.5699999999999998E-2</v>
      </c>
      <c r="EG36" s="261">
        <f t="shared" si="44"/>
        <v>0</v>
      </c>
      <c r="EH36" s="241">
        <f t="shared" si="45"/>
        <v>0</v>
      </c>
      <c r="EI36" s="242">
        <f t="shared" si="46"/>
        <v>0</v>
      </c>
      <c r="EJ36" s="242"/>
      <c r="EK36" s="261">
        <f t="shared" si="47"/>
        <v>25900000</v>
      </c>
      <c r="EL36" s="261">
        <f t="shared" si="48"/>
        <v>0</v>
      </c>
      <c r="EM36" s="261">
        <f t="shared" si="49"/>
        <v>3287.8611111111113</v>
      </c>
      <c r="EN36" s="242">
        <f t="shared" si="50"/>
        <v>4.5699999999999998E-2</v>
      </c>
      <c r="EP36" s="241"/>
    </row>
    <row r="37" spans="1:146" x14ac:dyDescent="0.25">
      <c r="A37" s="255">
        <f t="shared" si="51"/>
        <v>45804</v>
      </c>
      <c r="B37" s="241">
        <v>675000</v>
      </c>
      <c r="C37" s="242">
        <v>4.6598759999999996E-2</v>
      </c>
      <c r="D37" s="241">
        <f t="shared" si="0"/>
        <v>87.372674999999987</v>
      </c>
      <c r="G37" s="241">
        <f t="shared" si="1"/>
        <v>0</v>
      </c>
      <c r="J37" s="241">
        <f t="shared" si="2"/>
        <v>0</v>
      </c>
      <c r="M37" s="241">
        <f t="shared" si="3"/>
        <v>0</v>
      </c>
      <c r="P37" s="241">
        <f t="shared" si="4"/>
        <v>0</v>
      </c>
      <c r="S37" s="241">
        <f t="shared" si="5"/>
        <v>0</v>
      </c>
      <c r="V37" s="241">
        <f t="shared" si="6"/>
        <v>0</v>
      </c>
      <c r="Y37" s="241">
        <f t="shared" si="7"/>
        <v>0</v>
      </c>
      <c r="AB37" s="241">
        <f t="shared" si="8"/>
        <v>0</v>
      </c>
      <c r="AE37" s="241">
        <v>0</v>
      </c>
      <c r="AH37" s="241">
        <v>0</v>
      </c>
      <c r="AI37" s="256">
        <f>45150000</f>
        <v>45150000</v>
      </c>
      <c r="AJ37" s="257">
        <v>4.5699999999999998E-2</v>
      </c>
      <c r="AK37" s="241">
        <f t="shared" si="9"/>
        <v>5731.541666666667</v>
      </c>
      <c r="AL37" s="256"/>
      <c r="AM37" s="257"/>
      <c r="AN37" s="241">
        <f t="shared" si="10"/>
        <v>0</v>
      </c>
      <c r="AO37" s="256"/>
      <c r="AP37" s="257"/>
      <c r="AQ37" s="241">
        <f t="shared" si="11"/>
        <v>0</v>
      </c>
      <c r="AR37" s="256"/>
      <c r="AS37" s="257"/>
      <c r="AT37" s="241">
        <f t="shared" si="12"/>
        <v>0</v>
      </c>
      <c r="AW37" s="241">
        <f t="shared" si="13"/>
        <v>0</v>
      </c>
      <c r="AZ37" s="241">
        <f t="shared" si="14"/>
        <v>0</v>
      </c>
      <c r="BC37" s="241">
        <f t="shared" si="15"/>
        <v>0</v>
      </c>
      <c r="BF37" s="241">
        <f t="shared" si="16"/>
        <v>0</v>
      </c>
      <c r="BI37" s="241">
        <f t="shared" si="17"/>
        <v>0</v>
      </c>
      <c r="BL37" s="241">
        <f t="shared" si="18"/>
        <v>0</v>
      </c>
      <c r="BO37" s="241">
        <f t="shared" si="19"/>
        <v>0</v>
      </c>
      <c r="BR37" s="241">
        <f t="shared" si="20"/>
        <v>0</v>
      </c>
      <c r="BU37" s="241">
        <f t="shared" si="21"/>
        <v>0</v>
      </c>
      <c r="BX37" s="241">
        <f t="shared" si="22"/>
        <v>0</v>
      </c>
      <c r="CA37" s="241">
        <f t="shared" si="23"/>
        <v>0</v>
      </c>
      <c r="CD37" s="241">
        <f t="shared" si="24"/>
        <v>0</v>
      </c>
      <c r="CG37" s="241">
        <f t="shared" si="25"/>
        <v>0</v>
      </c>
      <c r="CJ37" s="241">
        <f t="shared" si="26"/>
        <v>0</v>
      </c>
      <c r="CM37" s="241">
        <f t="shared" si="27"/>
        <v>0</v>
      </c>
      <c r="CP37" s="241">
        <f t="shared" si="28"/>
        <v>0</v>
      </c>
      <c r="CS37" s="241">
        <f t="shared" si="29"/>
        <v>0</v>
      </c>
      <c r="CV37" s="241">
        <f t="shared" si="30"/>
        <v>0</v>
      </c>
      <c r="CY37" s="241">
        <f t="shared" si="31"/>
        <v>0</v>
      </c>
      <c r="DB37" s="241">
        <f t="shared" si="32"/>
        <v>0</v>
      </c>
      <c r="DE37" s="241">
        <f t="shared" si="33"/>
        <v>0</v>
      </c>
      <c r="DH37" s="241">
        <f t="shared" si="34"/>
        <v>0</v>
      </c>
      <c r="DK37" s="241">
        <f t="shared" si="35"/>
        <v>0</v>
      </c>
      <c r="DN37" s="241">
        <f t="shared" si="36"/>
        <v>0</v>
      </c>
      <c r="DQ37" s="241">
        <f t="shared" si="37"/>
        <v>0</v>
      </c>
      <c r="DT37" s="241">
        <f t="shared" si="38"/>
        <v>0</v>
      </c>
      <c r="DW37" s="241">
        <f t="shared" si="39"/>
        <v>0</v>
      </c>
      <c r="DZ37" s="241"/>
      <c r="EA37" s="241"/>
      <c r="EB37" s="261">
        <f t="shared" si="40"/>
        <v>45825000</v>
      </c>
      <c r="EC37" s="261">
        <f t="shared" si="41"/>
        <v>675000</v>
      </c>
      <c r="ED37" s="241">
        <f t="shared" si="42"/>
        <v>5818.9143416666666</v>
      </c>
      <c r="EE37" s="242">
        <f t="shared" si="43"/>
        <v>4.5713238690671031E-2</v>
      </c>
      <c r="EG37" s="261">
        <f t="shared" si="44"/>
        <v>0</v>
      </c>
      <c r="EH37" s="241">
        <f t="shared" si="45"/>
        <v>0</v>
      </c>
      <c r="EI37" s="242">
        <f t="shared" si="46"/>
        <v>0</v>
      </c>
      <c r="EJ37" s="242"/>
      <c r="EK37" s="261">
        <f t="shared" si="47"/>
        <v>45150000</v>
      </c>
      <c r="EL37" s="261">
        <f t="shared" si="48"/>
        <v>0</v>
      </c>
      <c r="EM37" s="261">
        <f t="shared" si="49"/>
        <v>5731.541666666667</v>
      </c>
      <c r="EN37" s="242">
        <f t="shared" si="50"/>
        <v>4.5699999999999998E-2</v>
      </c>
      <c r="EP37" s="241"/>
    </row>
    <row r="38" spans="1:146" x14ac:dyDescent="0.25">
      <c r="A38" s="255">
        <f t="shared" si="51"/>
        <v>45805</v>
      </c>
      <c r="B38" s="241">
        <v>0</v>
      </c>
      <c r="C38" s="242">
        <v>4.6690880000000004E-2</v>
      </c>
      <c r="D38" s="241">
        <f t="shared" si="0"/>
        <v>0</v>
      </c>
      <c r="G38" s="241">
        <f t="shared" si="1"/>
        <v>0</v>
      </c>
      <c r="J38" s="241">
        <f t="shared" si="2"/>
        <v>0</v>
      </c>
      <c r="M38" s="241">
        <f t="shared" si="3"/>
        <v>0</v>
      </c>
      <c r="P38" s="241">
        <f t="shared" si="4"/>
        <v>0</v>
      </c>
      <c r="S38" s="241">
        <f t="shared" si="5"/>
        <v>0</v>
      </c>
      <c r="V38" s="241">
        <f t="shared" si="6"/>
        <v>0</v>
      </c>
      <c r="Y38" s="241">
        <f t="shared" si="7"/>
        <v>0</v>
      </c>
      <c r="AB38" s="241">
        <f t="shared" si="8"/>
        <v>0</v>
      </c>
      <c r="AE38" s="241">
        <v>0</v>
      </c>
      <c r="AH38" s="241">
        <v>0</v>
      </c>
      <c r="AI38" s="256">
        <f>53800000</f>
        <v>53800000</v>
      </c>
      <c r="AJ38" s="257">
        <v>4.5699999999999998E-2</v>
      </c>
      <c r="AK38" s="241">
        <f t="shared" si="9"/>
        <v>6829.6111111111113</v>
      </c>
      <c r="AL38" s="256"/>
      <c r="AM38" s="257"/>
      <c r="AN38" s="241">
        <f t="shared" si="10"/>
        <v>0</v>
      </c>
      <c r="AO38" s="256"/>
      <c r="AP38" s="257"/>
      <c r="AQ38" s="241">
        <f t="shared" si="11"/>
        <v>0</v>
      </c>
      <c r="AR38" s="256"/>
      <c r="AS38" s="257"/>
      <c r="AT38" s="241">
        <f t="shared" si="12"/>
        <v>0</v>
      </c>
      <c r="AW38" s="241">
        <f t="shared" si="13"/>
        <v>0</v>
      </c>
      <c r="AZ38" s="241">
        <f t="shared" si="14"/>
        <v>0</v>
      </c>
      <c r="BC38" s="241">
        <f t="shared" si="15"/>
        <v>0</v>
      </c>
      <c r="BF38" s="241">
        <f t="shared" si="16"/>
        <v>0</v>
      </c>
      <c r="BI38" s="241">
        <f t="shared" si="17"/>
        <v>0</v>
      </c>
      <c r="BL38" s="241">
        <f t="shared" si="18"/>
        <v>0</v>
      </c>
      <c r="BO38" s="241">
        <f t="shared" si="19"/>
        <v>0</v>
      </c>
      <c r="BR38" s="241">
        <f t="shared" si="20"/>
        <v>0</v>
      </c>
      <c r="BU38" s="241">
        <f t="shared" si="21"/>
        <v>0</v>
      </c>
      <c r="BX38" s="241">
        <f t="shared" si="22"/>
        <v>0</v>
      </c>
      <c r="CA38" s="241">
        <f t="shared" si="23"/>
        <v>0</v>
      </c>
      <c r="CD38" s="241">
        <f t="shared" si="24"/>
        <v>0</v>
      </c>
      <c r="CG38" s="241">
        <f t="shared" si="25"/>
        <v>0</v>
      </c>
      <c r="CJ38" s="241">
        <f t="shared" si="26"/>
        <v>0</v>
      </c>
      <c r="CM38" s="241">
        <f t="shared" si="27"/>
        <v>0</v>
      </c>
      <c r="CP38" s="241">
        <f t="shared" si="28"/>
        <v>0</v>
      </c>
      <c r="CS38" s="241">
        <f t="shared" si="29"/>
        <v>0</v>
      </c>
      <c r="CV38" s="241">
        <f t="shared" si="30"/>
        <v>0</v>
      </c>
      <c r="CY38" s="241">
        <f t="shared" si="31"/>
        <v>0</v>
      </c>
      <c r="DB38" s="241">
        <f t="shared" si="32"/>
        <v>0</v>
      </c>
      <c r="DE38" s="241">
        <f t="shared" si="33"/>
        <v>0</v>
      </c>
      <c r="DH38" s="241">
        <f t="shared" si="34"/>
        <v>0</v>
      </c>
      <c r="DK38" s="241">
        <f t="shared" si="35"/>
        <v>0</v>
      </c>
      <c r="DN38" s="241">
        <f t="shared" si="36"/>
        <v>0</v>
      </c>
      <c r="DQ38" s="241">
        <f t="shared" si="37"/>
        <v>0</v>
      </c>
      <c r="DT38" s="241">
        <f t="shared" si="38"/>
        <v>0</v>
      </c>
      <c r="DW38" s="241">
        <f t="shared" si="39"/>
        <v>0</v>
      </c>
      <c r="DZ38" s="241"/>
      <c r="EA38" s="241"/>
      <c r="EB38" s="261">
        <f t="shared" si="40"/>
        <v>53800000</v>
      </c>
      <c r="EC38" s="261">
        <f t="shared" si="41"/>
        <v>0</v>
      </c>
      <c r="ED38" s="241">
        <f t="shared" si="42"/>
        <v>6829.6111111111113</v>
      </c>
      <c r="EE38" s="242">
        <f t="shared" si="43"/>
        <v>4.5699999999999998E-2</v>
      </c>
      <c r="EG38" s="261">
        <f t="shared" si="44"/>
        <v>0</v>
      </c>
      <c r="EH38" s="241">
        <f t="shared" si="45"/>
        <v>0</v>
      </c>
      <c r="EI38" s="242">
        <f t="shared" si="46"/>
        <v>0</v>
      </c>
      <c r="EJ38" s="242"/>
      <c r="EK38" s="261">
        <f t="shared" si="47"/>
        <v>53800000</v>
      </c>
      <c r="EL38" s="261">
        <f t="shared" si="48"/>
        <v>0</v>
      </c>
      <c r="EM38" s="261">
        <f t="shared" si="49"/>
        <v>6829.6111111111113</v>
      </c>
      <c r="EN38" s="242">
        <f t="shared" si="50"/>
        <v>4.5699999999999998E-2</v>
      </c>
      <c r="EP38" s="241"/>
    </row>
    <row r="39" spans="1:146" x14ac:dyDescent="0.25">
      <c r="A39" s="255">
        <f t="shared" si="51"/>
        <v>45806</v>
      </c>
      <c r="B39" s="241">
        <v>0</v>
      </c>
      <c r="C39" s="242">
        <v>4.666791E-2</v>
      </c>
      <c r="D39" s="241">
        <f t="shared" si="0"/>
        <v>0</v>
      </c>
      <c r="G39" s="241">
        <f t="shared" si="1"/>
        <v>0</v>
      </c>
      <c r="J39" s="241">
        <f t="shared" si="2"/>
        <v>0</v>
      </c>
      <c r="M39" s="241">
        <f t="shared" si="3"/>
        <v>0</v>
      </c>
      <c r="P39" s="241">
        <f t="shared" si="4"/>
        <v>0</v>
      </c>
      <c r="S39" s="241">
        <f t="shared" si="5"/>
        <v>0</v>
      </c>
      <c r="V39" s="241">
        <f t="shared" si="6"/>
        <v>0</v>
      </c>
      <c r="Y39" s="241">
        <f t="shared" si="7"/>
        <v>0</v>
      </c>
      <c r="AB39" s="241">
        <f t="shared" si="8"/>
        <v>0</v>
      </c>
      <c r="AE39" s="241">
        <v>0</v>
      </c>
      <c r="AH39" s="241">
        <v>0</v>
      </c>
      <c r="AI39" s="256">
        <f>61475000</f>
        <v>61475000</v>
      </c>
      <c r="AJ39" s="257">
        <v>4.5699999999999998E-2</v>
      </c>
      <c r="AK39" s="241">
        <f t="shared" si="9"/>
        <v>7803.9097222222226</v>
      </c>
      <c r="AL39" s="256"/>
      <c r="AM39" s="257"/>
      <c r="AN39" s="241">
        <f t="shared" si="10"/>
        <v>0</v>
      </c>
      <c r="AO39" s="256"/>
      <c r="AP39" s="257"/>
      <c r="AQ39" s="241">
        <f t="shared" si="11"/>
        <v>0</v>
      </c>
      <c r="AR39" s="256"/>
      <c r="AS39" s="257"/>
      <c r="AT39" s="241">
        <f t="shared" si="12"/>
        <v>0</v>
      </c>
      <c r="AW39" s="241">
        <f t="shared" si="13"/>
        <v>0</v>
      </c>
      <c r="AZ39" s="241">
        <f t="shared" si="14"/>
        <v>0</v>
      </c>
      <c r="BC39" s="241">
        <f t="shared" si="15"/>
        <v>0</v>
      </c>
      <c r="BF39" s="241">
        <f t="shared" si="16"/>
        <v>0</v>
      </c>
      <c r="BI39" s="241">
        <f t="shared" si="17"/>
        <v>0</v>
      </c>
      <c r="BL39" s="241">
        <f t="shared" si="18"/>
        <v>0</v>
      </c>
      <c r="BO39" s="241">
        <f t="shared" si="19"/>
        <v>0</v>
      </c>
      <c r="BR39" s="241">
        <f t="shared" si="20"/>
        <v>0</v>
      </c>
      <c r="BU39" s="241">
        <f t="shared" si="21"/>
        <v>0</v>
      </c>
      <c r="BX39" s="241">
        <f t="shared" si="22"/>
        <v>0</v>
      </c>
      <c r="CA39" s="241">
        <f t="shared" si="23"/>
        <v>0</v>
      </c>
      <c r="CD39" s="241">
        <f t="shared" si="24"/>
        <v>0</v>
      </c>
      <c r="CG39" s="241">
        <f t="shared" si="25"/>
        <v>0</v>
      </c>
      <c r="CJ39" s="241">
        <f t="shared" si="26"/>
        <v>0</v>
      </c>
      <c r="CM39" s="241">
        <f t="shared" si="27"/>
        <v>0</v>
      </c>
      <c r="CP39" s="241">
        <f t="shared" si="28"/>
        <v>0</v>
      </c>
      <c r="CS39" s="241">
        <f t="shared" si="29"/>
        <v>0</v>
      </c>
      <c r="CV39" s="241">
        <f t="shared" si="30"/>
        <v>0</v>
      </c>
      <c r="CY39" s="241">
        <f t="shared" si="31"/>
        <v>0</v>
      </c>
      <c r="DB39" s="241">
        <f t="shared" si="32"/>
        <v>0</v>
      </c>
      <c r="DE39" s="241">
        <f t="shared" si="33"/>
        <v>0</v>
      </c>
      <c r="DH39" s="241">
        <f t="shared" si="34"/>
        <v>0</v>
      </c>
      <c r="DK39" s="241">
        <f t="shared" si="35"/>
        <v>0</v>
      </c>
      <c r="DN39" s="241">
        <f t="shared" si="36"/>
        <v>0</v>
      </c>
      <c r="DQ39" s="241">
        <f t="shared" si="37"/>
        <v>0</v>
      </c>
      <c r="DT39" s="241">
        <f t="shared" si="38"/>
        <v>0</v>
      </c>
      <c r="DW39" s="241">
        <f t="shared" si="39"/>
        <v>0</v>
      </c>
      <c r="DZ39" s="241"/>
      <c r="EA39" s="241"/>
      <c r="EB39" s="261">
        <f t="shared" si="40"/>
        <v>61475000</v>
      </c>
      <c r="EC39" s="261">
        <f t="shared" si="41"/>
        <v>0</v>
      </c>
      <c r="ED39" s="241">
        <f t="shared" si="42"/>
        <v>7803.9097222222226</v>
      </c>
      <c r="EE39" s="242">
        <f t="shared" si="43"/>
        <v>4.5699999999999998E-2</v>
      </c>
      <c r="EG39" s="261">
        <f t="shared" si="44"/>
        <v>0</v>
      </c>
      <c r="EH39" s="241">
        <f t="shared" si="45"/>
        <v>0</v>
      </c>
      <c r="EI39" s="242">
        <f t="shared" si="46"/>
        <v>0</v>
      </c>
      <c r="EJ39" s="242"/>
      <c r="EK39" s="261">
        <f t="shared" si="47"/>
        <v>61475000</v>
      </c>
      <c r="EL39" s="261">
        <f t="shared" si="48"/>
        <v>0</v>
      </c>
      <c r="EM39" s="261">
        <f t="shared" si="49"/>
        <v>7803.9097222222226</v>
      </c>
      <c r="EN39" s="242">
        <f t="shared" si="50"/>
        <v>4.5699999999999998E-2</v>
      </c>
      <c r="EP39" s="241"/>
    </row>
    <row r="40" spans="1:146" x14ac:dyDescent="0.25">
      <c r="A40" s="255">
        <f t="shared" si="51"/>
        <v>45807</v>
      </c>
      <c r="B40" s="241">
        <v>0</v>
      </c>
      <c r="C40" s="242">
        <v>4.682969E-2</v>
      </c>
      <c r="D40" s="241">
        <f t="shared" si="0"/>
        <v>0</v>
      </c>
      <c r="G40" s="241">
        <f t="shared" si="1"/>
        <v>0</v>
      </c>
      <c r="J40" s="241">
        <f t="shared" si="2"/>
        <v>0</v>
      </c>
      <c r="M40" s="241">
        <f t="shared" si="3"/>
        <v>0</v>
      </c>
      <c r="P40" s="241">
        <f t="shared" si="4"/>
        <v>0</v>
      </c>
      <c r="S40" s="241">
        <f t="shared" si="5"/>
        <v>0</v>
      </c>
      <c r="V40" s="241">
        <f t="shared" si="6"/>
        <v>0</v>
      </c>
      <c r="Y40" s="241">
        <f t="shared" si="7"/>
        <v>0</v>
      </c>
      <c r="AB40" s="241">
        <f t="shared" si="8"/>
        <v>0</v>
      </c>
      <c r="AE40" s="241">
        <v>0</v>
      </c>
      <c r="AH40" s="241">
        <v>0</v>
      </c>
      <c r="AI40" s="256">
        <f>63900000+75000000</f>
        <v>138900000</v>
      </c>
      <c r="AJ40" s="257">
        <v>4.5699999999999998E-2</v>
      </c>
      <c r="AK40" s="241">
        <f t="shared" si="9"/>
        <v>17632.583333333332</v>
      </c>
      <c r="AL40" s="256"/>
      <c r="AM40" s="257"/>
      <c r="AN40" s="241">
        <f t="shared" si="10"/>
        <v>0</v>
      </c>
      <c r="AO40" s="256"/>
      <c r="AP40" s="257"/>
      <c r="AQ40" s="241">
        <f t="shared" si="11"/>
        <v>0</v>
      </c>
      <c r="AR40" s="256"/>
      <c r="AS40" s="257"/>
      <c r="AT40" s="241">
        <f t="shared" si="12"/>
        <v>0</v>
      </c>
      <c r="AW40" s="241">
        <f t="shared" si="13"/>
        <v>0</v>
      </c>
      <c r="AZ40" s="241">
        <f t="shared" si="14"/>
        <v>0</v>
      </c>
      <c r="BC40" s="241">
        <f t="shared" si="15"/>
        <v>0</v>
      </c>
      <c r="BF40" s="241">
        <f t="shared" si="16"/>
        <v>0</v>
      </c>
      <c r="BI40" s="241">
        <f t="shared" si="17"/>
        <v>0</v>
      </c>
      <c r="BL40" s="241">
        <f t="shared" si="18"/>
        <v>0</v>
      </c>
      <c r="BO40" s="241">
        <f t="shared" si="19"/>
        <v>0</v>
      </c>
      <c r="BR40" s="241">
        <f t="shared" si="20"/>
        <v>0</v>
      </c>
      <c r="BU40" s="241">
        <f t="shared" si="21"/>
        <v>0</v>
      </c>
      <c r="BX40" s="241">
        <f t="shared" si="22"/>
        <v>0</v>
      </c>
      <c r="CA40" s="241">
        <f t="shared" si="23"/>
        <v>0</v>
      </c>
      <c r="CD40" s="241">
        <f t="shared" si="24"/>
        <v>0</v>
      </c>
      <c r="CG40" s="241">
        <f t="shared" si="25"/>
        <v>0</v>
      </c>
      <c r="CJ40" s="241">
        <f t="shared" si="26"/>
        <v>0</v>
      </c>
      <c r="CM40" s="241">
        <f t="shared" si="27"/>
        <v>0</v>
      </c>
      <c r="CP40" s="241">
        <f t="shared" si="28"/>
        <v>0</v>
      </c>
      <c r="CS40" s="241">
        <f t="shared" si="29"/>
        <v>0</v>
      </c>
      <c r="CV40" s="241">
        <f t="shared" si="30"/>
        <v>0</v>
      </c>
      <c r="CY40" s="241">
        <f t="shared" si="31"/>
        <v>0</v>
      </c>
      <c r="DB40" s="241">
        <f t="shared" si="32"/>
        <v>0</v>
      </c>
      <c r="DE40" s="241">
        <f t="shared" si="33"/>
        <v>0</v>
      </c>
      <c r="DH40" s="241">
        <f t="shared" si="34"/>
        <v>0</v>
      </c>
      <c r="DK40" s="241">
        <f t="shared" si="35"/>
        <v>0</v>
      </c>
      <c r="DN40" s="241">
        <f t="shared" si="36"/>
        <v>0</v>
      </c>
      <c r="DQ40" s="241">
        <f t="shared" si="37"/>
        <v>0</v>
      </c>
      <c r="DT40" s="241">
        <f t="shared" si="38"/>
        <v>0</v>
      </c>
      <c r="DW40" s="241">
        <f t="shared" si="39"/>
        <v>0</v>
      </c>
      <c r="DZ40" s="241"/>
      <c r="EA40" s="241"/>
      <c r="EB40" s="261">
        <f t="shared" si="40"/>
        <v>138900000</v>
      </c>
      <c r="EC40" s="261">
        <f t="shared" si="41"/>
        <v>0</v>
      </c>
      <c r="ED40" s="241">
        <f t="shared" si="42"/>
        <v>17632.583333333332</v>
      </c>
      <c r="EE40" s="242">
        <f t="shared" si="43"/>
        <v>4.5699999999999998E-2</v>
      </c>
      <c r="EG40" s="261">
        <f t="shared" si="44"/>
        <v>0</v>
      </c>
      <c r="EH40" s="241">
        <f t="shared" si="45"/>
        <v>0</v>
      </c>
      <c r="EI40" s="242">
        <f t="shared" si="46"/>
        <v>0</v>
      </c>
      <c r="EJ40" s="242"/>
      <c r="EK40" s="261">
        <f t="shared" si="47"/>
        <v>138900000</v>
      </c>
      <c r="EL40" s="261">
        <f t="shared" si="48"/>
        <v>0</v>
      </c>
      <c r="EM40" s="261">
        <f t="shared" si="49"/>
        <v>17632.583333333332</v>
      </c>
      <c r="EN40" s="242">
        <f t="shared" si="50"/>
        <v>4.5699999999999998E-2</v>
      </c>
      <c r="EP40" s="241"/>
    </row>
    <row r="41" spans="1:146" x14ac:dyDescent="0.25">
      <c r="A41" s="255">
        <f t="shared" si="51"/>
        <v>45808</v>
      </c>
      <c r="B41" s="241">
        <v>0</v>
      </c>
      <c r="C41" s="242">
        <v>4.7E-2</v>
      </c>
      <c r="D41" s="241">
        <f t="shared" si="0"/>
        <v>0</v>
      </c>
      <c r="G41" s="241">
        <f t="shared" si="1"/>
        <v>0</v>
      </c>
      <c r="J41" s="241">
        <f t="shared" si="2"/>
        <v>0</v>
      </c>
      <c r="M41" s="241">
        <f t="shared" si="3"/>
        <v>0</v>
      </c>
      <c r="P41" s="241">
        <f t="shared" si="4"/>
        <v>0</v>
      </c>
      <c r="S41" s="241">
        <f t="shared" si="5"/>
        <v>0</v>
      </c>
      <c r="V41" s="241">
        <f t="shared" si="6"/>
        <v>0</v>
      </c>
      <c r="Y41" s="241">
        <f t="shared" si="7"/>
        <v>0</v>
      </c>
      <c r="AB41" s="241">
        <f t="shared" si="8"/>
        <v>0</v>
      </c>
      <c r="AE41" s="241">
        <v>0</v>
      </c>
      <c r="AH41" s="241">
        <v>0</v>
      </c>
      <c r="AI41" s="256">
        <v>138900000</v>
      </c>
      <c r="AJ41" s="257">
        <v>4.5699999999999998E-2</v>
      </c>
      <c r="AK41" s="241">
        <f t="shared" si="9"/>
        <v>17632.583333333332</v>
      </c>
      <c r="AL41" s="256"/>
      <c r="AM41" s="257"/>
      <c r="AN41" s="241">
        <f t="shared" si="10"/>
        <v>0</v>
      </c>
      <c r="AO41" s="256"/>
      <c r="AP41" s="257"/>
      <c r="AQ41" s="241">
        <f t="shared" si="11"/>
        <v>0</v>
      </c>
      <c r="AR41" s="256"/>
      <c r="AS41" s="257"/>
      <c r="AT41" s="241">
        <f t="shared" si="12"/>
        <v>0</v>
      </c>
      <c r="AW41" s="241">
        <f t="shared" si="13"/>
        <v>0</v>
      </c>
      <c r="AZ41" s="241">
        <f t="shared" si="14"/>
        <v>0</v>
      </c>
      <c r="BC41" s="241">
        <f t="shared" si="15"/>
        <v>0</v>
      </c>
      <c r="BF41" s="241">
        <f t="shared" si="16"/>
        <v>0</v>
      </c>
      <c r="BI41" s="241">
        <f t="shared" si="17"/>
        <v>0</v>
      </c>
      <c r="BL41" s="241">
        <f t="shared" si="18"/>
        <v>0</v>
      </c>
      <c r="BO41" s="241">
        <f t="shared" si="19"/>
        <v>0</v>
      </c>
      <c r="BR41" s="241">
        <f t="shared" si="20"/>
        <v>0</v>
      </c>
      <c r="BU41" s="241">
        <f t="shared" si="21"/>
        <v>0</v>
      </c>
      <c r="BX41" s="241">
        <f t="shared" si="22"/>
        <v>0</v>
      </c>
      <c r="CA41" s="241">
        <f t="shared" si="23"/>
        <v>0</v>
      </c>
      <c r="CD41" s="241">
        <f t="shared" si="24"/>
        <v>0</v>
      </c>
      <c r="CG41" s="241">
        <f t="shared" si="25"/>
        <v>0</v>
      </c>
      <c r="CJ41" s="241">
        <f t="shared" si="26"/>
        <v>0</v>
      </c>
      <c r="CM41" s="241">
        <f t="shared" si="27"/>
        <v>0</v>
      </c>
      <c r="CP41" s="241">
        <f t="shared" si="28"/>
        <v>0</v>
      </c>
      <c r="CS41" s="241">
        <f t="shared" si="29"/>
        <v>0</v>
      </c>
      <c r="CV41" s="241">
        <f t="shared" si="30"/>
        <v>0</v>
      </c>
      <c r="CY41" s="241">
        <f t="shared" si="31"/>
        <v>0</v>
      </c>
      <c r="DB41" s="241">
        <f t="shared" si="32"/>
        <v>0</v>
      </c>
      <c r="DE41" s="241">
        <f t="shared" si="33"/>
        <v>0</v>
      </c>
      <c r="DH41" s="241">
        <f t="shared" si="34"/>
        <v>0</v>
      </c>
      <c r="DK41" s="241">
        <f t="shared" si="35"/>
        <v>0</v>
      </c>
      <c r="DN41" s="241">
        <f t="shared" si="36"/>
        <v>0</v>
      </c>
      <c r="DQ41" s="241">
        <f t="shared" si="37"/>
        <v>0</v>
      </c>
      <c r="DT41" s="241">
        <f t="shared" si="38"/>
        <v>0</v>
      </c>
      <c r="DW41" s="241">
        <f t="shared" si="39"/>
        <v>0</v>
      </c>
      <c r="DZ41" s="241"/>
      <c r="EA41" s="241"/>
      <c r="EB41" s="261">
        <f t="shared" si="40"/>
        <v>138900000</v>
      </c>
      <c r="EC41" s="261">
        <f t="shared" si="41"/>
        <v>0</v>
      </c>
      <c r="ED41" s="241">
        <f t="shared" si="42"/>
        <v>17632.583333333332</v>
      </c>
      <c r="EE41" s="242">
        <f t="shared" si="43"/>
        <v>4.5699999999999998E-2</v>
      </c>
      <c r="EG41" s="261">
        <f t="shared" si="44"/>
        <v>0</v>
      </c>
      <c r="EH41" s="241">
        <f t="shared" si="45"/>
        <v>0</v>
      </c>
      <c r="EI41" s="242">
        <f t="shared" si="46"/>
        <v>0</v>
      </c>
      <c r="EJ41" s="242"/>
      <c r="EK41" s="261">
        <f t="shared" si="47"/>
        <v>138900000</v>
      </c>
      <c r="EL41" s="261">
        <f t="shared" si="48"/>
        <v>0</v>
      </c>
      <c r="EM41" s="261">
        <f t="shared" si="49"/>
        <v>17632.583333333332</v>
      </c>
      <c r="EN41" s="242">
        <f t="shared" si="50"/>
        <v>4.5699999999999998E-2</v>
      </c>
      <c r="EP41" s="241"/>
    </row>
    <row r="42" spans="1:146" x14ac:dyDescent="0.25">
      <c r="A42" s="276" t="s">
        <v>35</v>
      </c>
      <c r="D42" s="258">
        <f>SUM(D11:D41)</f>
        <v>87.372674999999987</v>
      </c>
      <c r="G42" s="258">
        <f>SUM(G11:G41)</f>
        <v>0</v>
      </c>
      <c r="J42" s="258">
        <f>SUM(J11:J41)</f>
        <v>0</v>
      </c>
      <c r="M42" s="258">
        <f>SUM(M11:M41)</f>
        <v>0</v>
      </c>
      <c r="P42" s="258">
        <f>SUM(P11:P41)</f>
        <v>0</v>
      </c>
      <c r="S42" s="258">
        <f>SUM(S11:S41)</f>
        <v>0</v>
      </c>
      <c r="V42" s="258">
        <f>SUM(V11:V41)</f>
        <v>0</v>
      </c>
      <c r="Y42" s="258">
        <f>SUM(Y11:Y41)</f>
        <v>0</v>
      </c>
      <c r="AB42" s="258">
        <f>SUM(AB11:AB41)</f>
        <v>0</v>
      </c>
      <c r="AE42" s="258">
        <f>SUM(AE11:AE41)</f>
        <v>0</v>
      </c>
      <c r="AH42" s="258">
        <f>SUM(AH11:AH41)</f>
        <v>0</v>
      </c>
      <c r="AK42" s="258">
        <f>SUM(AK11:AK41)</f>
        <v>289709.38194444444</v>
      </c>
      <c r="AN42" s="258">
        <f>SUM(AN11:AN41)</f>
        <v>0</v>
      </c>
      <c r="AQ42" s="258">
        <f>SUM(AQ11:AQ41)</f>
        <v>0</v>
      </c>
      <c r="AT42" s="258">
        <f>SUM(AT11:AT41)</f>
        <v>0</v>
      </c>
      <c r="AW42" s="258">
        <f>SUM(AW11:AW41)</f>
        <v>0</v>
      </c>
      <c r="AZ42" s="258">
        <f>SUM(AZ11:AZ41)</f>
        <v>0</v>
      </c>
      <c r="BC42" s="258">
        <f>SUM(BC11:BC41)</f>
        <v>0</v>
      </c>
      <c r="BF42" s="258">
        <f>SUM(BF11:BF41)</f>
        <v>0</v>
      </c>
      <c r="BI42" s="258">
        <f>SUM(BI11:BI41)</f>
        <v>0</v>
      </c>
      <c r="BL42" s="258">
        <f>SUM(BL11:BL41)</f>
        <v>0</v>
      </c>
      <c r="BO42" s="258">
        <f>SUM(BO11:BO41)</f>
        <v>0</v>
      </c>
      <c r="BR42" s="258">
        <f>SUM(BR11:BR41)</f>
        <v>0</v>
      </c>
      <c r="BU42" s="258">
        <f>SUM(BU11:BU41)</f>
        <v>0</v>
      </c>
      <c r="BX42" s="258">
        <f>SUM(BX11:BX41)</f>
        <v>0</v>
      </c>
      <c r="CA42" s="258">
        <f>SUM(CA11:CA41)</f>
        <v>0</v>
      </c>
      <c r="CD42" s="258">
        <f>SUM(CD11:CD41)</f>
        <v>0</v>
      </c>
      <c r="CG42" s="258">
        <f>SUM(CG11:CG41)</f>
        <v>0</v>
      </c>
      <c r="CJ42" s="258">
        <f>SUM(CJ11:CJ41)</f>
        <v>0</v>
      </c>
      <c r="CM42" s="258">
        <f>SUM(CM11:CM41)</f>
        <v>0</v>
      </c>
      <c r="CP42" s="258">
        <f>SUM(CP11:CP41)</f>
        <v>0</v>
      </c>
      <c r="CS42" s="258">
        <f>SUM(CS11:CS41)</f>
        <v>0</v>
      </c>
      <c r="CV42" s="258">
        <f>SUM(CV11:CV41)</f>
        <v>0</v>
      </c>
      <c r="CY42" s="258">
        <f>SUM(CY11:CY41)</f>
        <v>0</v>
      </c>
      <c r="DB42" s="258">
        <f>SUM(DB11:DB41)</f>
        <v>0</v>
      </c>
      <c r="DE42" s="258">
        <f>SUM(DE11:DE41)</f>
        <v>0</v>
      </c>
      <c r="DH42" s="258">
        <f>SUM(DH11:DH41)</f>
        <v>0</v>
      </c>
      <c r="DK42" s="258">
        <f>SUM(DK11:DK41)</f>
        <v>0</v>
      </c>
      <c r="DN42" s="258">
        <f>SUM(DN11:DN41)</f>
        <v>0</v>
      </c>
      <c r="DQ42" s="258">
        <f>SUM(DQ11:DQ41)</f>
        <v>0</v>
      </c>
      <c r="DT42" s="258">
        <f>SUM(DT11:DT41)</f>
        <v>0</v>
      </c>
      <c r="DW42" s="258">
        <f>SUM(DW11:DW41)</f>
        <v>0</v>
      </c>
      <c r="DZ42" s="241"/>
      <c r="EA42" s="241"/>
      <c r="EB42" s="241"/>
      <c r="EC42" s="241"/>
      <c r="ED42" s="258">
        <f>SUM(ED11:ED41)</f>
        <v>289796.75461944449</v>
      </c>
      <c r="EE42" s="242"/>
      <c r="EG42" s="241"/>
      <c r="EH42" s="258">
        <f>SUM(EH11:EH41)</f>
        <v>0</v>
      </c>
      <c r="EI42" s="242"/>
      <c r="EJ42" s="242"/>
      <c r="EK42" s="241"/>
      <c r="EL42" s="241"/>
      <c r="EM42" s="258">
        <f>SUM(EM11:EM41)</f>
        <v>289709.38194444444</v>
      </c>
      <c r="EN42" s="242"/>
    </row>
    <row r="44" spans="1:146" x14ac:dyDescent="0.25">
      <c r="EM44" s="259"/>
    </row>
    <row r="45" spans="1:146" x14ac:dyDescent="0.25">
      <c r="EM45" s="241"/>
    </row>
    <row r="46" spans="1:146" x14ac:dyDescent="0.25">
      <c r="EM46" s="241"/>
    </row>
    <row r="48" spans="1:146" x14ac:dyDescent="0.25">
      <c r="EM48" s="241"/>
    </row>
  </sheetData>
  <pageMargins left="0.7" right="0.7" top="0.75" bottom="0.75" header="0.3" footer="0.3"/>
  <pageSetup scale="63" orientation="portrait" r:id="rId1"/>
  <headerFooter>
    <oddFooter>&amp;CSchedule RL-1</oddFooter>
  </headerFooter>
  <colBreaks count="5" manualBreakCount="5">
    <brk id="34" max="1048575" man="1"/>
    <brk id="43" max="1048575" man="1"/>
    <brk id="52" max="41" man="1"/>
    <brk id="130" max="1048575" man="1"/>
    <brk id="144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9"/>
  <dimension ref="A1:EQ47"/>
  <sheetViews>
    <sheetView zoomScaleNormal="100" workbookViewId="0">
      <selection activeCell="EO21" sqref="EO21"/>
    </sheetView>
  </sheetViews>
  <sheetFormatPr defaultRowHeight="15" x14ac:dyDescent="0.25"/>
  <cols>
    <col min="1" max="1" width="14.5703125" style="175" bestFit="1" customWidth="1"/>
    <col min="2" max="2" width="15.5703125" style="241" bestFit="1" customWidth="1"/>
    <col min="3" max="3" width="15.42578125" style="242" bestFit="1" customWidth="1"/>
    <col min="4" max="4" width="15.42578125" style="175" bestFit="1" customWidth="1"/>
    <col min="5" max="5" width="15.5703125" style="241" bestFit="1" customWidth="1"/>
    <col min="6" max="6" width="12.28515625" style="242" bestFit="1" customWidth="1"/>
    <col min="7" max="7" width="18.42578125" style="175" bestFit="1" customWidth="1"/>
    <col min="8" max="8" width="15.42578125" style="241" hidden="1" customWidth="1"/>
    <col min="9" max="9" width="10.28515625" style="242" hidden="1" customWidth="1"/>
    <col min="10" max="10" width="13.42578125" style="175" hidden="1" customWidth="1"/>
    <col min="11" max="11" width="14.42578125" style="241" hidden="1" customWidth="1"/>
    <col min="12" max="12" width="10.28515625" style="242" hidden="1" customWidth="1"/>
    <col min="13" max="13" width="11.7109375" style="175" hidden="1" customWidth="1"/>
    <col min="14" max="14" width="14.42578125" style="241" hidden="1" customWidth="1"/>
    <col min="15" max="15" width="10.28515625" style="242" hidden="1" customWidth="1"/>
    <col min="16" max="16" width="11.7109375" style="175" hidden="1" customWidth="1"/>
    <col min="17" max="17" width="15.42578125" style="241" hidden="1" customWidth="1"/>
    <col min="18" max="18" width="10.28515625" style="242" hidden="1" customWidth="1"/>
    <col min="19" max="19" width="11.7109375" style="175" hidden="1" customWidth="1"/>
    <col min="20" max="20" width="15.42578125" style="241" hidden="1" customWidth="1"/>
    <col min="21" max="21" width="10.28515625" style="242" hidden="1" customWidth="1"/>
    <col min="22" max="22" width="11.7109375" style="175" hidden="1" customWidth="1"/>
    <col min="23" max="23" width="15.42578125" style="241" hidden="1" customWidth="1"/>
    <col min="24" max="24" width="10.28515625" style="242" hidden="1" customWidth="1"/>
    <col min="25" max="25" width="11.7109375" style="175" hidden="1" customWidth="1"/>
    <col min="26" max="26" width="15.42578125" style="241" hidden="1" customWidth="1"/>
    <col min="27" max="27" width="10.28515625" style="242" hidden="1" customWidth="1"/>
    <col min="28" max="28" width="11.7109375" style="175" hidden="1" customWidth="1"/>
    <col min="29" max="29" width="15.42578125" style="241" hidden="1" customWidth="1"/>
    <col min="30" max="30" width="10.28515625" style="242" hidden="1" customWidth="1"/>
    <col min="31" max="31" width="11.7109375" style="175" hidden="1" customWidth="1"/>
    <col min="32" max="32" width="14.42578125" style="241" hidden="1" customWidth="1"/>
    <col min="33" max="33" width="10.28515625" style="242" hidden="1" customWidth="1"/>
    <col min="34" max="34" width="10.7109375" style="175" hidden="1" customWidth="1"/>
    <col min="35" max="35" width="14.42578125" style="241" customWidth="1"/>
    <col min="36" max="36" width="11.7109375" style="242" customWidth="1"/>
    <col min="37" max="37" width="13.7109375" style="175" bestFit="1" customWidth="1"/>
    <col min="38" max="38" width="14.42578125" style="241" customWidth="1"/>
    <col min="39" max="39" width="13.140625" style="242" customWidth="1"/>
    <col min="40" max="40" width="13.7109375" style="175" bestFit="1" customWidth="1"/>
    <col min="41" max="41" width="15.42578125" style="241" bestFit="1" customWidth="1"/>
    <col min="42" max="42" width="12.28515625" style="242" bestFit="1" customWidth="1"/>
    <col min="43" max="43" width="12.5703125" style="175" bestFit="1" customWidth="1"/>
    <col min="44" max="44" width="15.42578125" style="241" bestFit="1" customWidth="1"/>
    <col min="45" max="45" width="10.28515625" style="242" bestFit="1" customWidth="1"/>
    <col min="46" max="46" width="11.7109375" style="175" bestFit="1" customWidth="1"/>
    <col min="47" max="47" width="14.42578125" style="241" customWidth="1"/>
    <col min="48" max="48" width="10.28515625" style="242" customWidth="1"/>
    <col min="49" max="49" width="10.7109375" style="175" customWidth="1"/>
    <col min="50" max="50" width="14.42578125" style="241" customWidth="1"/>
    <col min="51" max="51" width="10.28515625" style="242" customWidth="1"/>
    <col min="52" max="52" width="10.7109375" style="175" customWidth="1"/>
    <col min="53" max="53" width="14.42578125" style="241" customWidth="1"/>
    <col min="54" max="54" width="10.28515625" style="242" customWidth="1"/>
    <col min="55" max="55" width="10.7109375" style="175" customWidth="1"/>
    <col min="56" max="56" width="14.42578125" style="241" customWidth="1"/>
    <col min="57" max="57" width="10.28515625" style="242" customWidth="1"/>
    <col min="58" max="58" width="10.7109375" style="175" customWidth="1"/>
    <col min="59" max="59" width="14.42578125" style="241" customWidth="1"/>
    <col min="60" max="60" width="10.28515625" style="242" customWidth="1"/>
    <col min="61" max="61" width="10.7109375" style="175" customWidth="1"/>
    <col min="62" max="62" width="14.42578125" style="241" customWidth="1"/>
    <col min="63" max="63" width="10.28515625" style="242" customWidth="1"/>
    <col min="64" max="64" width="10.7109375" style="175" customWidth="1"/>
    <col min="65" max="65" width="14.42578125" style="241" hidden="1" customWidth="1"/>
    <col min="66" max="66" width="10.28515625" style="242" hidden="1" customWidth="1"/>
    <col min="67" max="67" width="10.7109375" style="175" hidden="1" customWidth="1"/>
    <col min="68" max="68" width="14.42578125" style="241" hidden="1" customWidth="1"/>
    <col min="69" max="69" width="10.28515625" style="242" hidden="1" customWidth="1"/>
    <col min="70" max="70" width="10.7109375" style="175" hidden="1" customWidth="1"/>
    <col min="71" max="71" width="14.42578125" style="241" hidden="1" customWidth="1"/>
    <col min="72" max="72" width="10.28515625" style="242" hidden="1" customWidth="1"/>
    <col min="73" max="73" width="10.7109375" style="175" hidden="1" customWidth="1"/>
    <col min="74" max="74" width="14.42578125" style="241" hidden="1" customWidth="1"/>
    <col min="75" max="75" width="10.28515625" style="242" hidden="1" customWidth="1"/>
    <col min="76" max="76" width="10.7109375" style="175" hidden="1" customWidth="1"/>
    <col min="77" max="77" width="14.42578125" style="241" hidden="1" customWidth="1"/>
    <col min="78" max="78" width="10.28515625" style="242" hidden="1" customWidth="1"/>
    <col min="79" max="79" width="10.7109375" style="175" hidden="1" customWidth="1"/>
    <col min="80" max="80" width="14.42578125" style="241" hidden="1" customWidth="1"/>
    <col min="81" max="81" width="10.28515625" style="242" hidden="1" customWidth="1"/>
    <col min="82" max="82" width="10.7109375" style="175" hidden="1" customWidth="1"/>
    <col min="83" max="83" width="14.42578125" style="241" hidden="1" customWidth="1"/>
    <col min="84" max="84" width="10.28515625" style="242" hidden="1" customWidth="1"/>
    <col min="85" max="85" width="10.7109375" style="175" hidden="1" customWidth="1"/>
    <col min="86" max="86" width="14.42578125" style="241" hidden="1" customWidth="1"/>
    <col min="87" max="87" width="10.28515625" style="242" hidden="1" customWidth="1"/>
    <col min="88" max="88" width="10.7109375" style="175" hidden="1" customWidth="1"/>
    <col min="89" max="89" width="14.42578125" style="241" hidden="1" customWidth="1"/>
    <col min="90" max="90" width="10.28515625" style="242" hidden="1" customWidth="1"/>
    <col min="91" max="91" width="10.7109375" style="175" hidden="1" customWidth="1"/>
    <col min="92" max="92" width="14.42578125" style="241" hidden="1" customWidth="1"/>
    <col min="93" max="93" width="10.28515625" style="242" hidden="1" customWidth="1"/>
    <col min="94" max="94" width="10.7109375" style="175" hidden="1" customWidth="1"/>
    <col min="95" max="95" width="14.42578125" style="241" hidden="1" customWidth="1"/>
    <col min="96" max="96" width="10.28515625" style="242" hidden="1" customWidth="1"/>
    <col min="97" max="97" width="10.7109375" style="175" hidden="1" customWidth="1"/>
    <col min="98" max="98" width="14.42578125" style="241" hidden="1" customWidth="1"/>
    <col min="99" max="99" width="10.28515625" style="242" hidden="1" customWidth="1"/>
    <col min="100" max="100" width="10.7109375" style="175" hidden="1" customWidth="1"/>
    <col min="101" max="101" width="14.42578125" style="241" hidden="1" customWidth="1"/>
    <col min="102" max="102" width="10.28515625" style="242" hidden="1" customWidth="1"/>
    <col min="103" max="103" width="10.7109375" style="175" hidden="1" customWidth="1"/>
    <col min="104" max="104" width="14.42578125" style="241" hidden="1" customWidth="1"/>
    <col min="105" max="105" width="10.28515625" style="242" hidden="1" customWidth="1"/>
    <col min="106" max="106" width="10.7109375" style="175" hidden="1" customWidth="1"/>
    <col min="107" max="107" width="14.42578125" style="241" hidden="1" customWidth="1"/>
    <col min="108" max="108" width="10.28515625" style="242" hidden="1" customWidth="1"/>
    <col min="109" max="109" width="10.7109375" style="175" hidden="1" customWidth="1"/>
    <col min="110" max="110" width="14.42578125" style="241" hidden="1" customWidth="1"/>
    <col min="111" max="111" width="10.28515625" style="242" hidden="1" customWidth="1"/>
    <col min="112" max="112" width="10.7109375" style="175" hidden="1" customWidth="1"/>
    <col min="113" max="113" width="14.42578125" style="241" hidden="1" customWidth="1"/>
    <col min="114" max="114" width="10.28515625" style="242" hidden="1" customWidth="1"/>
    <col min="115" max="115" width="10.7109375" style="175" hidden="1" customWidth="1"/>
    <col min="116" max="116" width="14.42578125" style="241" hidden="1" customWidth="1"/>
    <col min="117" max="117" width="10.28515625" style="242" hidden="1" customWidth="1"/>
    <col min="118" max="118" width="10.7109375" style="175" hidden="1" customWidth="1"/>
    <col min="119" max="119" width="14.42578125" style="241" hidden="1" customWidth="1"/>
    <col min="120" max="120" width="10.28515625" style="242" hidden="1" customWidth="1"/>
    <col min="121" max="121" width="10.7109375" style="175" hidden="1" customWidth="1"/>
    <col min="122" max="122" width="14.42578125" style="241" hidden="1" customWidth="1"/>
    <col min="123" max="123" width="10.28515625" style="242" hidden="1" customWidth="1"/>
    <col min="124" max="124" width="10.7109375" style="175" hidden="1" customWidth="1"/>
    <col min="125" max="125" width="14.42578125" style="241" hidden="1" customWidth="1"/>
    <col min="126" max="126" width="10.28515625" style="242" hidden="1" customWidth="1"/>
    <col min="127" max="127" width="10.7109375" style="175" hidden="1" customWidth="1"/>
    <col min="128" max="128" width="14.42578125" style="241" hidden="1" customWidth="1"/>
    <col min="129" max="129" width="10.28515625" style="242" hidden="1" customWidth="1"/>
    <col min="130" max="130" width="10.7109375" style="175" hidden="1" customWidth="1"/>
    <col min="131" max="131" width="2.7109375" style="175" customWidth="1"/>
    <col min="132" max="132" width="18.7109375" style="175" customWidth="1"/>
    <col min="133" max="133" width="15.42578125" style="175" hidden="1" customWidth="1"/>
    <col min="134" max="134" width="14.42578125" style="175" bestFit="1" customWidth="1"/>
    <col min="135" max="135" width="20.140625" style="175" customWidth="1"/>
    <col min="136" max="136" width="2.7109375" style="175" customWidth="1"/>
    <col min="137" max="137" width="15.42578125" style="175" hidden="1" customWidth="1"/>
    <col min="138" max="138" width="14.42578125" style="175" hidden="1" customWidth="1"/>
    <col min="139" max="139" width="12.42578125" style="175" hidden="1" customWidth="1"/>
    <col min="140" max="140" width="2.7109375" style="175" hidden="1" customWidth="1"/>
    <col min="141" max="141" width="18.5703125" style="175" customWidth="1"/>
    <col min="142" max="142" width="15.42578125" style="175" hidden="1" customWidth="1"/>
    <col min="143" max="143" width="14.42578125" style="175" bestFit="1" customWidth="1"/>
    <col min="144" max="144" width="18.42578125" style="175" bestFit="1" customWidth="1"/>
    <col min="145" max="145" width="42.85546875" style="175" bestFit="1" customWidth="1"/>
    <col min="146" max="146" width="19.42578125" style="175" bestFit="1" customWidth="1"/>
    <col min="147" max="147" width="23.140625" style="175" bestFit="1" customWidth="1"/>
    <col min="148" max="16384" width="9.140625" style="175"/>
  </cols>
  <sheetData>
    <row r="1" spans="1:147" s="202" customFormat="1" x14ac:dyDescent="0.25">
      <c r="A1" s="260" t="s">
        <v>0</v>
      </c>
      <c r="B1" s="261"/>
      <c r="C1" s="262"/>
      <c r="E1" s="261"/>
      <c r="F1" s="262"/>
      <c r="H1" s="261"/>
      <c r="I1" s="262"/>
      <c r="K1" s="261"/>
      <c r="L1" s="262"/>
      <c r="N1" s="261"/>
      <c r="O1" s="262"/>
      <c r="Q1" s="261"/>
      <c r="R1" s="262"/>
      <c r="T1" s="261"/>
      <c r="U1" s="262"/>
      <c r="W1" s="261"/>
      <c r="X1" s="262"/>
      <c r="Z1" s="261"/>
      <c r="AA1" s="262"/>
      <c r="AC1" s="261"/>
      <c r="AD1" s="262"/>
      <c r="AF1" s="261"/>
      <c r="AG1" s="262"/>
      <c r="AI1" s="261"/>
      <c r="AJ1" s="262"/>
      <c r="AL1" s="261"/>
      <c r="AM1" s="262"/>
      <c r="AO1" s="261"/>
      <c r="AP1" s="262"/>
      <c r="AR1" s="261"/>
      <c r="AS1" s="262"/>
      <c r="AU1" s="261"/>
      <c r="AV1" s="262"/>
      <c r="AX1" s="261"/>
      <c r="AY1" s="262"/>
      <c r="BA1" s="261"/>
      <c r="BB1" s="262"/>
      <c r="BD1" s="261"/>
      <c r="BE1" s="262"/>
      <c r="BG1" s="261"/>
      <c r="BH1" s="262"/>
      <c r="BJ1" s="261"/>
      <c r="BK1" s="262"/>
      <c r="BM1" s="261"/>
      <c r="BN1" s="262"/>
      <c r="BP1" s="261"/>
      <c r="BQ1" s="262"/>
      <c r="BS1" s="261"/>
      <c r="BT1" s="262"/>
      <c r="BV1" s="261"/>
      <c r="BW1" s="262"/>
      <c r="BY1" s="261"/>
      <c r="BZ1" s="262"/>
      <c r="CB1" s="261"/>
      <c r="CC1" s="262"/>
      <c r="CE1" s="261"/>
      <c r="CF1" s="262"/>
      <c r="CH1" s="261"/>
      <c r="CI1" s="262"/>
      <c r="CK1" s="261"/>
      <c r="CL1" s="262"/>
      <c r="CN1" s="261"/>
      <c r="CO1" s="262"/>
      <c r="CQ1" s="261"/>
      <c r="CR1" s="262"/>
      <c r="CT1" s="261"/>
      <c r="CU1" s="262"/>
      <c r="CW1" s="261"/>
      <c r="CX1" s="262"/>
      <c r="CZ1" s="261"/>
      <c r="DA1" s="262"/>
      <c r="DC1" s="261"/>
      <c r="DD1" s="262"/>
      <c r="DF1" s="261"/>
      <c r="DG1" s="262"/>
      <c r="DI1" s="261"/>
      <c r="DJ1" s="262"/>
      <c r="DL1" s="261"/>
      <c r="DM1" s="262"/>
      <c r="DO1" s="261"/>
      <c r="DP1" s="262"/>
      <c r="DR1" s="261"/>
      <c r="DS1" s="262"/>
      <c r="DU1" s="261"/>
      <c r="DV1" s="262"/>
      <c r="DX1" s="261"/>
      <c r="DY1" s="262"/>
      <c r="DZ1" s="263"/>
      <c r="ED1" s="191"/>
      <c r="EE1" s="264" t="s">
        <v>37</v>
      </c>
      <c r="EI1" s="191" t="s">
        <v>38</v>
      </c>
      <c r="EM1" s="191"/>
      <c r="EN1" s="191" t="s">
        <v>39</v>
      </c>
      <c r="EO1" s="260" t="s">
        <v>40</v>
      </c>
      <c r="EP1" s="260" t="s">
        <v>41</v>
      </c>
      <c r="EQ1" s="260" t="s">
        <v>42</v>
      </c>
    </row>
    <row r="2" spans="1:147" s="202" customFormat="1" ht="15.75" thickBot="1" x14ac:dyDescent="0.3">
      <c r="A2" s="260" t="s">
        <v>43</v>
      </c>
      <c r="B2" s="261"/>
      <c r="C2" s="262"/>
      <c r="E2" s="263"/>
      <c r="F2" s="262"/>
      <c r="G2" s="191"/>
      <c r="H2" s="261"/>
      <c r="I2" s="262"/>
      <c r="K2" s="261"/>
      <c r="L2" s="262"/>
      <c r="N2" s="261"/>
      <c r="O2" s="262"/>
      <c r="Q2" s="261"/>
      <c r="R2" s="262"/>
      <c r="T2" s="261"/>
      <c r="U2" s="262"/>
      <c r="W2" s="261"/>
      <c r="X2" s="262"/>
      <c r="Z2" s="261"/>
      <c r="AA2" s="262"/>
      <c r="AC2" s="261"/>
      <c r="AD2" s="262"/>
      <c r="AF2" s="261"/>
      <c r="AG2" s="262"/>
      <c r="AI2" s="261"/>
      <c r="AJ2" s="262"/>
      <c r="AL2" s="261"/>
      <c r="AM2" s="262"/>
      <c r="AO2" s="261"/>
      <c r="AP2" s="262"/>
      <c r="AR2" s="261"/>
      <c r="AS2" s="262"/>
      <c r="AU2" s="261"/>
      <c r="AV2" s="262"/>
      <c r="AX2" s="261"/>
      <c r="AY2" s="262"/>
      <c r="BA2" s="261"/>
      <c r="BB2" s="262"/>
      <c r="BD2" s="261"/>
      <c r="BE2" s="262"/>
      <c r="BG2" s="261"/>
      <c r="BH2" s="262"/>
      <c r="BJ2" s="261"/>
      <c r="BK2" s="262"/>
      <c r="BM2" s="261"/>
      <c r="BN2" s="262"/>
      <c r="BP2" s="261"/>
      <c r="BQ2" s="262"/>
      <c r="BS2" s="261"/>
      <c r="BT2" s="262"/>
      <c r="BV2" s="261"/>
      <c r="BW2" s="262"/>
      <c r="BY2" s="261"/>
      <c r="BZ2" s="262"/>
      <c r="CB2" s="261"/>
      <c r="CC2" s="262"/>
      <c r="CE2" s="261"/>
      <c r="CF2" s="262"/>
      <c r="CH2" s="261"/>
      <c r="CI2" s="262"/>
      <c r="CK2" s="261"/>
      <c r="CL2" s="262"/>
      <c r="CN2" s="261"/>
      <c r="CO2" s="262"/>
      <c r="CQ2" s="261"/>
      <c r="CR2" s="262"/>
      <c r="CT2" s="261"/>
      <c r="CU2" s="262"/>
      <c r="CW2" s="261"/>
      <c r="CX2" s="262"/>
      <c r="CZ2" s="261"/>
      <c r="DA2" s="262"/>
      <c r="DC2" s="261"/>
      <c r="DD2" s="262"/>
      <c r="DF2" s="261"/>
      <c r="DG2" s="262"/>
      <c r="DI2" s="261"/>
      <c r="DJ2" s="262"/>
      <c r="DL2" s="261"/>
      <c r="DM2" s="262"/>
      <c r="DO2" s="261"/>
      <c r="DP2" s="262"/>
      <c r="DR2" s="261"/>
      <c r="DS2" s="262"/>
      <c r="DU2" s="261"/>
      <c r="DV2" s="262"/>
      <c r="DX2" s="261"/>
      <c r="DY2" s="262"/>
      <c r="EB2" s="175" t="s">
        <v>44</v>
      </c>
      <c r="EC2" s="175"/>
      <c r="ED2" s="241"/>
      <c r="EE2" s="241">
        <f>EB40</f>
        <v>330525000</v>
      </c>
      <c r="EI2" s="241">
        <f>EG40</f>
        <v>0</v>
      </c>
      <c r="EM2" s="241"/>
      <c r="EN2" s="241">
        <f>EK40</f>
        <v>330525000</v>
      </c>
      <c r="EO2" s="265">
        <v>-821910.54</v>
      </c>
      <c r="EP2" s="261">
        <f>EN2+EO2</f>
        <v>329703089.45999998</v>
      </c>
      <c r="EQ2" s="261">
        <f>EE2+EO2</f>
        <v>329703089.45999998</v>
      </c>
    </row>
    <row r="3" spans="1:147" ht="15.75" thickTop="1" x14ac:dyDescent="0.25">
      <c r="A3" s="266" t="s">
        <v>251</v>
      </c>
      <c r="E3" s="267" t="s">
        <v>45</v>
      </c>
      <c r="F3" s="243"/>
      <c r="G3" s="244"/>
      <c r="EB3" s="175" t="s">
        <v>46</v>
      </c>
      <c r="ED3" s="241"/>
      <c r="EE3" s="241">
        <f>AVERAGE(EB11:EB40)</f>
        <v>206204166.66666666</v>
      </c>
      <c r="EI3" s="241">
        <f>AVERAGE(EG11:EG40)</f>
        <v>0</v>
      </c>
      <c r="EM3" s="241"/>
      <c r="EN3" s="241">
        <f>AVERAGE(EK11:EK40)</f>
        <v>205247500</v>
      </c>
    </row>
    <row r="4" spans="1:147" x14ac:dyDescent="0.25">
      <c r="E4" s="245" t="s">
        <v>44</v>
      </c>
      <c r="F4" s="241"/>
      <c r="G4" s="246">
        <f>EQ2</f>
        <v>329703089.45999998</v>
      </c>
      <c r="AI4" s="260" t="s">
        <v>47</v>
      </c>
      <c r="EB4" s="175" t="s">
        <v>48</v>
      </c>
      <c r="ED4" s="242"/>
      <c r="EE4" s="242">
        <f>IF(EE3=0,0,360*(AVERAGE(ED11:ED40)/EE3))</f>
        <v>4.5978991290993955E-2</v>
      </c>
      <c r="EI4" s="242">
        <f>IF(EI3=0,0,360*(AVERAGE(EH11:EH40)/EI3))</f>
        <v>0</v>
      </c>
      <c r="EM4" s="242"/>
      <c r="EN4" s="242">
        <f>IF(EN3=0,0,360*(AVERAGE(EM11:EM40)/EN3))</f>
        <v>4.599200639877872E-2</v>
      </c>
      <c r="EO4" s="202" t="s">
        <v>241</v>
      </c>
      <c r="EQ4" s="191" t="s">
        <v>47</v>
      </c>
    </row>
    <row r="5" spans="1:147" x14ac:dyDescent="0.25">
      <c r="E5" s="245" t="s">
        <v>46</v>
      </c>
      <c r="F5" s="241"/>
      <c r="G5" s="246">
        <f>EE3</f>
        <v>206204166.66666666</v>
      </c>
      <c r="AI5" s="268" t="s">
        <v>39</v>
      </c>
      <c r="EB5" s="175" t="s">
        <v>49</v>
      </c>
      <c r="ED5" s="241"/>
      <c r="EE5" s="241">
        <f>MAX(EB11:EB40)</f>
        <v>330525000</v>
      </c>
      <c r="EI5" s="241">
        <f>MAX(EG11:EG40)</f>
        <v>0</v>
      </c>
      <c r="EM5" s="241"/>
      <c r="EN5" s="241">
        <f>MAX(EK11:EK40)</f>
        <v>330525000</v>
      </c>
      <c r="EO5" s="175" t="s">
        <v>242</v>
      </c>
    </row>
    <row r="6" spans="1:147" x14ac:dyDescent="0.25">
      <c r="E6" s="245" t="s">
        <v>48</v>
      </c>
      <c r="F6" s="241"/>
      <c r="G6" s="247">
        <f>EE4</f>
        <v>4.5978991290993955E-2</v>
      </c>
    </row>
    <row r="7" spans="1:147" ht="15.75" thickBot="1" x14ac:dyDescent="0.3">
      <c r="E7" s="248" t="s">
        <v>49</v>
      </c>
      <c r="F7" s="249"/>
      <c r="G7" s="250">
        <f>EE5</f>
        <v>330525000</v>
      </c>
      <c r="AI7" s="268" t="s">
        <v>39</v>
      </c>
      <c r="EB7" s="269" t="s">
        <v>50</v>
      </c>
      <c r="EC7" s="269"/>
      <c r="ED7" s="251"/>
      <c r="EE7" s="251"/>
      <c r="EG7" s="269" t="s">
        <v>51</v>
      </c>
      <c r="EH7" s="251"/>
      <c r="EI7" s="251"/>
      <c r="EJ7" s="174"/>
      <c r="EK7" s="269" t="s">
        <v>52</v>
      </c>
      <c r="EL7" s="269"/>
      <c r="EM7" s="251"/>
      <c r="EN7" s="251"/>
    </row>
    <row r="8" spans="1:147" ht="15.75" thickTop="1" x14ac:dyDescent="0.25">
      <c r="AI8" s="263" t="s">
        <v>53</v>
      </c>
      <c r="AL8" s="263" t="s">
        <v>53</v>
      </c>
      <c r="AO8" s="263" t="s">
        <v>53</v>
      </c>
      <c r="AR8" s="263" t="s">
        <v>53</v>
      </c>
      <c r="AU8" s="263" t="s">
        <v>53</v>
      </c>
      <c r="AX8" s="263" t="s">
        <v>53</v>
      </c>
      <c r="BA8" s="263" t="s">
        <v>53</v>
      </c>
      <c r="BD8" s="263" t="s">
        <v>53</v>
      </c>
      <c r="BG8" s="263" t="s">
        <v>53</v>
      </c>
      <c r="BJ8" s="263" t="s">
        <v>53</v>
      </c>
      <c r="BM8" s="263" t="s">
        <v>53</v>
      </c>
      <c r="BP8" s="263" t="s">
        <v>53</v>
      </c>
      <c r="BS8" s="263" t="s">
        <v>53</v>
      </c>
      <c r="BV8" s="263" t="s">
        <v>53</v>
      </c>
      <c r="BY8" s="263" t="s">
        <v>53</v>
      </c>
      <c r="CB8" s="263" t="s">
        <v>53</v>
      </c>
      <c r="CE8" s="263" t="s">
        <v>53</v>
      </c>
      <c r="CH8" s="263" t="s">
        <v>53</v>
      </c>
      <c r="CK8" s="263" t="s">
        <v>53</v>
      </c>
      <c r="CN8" s="263" t="s">
        <v>53</v>
      </c>
      <c r="CQ8" s="263" t="s">
        <v>53</v>
      </c>
      <c r="CT8" s="263" t="s">
        <v>53</v>
      </c>
      <c r="CW8" s="263" t="s">
        <v>53</v>
      </c>
      <c r="CZ8" s="263" t="s">
        <v>53</v>
      </c>
      <c r="DC8" s="263" t="s">
        <v>53</v>
      </c>
      <c r="DF8" s="263" t="s">
        <v>53</v>
      </c>
      <c r="DI8" s="263" t="s">
        <v>53</v>
      </c>
      <c r="DL8" s="263" t="s">
        <v>53</v>
      </c>
      <c r="DO8" s="263" t="s">
        <v>53</v>
      </c>
      <c r="DR8" s="263" t="s">
        <v>53</v>
      </c>
      <c r="EB8" s="252"/>
      <c r="EC8" s="252"/>
      <c r="ED8" s="252"/>
      <c r="EE8" s="252" t="s">
        <v>54</v>
      </c>
      <c r="EG8" s="252"/>
      <c r="EH8" s="270" t="s">
        <v>38</v>
      </c>
      <c r="EI8" s="252" t="s">
        <v>54</v>
      </c>
      <c r="EJ8" s="252"/>
      <c r="EK8" s="191" t="s">
        <v>55</v>
      </c>
      <c r="EL8" s="191" t="s">
        <v>56</v>
      </c>
      <c r="EM8" s="270" t="s">
        <v>57</v>
      </c>
      <c r="EN8" s="252" t="s">
        <v>54</v>
      </c>
    </row>
    <row r="9" spans="1:147" x14ac:dyDescent="0.25">
      <c r="B9" s="253" t="s">
        <v>58</v>
      </c>
      <c r="C9" s="254"/>
      <c r="D9" s="251"/>
      <c r="E9" s="253" t="s">
        <v>59</v>
      </c>
      <c r="F9" s="254"/>
      <c r="G9" s="251"/>
      <c r="H9" s="253" t="s">
        <v>60</v>
      </c>
      <c r="I9" s="254"/>
      <c r="J9" s="251"/>
      <c r="K9" s="253" t="s">
        <v>61</v>
      </c>
      <c r="L9" s="254"/>
      <c r="M9" s="251"/>
      <c r="N9" s="253" t="s">
        <v>62</v>
      </c>
      <c r="O9" s="254"/>
      <c r="P9" s="251"/>
      <c r="Q9" s="253" t="s">
        <v>63</v>
      </c>
      <c r="R9" s="254"/>
      <c r="S9" s="251"/>
      <c r="T9" s="253" t="s">
        <v>64</v>
      </c>
      <c r="U9" s="254"/>
      <c r="V9" s="251"/>
      <c r="W9" s="253" t="s">
        <v>65</v>
      </c>
      <c r="X9" s="254"/>
      <c r="Y9" s="251"/>
      <c r="Z9" s="253" t="s">
        <v>66</v>
      </c>
      <c r="AA9" s="254"/>
      <c r="AB9" s="251"/>
      <c r="AC9" s="271" t="s">
        <v>67</v>
      </c>
      <c r="AD9" s="254"/>
      <c r="AE9" s="251"/>
      <c r="AF9" s="271" t="s">
        <v>68</v>
      </c>
      <c r="AG9" s="254"/>
      <c r="AH9" s="251"/>
      <c r="AI9" s="253" t="s">
        <v>69</v>
      </c>
      <c r="AJ9" s="254"/>
      <c r="AK9" s="251"/>
      <c r="AL9" s="253" t="s">
        <v>70</v>
      </c>
      <c r="AM9" s="254"/>
      <c r="AN9" s="251"/>
      <c r="AO9" s="253" t="s">
        <v>71</v>
      </c>
      <c r="AP9" s="254"/>
      <c r="AQ9" s="251"/>
      <c r="AR9" s="253" t="s">
        <v>72</v>
      </c>
      <c r="AS9" s="254"/>
      <c r="AT9" s="251"/>
      <c r="AU9" s="253" t="s">
        <v>73</v>
      </c>
      <c r="AV9" s="254"/>
      <c r="AW9" s="251"/>
      <c r="AX9" s="253" t="s">
        <v>74</v>
      </c>
      <c r="AY9" s="254"/>
      <c r="AZ9" s="251"/>
      <c r="BA9" s="253" t="s">
        <v>75</v>
      </c>
      <c r="BB9" s="254"/>
      <c r="BC9" s="251"/>
      <c r="BD9" s="253" t="s">
        <v>76</v>
      </c>
      <c r="BE9" s="254"/>
      <c r="BF9" s="251"/>
      <c r="BG9" s="253" t="s">
        <v>77</v>
      </c>
      <c r="BH9" s="254"/>
      <c r="BI9" s="251"/>
      <c r="BJ9" s="253" t="s">
        <v>78</v>
      </c>
      <c r="BK9" s="254"/>
      <c r="BL9" s="251"/>
      <c r="BM9" s="253" t="s">
        <v>79</v>
      </c>
      <c r="BN9" s="254"/>
      <c r="BO9" s="251"/>
      <c r="BP9" s="253" t="s">
        <v>80</v>
      </c>
      <c r="BQ9" s="254"/>
      <c r="BR9" s="251"/>
      <c r="BS9" s="253" t="s">
        <v>81</v>
      </c>
      <c r="BT9" s="254"/>
      <c r="BU9" s="251"/>
      <c r="BV9" s="253" t="s">
        <v>82</v>
      </c>
      <c r="BW9" s="254"/>
      <c r="BX9" s="251"/>
      <c r="BY9" s="253" t="s">
        <v>83</v>
      </c>
      <c r="BZ9" s="254"/>
      <c r="CA9" s="251"/>
      <c r="CB9" s="253" t="s">
        <v>84</v>
      </c>
      <c r="CC9" s="254"/>
      <c r="CD9" s="251"/>
      <c r="CE9" s="253" t="s">
        <v>85</v>
      </c>
      <c r="CF9" s="254"/>
      <c r="CG9" s="251"/>
      <c r="CH9" s="253" t="s">
        <v>86</v>
      </c>
      <c r="CI9" s="254"/>
      <c r="CJ9" s="251"/>
      <c r="CK9" s="253" t="s">
        <v>87</v>
      </c>
      <c r="CL9" s="254"/>
      <c r="CM9" s="251"/>
      <c r="CN9" s="253" t="s">
        <v>88</v>
      </c>
      <c r="CO9" s="254"/>
      <c r="CP9" s="251"/>
      <c r="CQ9" s="253" t="s">
        <v>89</v>
      </c>
      <c r="CR9" s="254"/>
      <c r="CS9" s="251"/>
      <c r="CT9" s="253" t="s">
        <v>90</v>
      </c>
      <c r="CU9" s="254"/>
      <c r="CV9" s="251"/>
      <c r="CW9" s="253" t="s">
        <v>91</v>
      </c>
      <c r="CX9" s="254"/>
      <c r="CY9" s="251"/>
      <c r="CZ9" s="253" t="s">
        <v>92</v>
      </c>
      <c r="DA9" s="254"/>
      <c r="DB9" s="251"/>
      <c r="DC9" s="253" t="s">
        <v>93</v>
      </c>
      <c r="DD9" s="254"/>
      <c r="DE9" s="251"/>
      <c r="DF9" s="253" t="s">
        <v>94</v>
      </c>
      <c r="DG9" s="254"/>
      <c r="DH9" s="251"/>
      <c r="DI9" s="253" t="s">
        <v>95</v>
      </c>
      <c r="DJ9" s="254"/>
      <c r="DK9" s="251"/>
      <c r="DL9" s="253" t="s">
        <v>96</v>
      </c>
      <c r="DM9" s="254"/>
      <c r="DN9" s="251"/>
      <c r="DO9" s="253" t="s">
        <v>97</v>
      </c>
      <c r="DP9" s="254"/>
      <c r="DQ9" s="251"/>
      <c r="DR9" s="253" t="s">
        <v>98</v>
      </c>
      <c r="DS9" s="254"/>
      <c r="DT9" s="251"/>
      <c r="DU9" s="253" t="s">
        <v>99</v>
      </c>
      <c r="DV9" s="254"/>
      <c r="DW9" s="251"/>
      <c r="DX9" s="272" t="s">
        <v>100</v>
      </c>
      <c r="DY9" s="254"/>
      <c r="DZ9" s="251"/>
      <c r="EA9" s="174"/>
      <c r="EB9" s="191" t="s">
        <v>101</v>
      </c>
      <c r="EC9" s="191" t="s">
        <v>102</v>
      </c>
      <c r="ED9" s="252" t="s">
        <v>103</v>
      </c>
      <c r="EE9" s="252" t="s">
        <v>104</v>
      </c>
      <c r="EG9" s="270" t="s">
        <v>105</v>
      </c>
      <c r="EH9" s="252" t="s">
        <v>103</v>
      </c>
      <c r="EI9" s="252" t="s">
        <v>104</v>
      </c>
      <c r="EJ9" s="252"/>
      <c r="EK9" s="270" t="s">
        <v>57</v>
      </c>
      <c r="EL9" s="270" t="s">
        <v>57</v>
      </c>
      <c r="EM9" s="252" t="s">
        <v>103</v>
      </c>
      <c r="EN9" s="252" t="s">
        <v>104</v>
      </c>
    </row>
    <row r="10" spans="1:147" x14ac:dyDescent="0.25">
      <c r="A10" s="252" t="s">
        <v>106</v>
      </c>
      <c r="B10" s="273" t="s">
        <v>107</v>
      </c>
      <c r="C10" s="274" t="s">
        <v>108</v>
      </c>
      <c r="D10" s="275" t="s">
        <v>12</v>
      </c>
      <c r="E10" s="273" t="s">
        <v>107</v>
      </c>
      <c r="F10" s="274" t="s">
        <v>108</v>
      </c>
      <c r="G10" s="275" t="s">
        <v>12</v>
      </c>
      <c r="H10" s="273" t="s">
        <v>107</v>
      </c>
      <c r="I10" s="274" t="s">
        <v>108</v>
      </c>
      <c r="J10" s="275" t="s">
        <v>12</v>
      </c>
      <c r="K10" s="273" t="s">
        <v>107</v>
      </c>
      <c r="L10" s="274" t="s">
        <v>108</v>
      </c>
      <c r="M10" s="275" t="s">
        <v>12</v>
      </c>
      <c r="N10" s="273" t="s">
        <v>107</v>
      </c>
      <c r="O10" s="274" t="s">
        <v>108</v>
      </c>
      <c r="P10" s="275" t="s">
        <v>12</v>
      </c>
      <c r="Q10" s="273" t="s">
        <v>107</v>
      </c>
      <c r="R10" s="274" t="s">
        <v>108</v>
      </c>
      <c r="S10" s="275" t="s">
        <v>12</v>
      </c>
      <c r="T10" s="273" t="s">
        <v>107</v>
      </c>
      <c r="U10" s="274" t="s">
        <v>108</v>
      </c>
      <c r="V10" s="275" t="s">
        <v>12</v>
      </c>
      <c r="W10" s="273" t="s">
        <v>107</v>
      </c>
      <c r="X10" s="274" t="s">
        <v>108</v>
      </c>
      <c r="Y10" s="275" t="s">
        <v>12</v>
      </c>
      <c r="Z10" s="273" t="s">
        <v>107</v>
      </c>
      <c r="AA10" s="274" t="s">
        <v>108</v>
      </c>
      <c r="AB10" s="275" t="s">
        <v>12</v>
      </c>
      <c r="AC10" s="273" t="s">
        <v>107</v>
      </c>
      <c r="AD10" s="274" t="s">
        <v>108</v>
      </c>
      <c r="AE10" s="275" t="s">
        <v>12</v>
      </c>
      <c r="AF10" s="273" t="s">
        <v>107</v>
      </c>
      <c r="AG10" s="274" t="s">
        <v>108</v>
      </c>
      <c r="AH10" s="275" t="s">
        <v>12</v>
      </c>
      <c r="AI10" s="273" t="s">
        <v>107</v>
      </c>
      <c r="AJ10" s="274" t="s">
        <v>108</v>
      </c>
      <c r="AK10" s="275" t="s">
        <v>12</v>
      </c>
      <c r="AL10" s="273" t="s">
        <v>107</v>
      </c>
      <c r="AM10" s="274" t="s">
        <v>108</v>
      </c>
      <c r="AN10" s="275" t="s">
        <v>12</v>
      </c>
      <c r="AO10" s="273" t="s">
        <v>107</v>
      </c>
      <c r="AP10" s="274" t="s">
        <v>108</v>
      </c>
      <c r="AQ10" s="275" t="s">
        <v>12</v>
      </c>
      <c r="AR10" s="273" t="s">
        <v>107</v>
      </c>
      <c r="AS10" s="274" t="s">
        <v>108</v>
      </c>
      <c r="AT10" s="275" t="s">
        <v>12</v>
      </c>
      <c r="AU10" s="273" t="s">
        <v>107</v>
      </c>
      <c r="AV10" s="274" t="s">
        <v>108</v>
      </c>
      <c r="AW10" s="275" t="s">
        <v>12</v>
      </c>
      <c r="AX10" s="273" t="s">
        <v>107</v>
      </c>
      <c r="AY10" s="274" t="s">
        <v>108</v>
      </c>
      <c r="AZ10" s="275" t="s">
        <v>12</v>
      </c>
      <c r="BA10" s="273" t="s">
        <v>107</v>
      </c>
      <c r="BB10" s="274" t="s">
        <v>108</v>
      </c>
      <c r="BC10" s="275" t="s">
        <v>12</v>
      </c>
      <c r="BD10" s="273" t="s">
        <v>107</v>
      </c>
      <c r="BE10" s="274" t="s">
        <v>108</v>
      </c>
      <c r="BF10" s="275" t="s">
        <v>12</v>
      </c>
      <c r="BG10" s="273" t="s">
        <v>107</v>
      </c>
      <c r="BH10" s="274" t="s">
        <v>108</v>
      </c>
      <c r="BI10" s="275" t="s">
        <v>12</v>
      </c>
      <c r="BJ10" s="273" t="s">
        <v>107</v>
      </c>
      <c r="BK10" s="274" t="s">
        <v>108</v>
      </c>
      <c r="BL10" s="275" t="s">
        <v>12</v>
      </c>
      <c r="BM10" s="273" t="s">
        <v>107</v>
      </c>
      <c r="BN10" s="274" t="s">
        <v>108</v>
      </c>
      <c r="BO10" s="275" t="s">
        <v>12</v>
      </c>
      <c r="BP10" s="273" t="s">
        <v>107</v>
      </c>
      <c r="BQ10" s="274" t="s">
        <v>108</v>
      </c>
      <c r="BR10" s="275" t="s">
        <v>12</v>
      </c>
      <c r="BS10" s="273" t="s">
        <v>107</v>
      </c>
      <c r="BT10" s="274" t="s">
        <v>108</v>
      </c>
      <c r="BU10" s="275" t="s">
        <v>12</v>
      </c>
      <c r="BV10" s="273" t="s">
        <v>107</v>
      </c>
      <c r="BW10" s="274" t="s">
        <v>108</v>
      </c>
      <c r="BX10" s="275" t="s">
        <v>12</v>
      </c>
      <c r="BY10" s="273" t="s">
        <v>107</v>
      </c>
      <c r="BZ10" s="274" t="s">
        <v>108</v>
      </c>
      <c r="CA10" s="275" t="s">
        <v>12</v>
      </c>
      <c r="CB10" s="273" t="s">
        <v>107</v>
      </c>
      <c r="CC10" s="274" t="s">
        <v>108</v>
      </c>
      <c r="CD10" s="275" t="s">
        <v>12</v>
      </c>
      <c r="CE10" s="273" t="s">
        <v>107</v>
      </c>
      <c r="CF10" s="274" t="s">
        <v>108</v>
      </c>
      <c r="CG10" s="275" t="s">
        <v>12</v>
      </c>
      <c r="CH10" s="273" t="s">
        <v>107</v>
      </c>
      <c r="CI10" s="274" t="s">
        <v>108</v>
      </c>
      <c r="CJ10" s="275" t="s">
        <v>12</v>
      </c>
      <c r="CK10" s="273" t="s">
        <v>107</v>
      </c>
      <c r="CL10" s="274" t="s">
        <v>108</v>
      </c>
      <c r="CM10" s="275" t="s">
        <v>12</v>
      </c>
      <c r="CN10" s="273" t="s">
        <v>107</v>
      </c>
      <c r="CO10" s="274" t="s">
        <v>108</v>
      </c>
      <c r="CP10" s="275" t="s">
        <v>12</v>
      </c>
      <c r="CQ10" s="273" t="s">
        <v>107</v>
      </c>
      <c r="CR10" s="274" t="s">
        <v>108</v>
      </c>
      <c r="CS10" s="275" t="s">
        <v>12</v>
      </c>
      <c r="CT10" s="273" t="s">
        <v>107</v>
      </c>
      <c r="CU10" s="274" t="s">
        <v>108</v>
      </c>
      <c r="CV10" s="275" t="s">
        <v>12</v>
      </c>
      <c r="CW10" s="273" t="s">
        <v>107</v>
      </c>
      <c r="CX10" s="274" t="s">
        <v>108</v>
      </c>
      <c r="CY10" s="275" t="s">
        <v>12</v>
      </c>
      <c r="CZ10" s="273" t="s">
        <v>107</v>
      </c>
      <c r="DA10" s="274" t="s">
        <v>108</v>
      </c>
      <c r="DB10" s="275" t="s">
        <v>12</v>
      </c>
      <c r="DC10" s="273" t="s">
        <v>107</v>
      </c>
      <c r="DD10" s="274" t="s">
        <v>108</v>
      </c>
      <c r="DE10" s="275" t="s">
        <v>12</v>
      </c>
      <c r="DF10" s="273" t="s">
        <v>107</v>
      </c>
      <c r="DG10" s="274" t="s">
        <v>108</v>
      </c>
      <c r="DH10" s="275" t="s">
        <v>12</v>
      </c>
      <c r="DI10" s="273" t="s">
        <v>107</v>
      </c>
      <c r="DJ10" s="274" t="s">
        <v>108</v>
      </c>
      <c r="DK10" s="275" t="s">
        <v>12</v>
      </c>
      <c r="DL10" s="273" t="s">
        <v>107</v>
      </c>
      <c r="DM10" s="274" t="s">
        <v>108</v>
      </c>
      <c r="DN10" s="275" t="s">
        <v>12</v>
      </c>
      <c r="DO10" s="273" t="s">
        <v>107</v>
      </c>
      <c r="DP10" s="274" t="s">
        <v>108</v>
      </c>
      <c r="DQ10" s="275" t="s">
        <v>12</v>
      </c>
      <c r="DR10" s="273" t="s">
        <v>107</v>
      </c>
      <c r="DS10" s="274" t="s">
        <v>108</v>
      </c>
      <c r="DT10" s="275" t="s">
        <v>12</v>
      </c>
      <c r="DU10" s="273" t="s">
        <v>107</v>
      </c>
      <c r="DV10" s="274" t="s">
        <v>108</v>
      </c>
      <c r="DW10" s="275" t="s">
        <v>12</v>
      </c>
      <c r="DX10" s="273" t="s">
        <v>107</v>
      </c>
      <c r="DY10" s="274"/>
      <c r="DZ10" s="275"/>
      <c r="EA10" s="275"/>
      <c r="EB10" s="275" t="s">
        <v>109</v>
      </c>
      <c r="EC10" s="275" t="s">
        <v>109</v>
      </c>
      <c r="ED10" s="275" t="s">
        <v>12</v>
      </c>
      <c r="EE10" s="275" t="s">
        <v>108</v>
      </c>
      <c r="EG10" s="275" t="s">
        <v>109</v>
      </c>
      <c r="EH10" s="275" t="s">
        <v>12</v>
      </c>
      <c r="EI10" s="275" t="s">
        <v>108</v>
      </c>
      <c r="EJ10" s="275"/>
      <c r="EK10" s="275" t="s">
        <v>109</v>
      </c>
      <c r="EL10" s="275" t="s">
        <v>109</v>
      </c>
      <c r="EM10" s="275" t="s">
        <v>12</v>
      </c>
      <c r="EN10" s="275" t="s">
        <v>108</v>
      </c>
    </row>
    <row r="11" spans="1:147" x14ac:dyDescent="0.25">
      <c r="A11" s="255">
        <v>45809</v>
      </c>
      <c r="B11" s="241">
        <v>0</v>
      </c>
      <c r="C11" s="242">
        <v>4.7E-2</v>
      </c>
      <c r="D11" s="241">
        <f>(B11*C11)/360</f>
        <v>0</v>
      </c>
      <c r="G11" s="241">
        <f>(E11*F11)/360</f>
        <v>0</v>
      </c>
      <c r="J11" s="241">
        <f>(H11*I11)/360</f>
        <v>0</v>
      </c>
      <c r="M11" s="241">
        <f>(K11*L11)/360</f>
        <v>0</v>
      </c>
      <c r="P11" s="241">
        <f>(N11*O11)/360</f>
        <v>0</v>
      </c>
      <c r="S11" s="241">
        <f>(Q11*R11)/360</f>
        <v>0</v>
      </c>
      <c r="V11" s="241">
        <f>(T11*U11)/360</f>
        <v>0</v>
      </c>
      <c r="Y11" s="241">
        <f>(W11*X11)/360</f>
        <v>0</v>
      </c>
      <c r="AB11" s="241">
        <f>(Z11*AA11)/360</f>
        <v>0</v>
      </c>
      <c r="AE11" s="241">
        <v>0</v>
      </c>
      <c r="AH11" s="241">
        <v>0</v>
      </c>
      <c r="AI11" s="256">
        <f>75000000+63900000</f>
        <v>138900000</v>
      </c>
      <c r="AJ11" s="257">
        <v>4.5699999999999998E-2</v>
      </c>
      <c r="AK11" s="241">
        <f>(AI11*AJ11)/360</f>
        <v>17632.583333333332</v>
      </c>
      <c r="AL11" s="256"/>
      <c r="AM11" s="257"/>
      <c r="AN11" s="241">
        <f>(AL11*AM11)/360</f>
        <v>0</v>
      </c>
      <c r="AO11" s="256"/>
      <c r="AP11" s="257"/>
      <c r="AQ11" s="241">
        <f>(AO11*AP11)/360</f>
        <v>0</v>
      </c>
      <c r="AR11" s="256"/>
      <c r="AS11" s="257"/>
      <c r="AT11" s="241">
        <f>(AR11*AS11)/360</f>
        <v>0</v>
      </c>
      <c r="AW11" s="241">
        <f>(AU11*AV11)/360</f>
        <v>0</v>
      </c>
      <c r="AZ11" s="241">
        <f>(AX11*AY11)/360</f>
        <v>0</v>
      </c>
      <c r="BC11" s="241">
        <f>(BA11*BB11)/360</f>
        <v>0</v>
      </c>
      <c r="BF11" s="241">
        <f>(BD11*BE11)/360</f>
        <v>0</v>
      </c>
      <c r="BI11" s="241">
        <f>(BG11*BH11)/360</f>
        <v>0</v>
      </c>
      <c r="BL11" s="241">
        <f>(BJ11*BK11)/360</f>
        <v>0</v>
      </c>
      <c r="BO11" s="241">
        <f>(BM11*BN11)/360</f>
        <v>0</v>
      </c>
      <c r="BR11" s="241">
        <f>(BP11*BQ11)/360</f>
        <v>0</v>
      </c>
      <c r="BU11" s="241">
        <f>(BS11*BT11)/360</f>
        <v>0</v>
      </c>
      <c r="BX11" s="241">
        <f>(BV11*BW11)/360</f>
        <v>0</v>
      </c>
      <c r="CA11" s="241">
        <f>(BY11*BZ11)/360</f>
        <v>0</v>
      </c>
      <c r="CD11" s="241">
        <f>(CB11*CC11)/360</f>
        <v>0</v>
      </c>
      <c r="CG11" s="241">
        <f>(CE11*CF11)/360</f>
        <v>0</v>
      </c>
      <c r="CJ11" s="241">
        <f>(CH11*CI11)/360</f>
        <v>0</v>
      </c>
      <c r="CM11" s="241">
        <f>(CK11*CL11)/360</f>
        <v>0</v>
      </c>
      <c r="CP11" s="241">
        <f>(CN11*CO11)/360</f>
        <v>0</v>
      </c>
      <c r="CS11" s="241">
        <f>(CQ11*CR11)/360</f>
        <v>0</v>
      </c>
      <c r="CV11" s="241">
        <f>(CT11*CU11)/360</f>
        <v>0</v>
      </c>
      <c r="CY11" s="241">
        <f>(CW11*CX11)/360</f>
        <v>0</v>
      </c>
      <c r="DB11" s="241">
        <f>(CZ11*DA11)/360</f>
        <v>0</v>
      </c>
      <c r="DE11" s="241">
        <f>(DC11*DD11)/360</f>
        <v>0</v>
      </c>
      <c r="DH11" s="241">
        <f>(DF11*DG11)/360</f>
        <v>0</v>
      </c>
      <c r="DK11" s="241">
        <f>(DI11*DJ11)/360</f>
        <v>0</v>
      </c>
      <c r="DN11" s="241">
        <f>(DL11*DM11)/360</f>
        <v>0</v>
      </c>
      <c r="DQ11" s="241">
        <f>(DO11*DP11)/360</f>
        <v>0</v>
      </c>
      <c r="DT11" s="241">
        <f>(DR11*DS11)/360</f>
        <v>0</v>
      </c>
      <c r="DW11" s="241">
        <f>(DU11*DV11)/360</f>
        <v>0</v>
      </c>
      <c r="DZ11" s="241"/>
      <c r="EA11" s="241"/>
      <c r="EB11" s="261">
        <f>B11+E11+H11+K11+N11+Q11+T11+W11+Z11+AC11+AF11+AL11+AO11+AR11+AU11+AX11+BA11+BD11+BG11+DU11+AI11+DR11+DO11+DL11+DI11+DF11+DC11+CZ11+CW11+CT11+CQ11+CN11+CK11+CH11+CE11+CB11+BY11+BV11+BS11+BP11+BM11+BJ11</f>
        <v>138900000</v>
      </c>
      <c r="EC11" s="261">
        <f>EB11-EK11+EL11</f>
        <v>0</v>
      </c>
      <c r="ED11" s="241">
        <f>D11+G11+J11+M11+P11+S11+V11+Y11+AB11+AE11+AH11+AK11+AN11+AQ11+AT11+AW11+AZ11+BC11+BF11+BI11+DW11+DT11+DQ11+DN11+DK11+DH11+DE11+DB11+CY11+CV11+CS11+CP11+CM11+CJ11+CG11+CD11+CA11+BX11+BU11+BR11+BO11+BL11</f>
        <v>17632.583333333332</v>
      </c>
      <c r="EE11" s="242">
        <f>IF(EB11&lt;&gt;0,((ED11/EB11)*360),0)</f>
        <v>4.5699999999999998E-2</v>
      </c>
      <c r="EG11" s="261">
        <f>Q11+T11+W11+Z11+AC11+AF11</f>
        <v>0</v>
      </c>
      <c r="EH11" s="241">
        <f>S11+V11+Y11+AB11+AE11+AH11</f>
        <v>0</v>
      </c>
      <c r="EI11" s="242">
        <f>IF(EG11&lt;&gt;0,((EH11/EG11)*360),0)</f>
        <v>0</v>
      </c>
      <c r="EJ11" s="242"/>
      <c r="EK11" s="261">
        <f>DR11+DL11+DI11+DF11+DC11+CZ11+CW11+CT11+CQ11+CN11+CK11+CH11+CE11+CB11+BY11+BV11+BS11+BP11+BM11+BJ11+BG11+BD11+BA11+AX11+AU11+AR11+AO11+AL11+AI11+DO11</f>
        <v>138900000</v>
      </c>
      <c r="EL11" s="261">
        <f>DX11</f>
        <v>0</v>
      </c>
      <c r="EM11" s="261">
        <f>DT11+DQ11+DN11+DK11+DH11+DE11+DB11+CY11+CV11+CS11+CP11+CM11+CJ11+CG11+CD11+CA11+BX11+BU11+BR11+BO11+BL11+BI11+BF11+BC11+AZ11+AW11+AT11+AQ11+AN11+AK11</f>
        <v>17632.583333333332</v>
      </c>
      <c r="EN11" s="242">
        <f>IF(EK11&lt;&gt;0,((EM11/EK11)*360),0)</f>
        <v>4.5699999999999998E-2</v>
      </c>
      <c r="EP11" s="241"/>
    </row>
    <row r="12" spans="1:147" x14ac:dyDescent="0.25">
      <c r="A12" s="255">
        <f>1+A11</f>
        <v>45810</v>
      </c>
      <c r="B12" s="241">
        <v>0</v>
      </c>
      <c r="C12" s="242">
        <v>4.6761829999999997E-2</v>
      </c>
      <c r="D12" s="241">
        <f t="shared" ref="D12:D40" si="0">(B12*C12)/360</f>
        <v>0</v>
      </c>
      <c r="G12" s="241">
        <f t="shared" ref="G12:G40" si="1">(E12*F12)/360</f>
        <v>0</v>
      </c>
      <c r="J12" s="241">
        <f t="shared" ref="J12:J40" si="2">(H12*I12)/360</f>
        <v>0</v>
      </c>
      <c r="M12" s="241">
        <f t="shared" ref="M12:M40" si="3">(K12*L12)/360</f>
        <v>0</v>
      </c>
      <c r="P12" s="241">
        <f t="shared" ref="P12:P40" si="4">(N12*O12)/360</f>
        <v>0</v>
      </c>
      <c r="S12" s="241">
        <f t="shared" ref="S12:S40" si="5">(Q12*R12)/360</f>
        <v>0</v>
      </c>
      <c r="V12" s="241">
        <f t="shared" ref="V12:V40" si="6">(T12*U12)/360</f>
        <v>0</v>
      </c>
      <c r="Y12" s="241">
        <f t="shared" ref="Y12:Y40" si="7">(W12*X12)/360</f>
        <v>0</v>
      </c>
      <c r="AB12" s="241">
        <f t="shared" ref="AB12:AB40" si="8">(Z12*AA12)/360</f>
        <v>0</v>
      </c>
      <c r="AE12" s="241">
        <v>0</v>
      </c>
      <c r="AH12" s="241">
        <v>0</v>
      </c>
      <c r="AI12" s="256">
        <f>61125000+30000000</f>
        <v>91125000</v>
      </c>
      <c r="AJ12" s="257">
        <v>4.5600000000000002E-2</v>
      </c>
      <c r="AK12" s="241">
        <f t="shared" ref="AK12:AK40" si="9">(AI12*AJ12)/360</f>
        <v>11542.5</v>
      </c>
      <c r="AL12" s="256">
        <f>30000000+20000000</f>
        <v>50000000</v>
      </c>
      <c r="AM12" s="257">
        <v>4.65E-2</v>
      </c>
      <c r="AN12" s="241">
        <f t="shared" ref="AN12:AN40" si="10">(AL12*AM12)/360</f>
        <v>6458.333333333333</v>
      </c>
      <c r="AO12" s="256"/>
      <c r="AP12" s="257"/>
      <c r="AQ12" s="241">
        <f t="shared" ref="AQ12:AQ40" si="11">(AO12*AP12)/360</f>
        <v>0</v>
      </c>
      <c r="AR12" s="256"/>
      <c r="AS12" s="257"/>
      <c r="AT12" s="241">
        <f t="shared" ref="AT12:AT40" si="12">(AR12*AS12)/360</f>
        <v>0</v>
      </c>
      <c r="AW12" s="241">
        <f t="shared" ref="AW12:AW40" si="13">(AU12*AV12)/360</f>
        <v>0</v>
      </c>
      <c r="AZ12" s="241">
        <f t="shared" ref="AZ12:AZ40" si="14">(AX12*AY12)/360</f>
        <v>0</v>
      </c>
      <c r="BC12" s="241">
        <f t="shared" ref="BC12:BC40" si="15">(BA12*BB12)/360</f>
        <v>0</v>
      </c>
      <c r="BF12" s="241">
        <f t="shared" ref="BF12:BF40" si="16">(BD12*BE12)/360</f>
        <v>0</v>
      </c>
      <c r="BI12" s="241">
        <f t="shared" ref="BI12:BI40" si="17">(BG12*BH12)/360</f>
        <v>0</v>
      </c>
      <c r="BL12" s="241">
        <f t="shared" ref="BL12:BL40" si="18">(BJ12*BK12)/360</f>
        <v>0</v>
      </c>
      <c r="BO12" s="241">
        <f t="shared" ref="BO12:BO40" si="19">(BM12*BN12)/360</f>
        <v>0</v>
      </c>
      <c r="BR12" s="241">
        <f t="shared" ref="BR12:BR40" si="20">(BP12*BQ12)/360</f>
        <v>0</v>
      </c>
      <c r="BU12" s="241">
        <f t="shared" ref="BU12:BU40" si="21">(BS12*BT12)/360</f>
        <v>0</v>
      </c>
      <c r="BX12" s="241">
        <f t="shared" ref="BX12:BX40" si="22">(BV12*BW12)/360</f>
        <v>0</v>
      </c>
      <c r="CA12" s="241">
        <f t="shared" ref="CA12:CA40" si="23">(BY12*BZ12)/360</f>
        <v>0</v>
      </c>
      <c r="CD12" s="241">
        <f t="shared" ref="CD12:CD40" si="24">(CB12*CC12)/360</f>
        <v>0</v>
      </c>
      <c r="CG12" s="241">
        <f t="shared" ref="CG12:CG40" si="25">(CE12*CF12)/360</f>
        <v>0</v>
      </c>
      <c r="CJ12" s="241">
        <f t="shared" ref="CJ12:CJ40" si="26">(CH12*CI12)/360</f>
        <v>0</v>
      </c>
      <c r="CM12" s="241">
        <f t="shared" ref="CM12:CM40" si="27">(CK12*CL12)/360</f>
        <v>0</v>
      </c>
      <c r="CP12" s="241">
        <f t="shared" ref="CP12:CP40" si="28">(CN12*CO12)/360</f>
        <v>0</v>
      </c>
      <c r="CS12" s="241">
        <f t="shared" ref="CS12:CS40" si="29">(CQ12*CR12)/360</f>
        <v>0</v>
      </c>
      <c r="CV12" s="241">
        <f t="shared" ref="CV12:CV40" si="30">(CT12*CU12)/360</f>
        <v>0</v>
      </c>
      <c r="CY12" s="241">
        <f t="shared" ref="CY12:CY40" si="31">(CW12*CX12)/360</f>
        <v>0</v>
      </c>
      <c r="DB12" s="241">
        <f t="shared" ref="DB12:DB40" si="32">(CZ12*DA12)/360</f>
        <v>0</v>
      </c>
      <c r="DE12" s="241">
        <f t="shared" ref="DE12:DE40" si="33">(DC12*DD12)/360</f>
        <v>0</v>
      </c>
      <c r="DH12" s="241">
        <f t="shared" ref="DH12:DH40" si="34">(DF12*DG12)/360</f>
        <v>0</v>
      </c>
      <c r="DK12" s="241">
        <f t="shared" ref="DK12:DK40" si="35">(DI12*DJ12)/360</f>
        <v>0</v>
      </c>
      <c r="DN12" s="241">
        <f t="shared" ref="DN12:DN40" si="36">(DL12*DM12)/360</f>
        <v>0</v>
      </c>
      <c r="DQ12" s="241">
        <f t="shared" ref="DQ12:DQ40" si="37">(DO12*DP12)/360</f>
        <v>0</v>
      </c>
      <c r="DT12" s="241">
        <f t="shared" ref="DT12:DT40" si="38">(DR12*DS12)/360</f>
        <v>0</v>
      </c>
      <c r="DW12" s="241">
        <f t="shared" ref="DW12:DW40" si="39">(DU12*DV12)/360</f>
        <v>0</v>
      </c>
      <c r="DZ12" s="241"/>
      <c r="EA12" s="241"/>
      <c r="EB12" s="261">
        <f t="shared" ref="EB12:EB40" si="40">B12+E12+H12+K12+N12+Q12+T12+W12+Z12+AC12+AF12+AL12+AO12+AR12+AU12+AX12+BA12+BD12+BG12+DU12+AI12+DR12+DO12+DL12+DI12+DF12+DC12+CZ12+CW12+CT12+CQ12+CN12+CK12+CH12+CE12+CB12+BY12+BV12+BS12+BP12+BM12+BJ12</f>
        <v>141125000</v>
      </c>
      <c r="EC12" s="261">
        <f t="shared" ref="EC12:EC40" si="41">EB12-EK12+EL12</f>
        <v>0</v>
      </c>
      <c r="ED12" s="241">
        <f t="shared" ref="ED12:ED40" si="42">D12+G12+J12+M12+P12+S12+V12+Y12+AB12+AE12+AH12+AK12+AN12+AQ12+AT12+AW12+AZ12+BC12+BF12+BI12+DW12+DT12+DQ12+DN12+DK12+DH12+DE12+DB12+CY12+CV12+CS12+CP12+CM12+CJ12+CG12+CD12+CA12+BX12+BU12+BR12+BO12+BL12</f>
        <v>18000.833333333332</v>
      </c>
      <c r="EE12" s="242">
        <f t="shared" ref="EE12:EE40" si="43">IF(EB12&lt;&gt;0,((ED12/EB12)*360),0)</f>
        <v>4.5918866253321519E-2</v>
      </c>
      <c r="EG12" s="261">
        <f t="shared" ref="EG12:EG40" si="44">Q12+T12+W12+Z12+AC12+AF12</f>
        <v>0</v>
      </c>
      <c r="EH12" s="241">
        <f t="shared" ref="EH12:EH40" si="45">S12+V12+Y12+AB12+AE12+AH12</f>
        <v>0</v>
      </c>
      <c r="EI12" s="242">
        <f t="shared" ref="EI12:EI40" si="46">IF(EG12&lt;&gt;0,((EH12/EG12)*360),0)</f>
        <v>0</v>
      </c>
      <c r="EJ12" s="242"/>
      <c r="EK12" s="261">
        <f t="shared" ref="EK12:EK40" si="47">DR12+DL12+DI12+DF12+DC12+CZ12+CW12+CT12+CQ12+CN12+CK12+CH12+CE12+CB12+BY12+BV12+BS12+BP12+BM12+BJ12+BG12+BD12+BA12+AX12+AU12+AR12+AO12+AL12+AI12+DO12</f>
        <v>141125000</v>
      </c>
      <c r="EL12" s="261">
        <f t="shared" ref="EL12:EL40" si="48">DX12</f>
        <v>0</v>
      </c>
      <c r="EM12" s="261">
        <f t="shared" ref="EM12:EM40" si="49">DT12+DQ12+DN12+DK12+DH12+DE12+DB12+CY12+CV12+CS12+CP12+CM12+CJ12+CG12+CD12+CA12+BX12+BU12+BR12+BO12+BL12+BI12+BF12+BC12+AZ12+AW12+AT12+AQ12+AN12+AK12</f>
        <v>18000.833333333332</v>
      </c>
      <c r="EN12" s="242">
        <f t="shared" ref="EN12:EN40" si="50">IF(EK12&lt;&gt;0,((EM12/EK12)*360),0)</f>
        <v>4.5918866253321519E-2</v>
      </c>
      <c r="EP12" s="241"/>
    </row>
    <row r="13" spans="1:147" x14ac:dyDescent="0.25">
      <c r="A13" s="255">
        <f t="shared" ref="A13:A40" si="51">1+A12</f>
        <v>45811</v>
      </c>
      <c r="B13" s="241">
        <v>0</v>
      </c>
      <c r="C13" s="242">
        <v>4.6885659999999996E-2</v>
      </c>
      <c r="D13" s="241">
        <f t="shared" si="0"/>
        <v>0</v>
      </c>
      <c r="G13" s="241">
        <f t="shared" si="1"/>
        <v>0</v>
      </c>
      <c r="J13" s="241">
        <f t="shared" si="2"/>
        <v>0</v>
      </c>
      <c r="M13" s="241">
        <f t="shared" si="3"/>
        <v>0</v>
      </c>
      <c r="P13" s="241">
        <f t="shared" si="4"/>
        <v>0</v>
      </c>
      <c r="S13" s="241">
        <f t="shared" si="5"/>
        <v>0</v>
      </c>
      <c r="V13" s="241">
        <f t="shared" si="6"/>
        <v>0</v>
      </c>
      <c r="Y13" s="241">
        <f t="shared" si="7"/>
        <v>0</v>
      </c>
      <c r="AB13" s="241">
        <f t="shared" si="8"/>
        <v>0</v>
      </c>
      <c r="AE13" s="241">
        <v>0</v>
      </c>
      <c r="AH13" s="241">
        <v>0</v>
      </c>
      <c r="AI13" s="256">
        <f>53550000+30000000</f>
        <v>83550000</v>
      </c>
      <c r="AJ13" s="257">
        <v>4.5600000000000002E-2</v>
      </c>
      <c r="AK13" s="241">
        <f t="shared" si="9"/>
        <v>10583</v>
      </c>
      <c r="AL13" s="256">
        <f>30000000+20000000</f>
        <v>50000000</v>
      </c>
      <c r="AM13" s="257">
        <v>4.65E-2</v>
      </c>
      <c r="AN13" s="241">
        <f t="shared" si="10"/>
        <v>6458.333333333333</v>
      </c>
      <c r="AO13" s="256"/>
      <c r="AP13" s="257"/>
      <c r="AQ13" s="241">
        <f t="shared" si="11"/>
        <v>0</v>
      </c>
      <c r="AR13" s="256"/>
      <c r="AS13" s="257"/>
      <c r="AT13" s="241">
        <f t="shared" si="12"/>
        <v>0</v>
      </c>
      <c r="AW13" s="241">
        <f t="shared" si="13"/>
        <v>0</v>
      </c>
      <c r="AZ13" s="241">
        <f t="shared" si="14"/>
        <v>0</v>
      </c>
      <c r="BC13" s="241">
        <f t="shared" si="15"/>
        <v>0</v>
      </c>
      <c r="BF13" s="241">
        <f t="shared" si="16"/>
        <v>0</v>
      </c>
      <c r="BI13" s="241">
        <f t="shared" si="17"/>
        <v>0</v>
      </c>
      <c r="BL13" s="241">
        <f t="shared" si="18"/>
        <v>0</v>
      </c>
      <c r="BO13" s="241">
        <f t="shared" si="19"/>
        <v>0</v>
      </c>
      <c r="BR13" s="241">
        <f t="shared" si="20"/>
        <v>0</v>
      </c>
      <c r="BU13" s="241">
        <f t="shared" si="21"/>
        <v>0</v>
      </c>
      <c r="BX13" s="241">
        <f t="shared" si="22"/>
        <v>0</v>
      </c>
      <c r="CA13" s="241">
        <f t="shared" si="23"/>
        <v>0</v>
      </c>
      <c r="CD13" s="241">
        <f t="shared" si="24"/>
        <v>0</v>
      </c>
      <c r="CG13" s="241">
        <f t="shared" si="25"/>
        <v>0</v>
      </c>
      <c r="CJ13" s="241">
        <f t="shared" si="26"/>
        <v>0</v>
      </c>
      <c r="CM13" s="241">
        <f t="shared" si="27"/>
        <v>0</v>
      </c>
      <c r="CP13" s="241">
        <f t="shared" si="28"/>
        <v>0</v>
      </c>
      <c r="CS13" s="241">
        <f t="shared" si="29"/>
        <v>0</v>
      </c>
      <c r="CV13" s="241">
        <f t="shared" si="30"/>
        <v>0</v>
      </c>
      <c r="CY13" s="241">
        <f t="shared" si="31"/>
        <v>0</v>
      </c>
      <c r="DB13" s="241">
        <f t="shared" si="32"/>
        <v>0</v>
      </c>
      <c r="DE13" s="241">
        <f t="shared" si="33"/>
        <v>0</v>
      </c>
      <c r="DH13" s="241">
        <f t="shared" si="34"/>
        <v>0</v>
      </c>
      <c r="DK13" s="241">
        <f t="shared" si="35"/>
        <v>0</v>
      </c>
      <c r="DN13" s="241">
        <f t="shared" si="36"/>
        <v>0</v>
      </c>
      <c r="DQ13" s="241">
        <f t="shared" si="37"/>
        <v>0</v>
      </c>
      <c r="DT13" s="241">
        <f t="shared" si="38"/>
        <v>0</v>
      </c>
      <c r="DW13" s="241">
        <f t="shared" si="39"/>
        <v>0</v>
      </c>
      <c r="DZ13" s="241"/>
      <c r="EA13" s="241"/>
      <c r="EB13" s="261">
        <f t="shared" si="40"/>
        <v>133550000</v>
      </c>
      <c r="EC13" s="261">
        <f t="shared" si="41"/>
        <v>0</v>
      </c>
      <c r="ED13" s="241">
        <f t="shared" si="42"/>
        <v>17041.333333333332</v>
      </c>
      <c r="EE13" s="242">
        <f t="shared" si="43"/>
        <v>4.5936952452265069E-2</v>
      </c>
      <c r="EG13" s="261">
        <f t="shared" si="44"/>
        <v>0</v>
      </c>
      <c r="EH13" s="241">
        <f t="shared" si="45"/>
        <v>0</v>
      </c>
      <c r="EI13" s="242">
        <f t="shared" si="46"/>
        <v>0</v>
      </c>
      <c r="EJ13" s="242"/>
      <c r="EK13" s="261">
        <f t="shared" si="47"/>
        <v>133550000</v>
      </c>
      <c r="EL13" s="261">
        <f t="shared" si="48"/>
        <v>0</v>
      </c>
      <c r="EM13" s="261">
        <f t="shared" si="49"/>
        <v>17041.333333333332</v>
      </c>
      <c r="EN13" s="242">
        <f t="shared" si="50"/>
        <v>4.5936952452265069E-2</v>
      </c>
      <c r="EP13" s="241"/>
    </row>
    <row r="14" spans="1:147" x14ac:dyDescent="0.25">
      <c r="A14" s="255">
        <f t="shared" si="51"/>
        <v>45812</v>
      </c>
      <c r="B14" s="241">
        <v>0</v>
      </c>
      <c r="C14" s="242">
        <v>4.6863270000000005E-2</v>
      </c>
      <c r="D14" s="241">
        <f t="shared" si="0"/>
        <v>0</v>
      </c>
      <c r="G14" s="241">
        <f t="shared" si="1"/>
        <v>0</v>
      </c>
      <c r="J14" s="241">
        <f t="shared" si="2"/>
        <v>0</v>
      </c>
      <c r="M14" s="241">
        <f t="shared" si="3"/>
        <v>0</v>
      </c>
      <c r="P14" s="241">
        <f t="shared" si="4"/>
        <v>0</v>
      </c>
      <c r="S14" s="241">
        <f t="shared" si="5"/>
        <v>0</v>
      </c>
      <c r="V14" s="241">
        <f t="shared" si="6"/>
        <v>0</v>
      </c>
      <c r="Y14" s="241">
        <f t="shared" si="7"/>
        <v>0</v>
      </c>
      <c r="AB14" s="241">
        <f t="shared" si="8"/>
        <v>0</v>
      </c>
      <c r="AE14" s="241">
        <v>0</v>
      </c>
      <c r="AH14" s="241">
        <v>0</v>
      </c>
      <c r="AI14" s="256">
        <f>45000000+67400000</f>
        <v>112400000</v>
      </c>
      <c r="AJ14" s="257">
        <v>4.5499999999999999E-2</v>
      </c>
      <c r="AK14" s="241">
        <f t="shared" si="9"/>
        <v>14206.111111111111</v>
      </c>
      <c r="AL14" s="256">
        <f>30000000+20000000</f>
        <v>50000000</v>
      </c>
      <c r="AM14" s="257">
        <v>4.65E-2</v>
      </c>
      <c r="AN14" s="241">
        <f t="shared" si="10"/>
        <v>6458.333333333333</v>
      </c>
      <c r="AO14" s="256"/>
      <c r="AP14" s="257"/>
      <c r="AQ14" s="241">
        <f t="shared" si="11"/>
        <v>0</v>
      </c>
      <c r="AR14" s="256"/>
      <c r="AS14" s="257"/>
      <c r="AT14" s="241">
        <f t="shared" si="12"/>
        <v>0</v>
      </c>
      <c r="AW14" s="241">
        <f t="shared" si="13"/>
        <v>0</v>
      </c>
      <c r="AZ14" s="241">
        <f t="shared" si="14"/>
        <v>0</v>
      </c>
      <c r="BC14" s="241">
        <f t="shared" si="15"/>
        <v>0</v>
      </c>
      <c r="BF14" s="241">
        <f t="shared" si="16"/>
        <v>0</v>
      </c>
      <c r="BI14" s="241">
        <f t="shared" si="17"/>
        <v>0</v>
      </c>
      <c r="BL14" s="241">
        <f t="shared" si="18"/>
        <v>0</v>
      </c>
      <c r="BO14" s="241">
        <f t="shared" si="19"/>
        <v>0</v>
      </c>
      <c r="BR14" s="241">
        <f t="shared" si="20"/>
        <v>0</v>
      </c>
      <c r="BU14" s="241">
        <f t="shared" si="21"/>
        <v>0</v>
      </c>
      <c r="BX14" s="241">
        <f t="shared" si="22"/>
        <v>0</v>
      </c>
      <c r="CA14" s="241">
        <f t="shared" si="23"/>
        <v>0</v>
      </c>
      <c r="CD14" s="241">
        <f t="shared" si="24"/>
        <v>0</v>
      </c>
      <c r="CG14" s="241">
        <f t="shared" si="25"/>
        <v>0</v>
      </c>
      <c r="CJ14" s="241">
        <f t="shared" si="26"/>
        <v>0</v>
      </c>
      <c r="CM14" s="241">
        <f t="shared" si="27"/>
        <v>0</v>
      </c>
      <c r="CP14" s="241">
        <f t="shared" si="28"/>
        <v>0</v>
      </c>
      <c r="CS14" s="241">
        <f t="shared" si="29"/>
        <v>0</v>
      </c>
      <c r="CV14" s="241">
        <f t="shared" si="30"/>
        <v>0</v>
      </c>
      <c r="CY14" s="241">
        <f t="shared" si="31"/>
        <v>0</v>
      </c>
      <c r="DB14" s="241">
        <f t="shared" si="32"/>
        <v>0</v>
      </c>
      <c r="DE14" s="241">
        <f t="shared" si="33"/>
        <v>0</v>
      </c>
      <c r="DH14" s="241">
        <f t="shared" si="34"/>
        <v>0</v>
      </c>
      <c r="DK14" s="241">
        <f t="shared" si="35"/>
        <v>0</v>
      </c>
      <c r="DN14" s="241">
        <f t="shared" si="36"/>
        <v>0</v>
      </c>
      <c r="DQ14" s="241">
        <f t="shared" si="37"/>
        <v>0</v>
      </c>
      <c r="DT14" s="241">
        <f t="shared" si="38"/>
        <v>0</v>
      </c>
      <c r="DW14" s="241">
        <f t="shared" si="39"/>
        <v>0</v>
      </c>
      <c r="DZ14" s="241"/>
      <c r="EA14" s="241"/>
      <c r="EB14" s="261">
        <f t="shared" si="40"/>
        <v>162400000</v>
      </c>
      <c r="EC14" s="261">
        <f t="shared" si="41"/>
        <v>0</v>
      </c>
      <c r="ED14" s="241">
        <f t="shared" si="42"/>
        <v>20664.444444444445</v>
      </c>
      <c r="EE14" s="242">
        <f t="shared" si="43"/>
        <v>4.5807881773399013E-2</v>
      </c>
      <c r="EG14" s="261">
        <f t="shared" si="44"/>
        <v>0</v>
      </c>
      <c r="EH14" s="241">
        <f t="shared" si="45"/>
        <v>0</v>
      </c>
      <c r="EI14" s="242">
        <f t="shared" si="46"/>
        <v>0</v>
      </c>
      <c r="EJ14" s="242"/>
      <c r="EK14" s="261">
        <f t="shared" si="47"/>
        <v>162400000</v>
      </c>
      <c r="EL14" s="261">
        <f t="shared" si="48"/>
        <v>0</v>
      </c>
      <c r="EM14" s="261">
        <f t="shared" si="49"/>
        <v>20664.444444444445</v>
      </c>
      <c r="EN14" s="242">
        <f t="shared" si="50"/>
        <v>4.5807881773399013E-2</v>
      </c>
      <c r="EP14" s="241"/>
    </row>
    <row r="15" spans="1:147" x14ac:dyDescent="0.25">
      <c r="A15" s="255">
        <f t="shared" si="51"/>
        <v>45813</v>
      </c>
      <c r="B15" s="241">
        <v>0</v>
      </c>
      <c r="C15" s="242">
        <v>4.6794040000000002E-2</v>
      </c>
      <c r="D15" s="241">
        <f t="shared" si="0"/>
        <v>0</v>
      </c>
      <c r="G15" s="241">
        <f t="shared" si="1"/>
        <v>0</v>
      </c>
      <c r="J15" s="241">
        <f t="shared" si="2"/>
        <v>0</v>
      </c>
      <c r="M15" s="241">
        <f t="shared" si="3"/>
        <v>0</v>
      </c>
      <c r="P15" s="241">
        <f t="shared" si="4"/>
        <v>0</v>
      </c>
      <c r="S15" s="241">
        <f t="shared" si="5"/>
        <v>0</v>
      </c>
      <c r="V15" s="241">
        <f t="shared" si="6"/>
        <v>0</v>
      </c>
      <c r="Y15" s="241">
        <f t="shared" si="7"/>
        <v>0</v>
      </c>
      <c r="AB15" s="241">
        <f t="shared" si="8"/>
        <v>0</v>
      </c>
      <c r="AE15" s="241">
        <v>0</v>
      </c>
      <c r="AH15" s="241">
        <v>0</v>
      </c>
      <c r="AI15" s="256">
        <f>33950000+45000000</f>
        <v>78950000</v>
      </c>
      <c r="AJ15" s="257">
        <v>4.5499999999999999E-2</v>
      </c>
      <c r="AK15" s="241">
        <f t="shared" si="9"/>
        <v>9978.4027777777774</v>
      </c>
      <c r="AL15" s="256">
        <f>30000000+20000000+40000000</f>
        <v>90000000</v>
      </c>
      <c r="AM15" s="257">
        <v>4.65E-2</v>
      </c>
      <c r="AN15" s="241">
        <f t="shared" si="10"/>
        <v>11625</v>
      </c>
      <c r="AO15" s="256"/>
      <c r="AP15" s="257"/>
      <c r="AQ15" s="241">
        <f t="shared" si="11"/>
        <v>0</v>
      </c>
      <c r="AR15" s="256"/>
      <c r="AS15" s="257"/>
      <c r="AT15" s="241">
        <f t="shared" si="12"/>
        <v>0</v>
      </c>
      <c r="AW15" s="241">
        <f t="shared" si="13"/>
        <v>0</v>
      </c>
      <c r="AZ15" s="241">
        <f t="shared" si="14"/>
        <v>0</v>
      </c>
      <c r="BC15" s="241">
        <f t="shared" si="15"/>
        <v>0</v>
      </c>
      <c r="BF15" s="241">
        <f t="shared" si="16"/>
        <v>0</v>
      </c>
      <c r="BI15" s="241">
        <f t="shared" si="17"/>
        <v>0</v>
      </c>
      <c r="BL15" s="241">
        <f t="shared" si="18"/>
        <v>0</v>
      </c>
      <c r="BO15" s="241">
        <f t="shared" si="19"/>
        <v>0</v>
      </c>
      <c r="BR15" s="241">
        <f t="shared" si="20"/>
        <v>0</v>
      </c>
      <c r="BU15" s="241">
        <f t="shared" si="21"/>
        <v>0</v>
      </c>
      <c r="BX15" s="241">
        <f t="shared" si="22"/>
        <v>0</v>
      </c>
      <c r="CA15" s="241">
        <f t="shared" si="23"/>
        <v>0</v>
      </c>
      <c r="CD15" s="241">
        <f t="shared" si="24"/>
        <v>0</v>
      </c>
      <c r="CG15" s="241">
        <f t="shared" si="25"/>
        <v>0</v>
      </c>
      <c r="CJ15" s="241">
        <f t="shared" si="26"/>
        <v>0</v>
      </c>
      <c r="CM15" s="241">
        <f t="shared" si="27"/>
        <v>0</v>
      </c>
      <c r="CP15" s="241">
        <f t="shared" si="28"/>
        <v>0</v>
      </c>
      <c r="CS15" s="241">
        <f t="shared" si="29"/>
        <v>0</v>
      </c>
      <c r="CV15" s="241">
        <f t="shared" si="30"/>
        <v>0</v>
      </c>
      <c r="CY15" s="241">
        <f t="shared" si="31"/>
        <v>0</v>
      </c>
      <c r="DB15" s="241">
        <f t="shared" si="32"/>
        <v>0</v>
      </c>
      <c r="DE15" s="241">
        <f t="shared" si="33"/>
        <v>0</v>
      </c>
      <c r="DH15" s="241">
        <f t="shared" si="34"/>
        <v>0</v>
      </c>
      <c r="DK15" s="241">
        <f t="shared" si="35"/>
        <v>0</v>
      </c>
      <c r="DN15" s="241">
        <f t="shared" si="36"/>
        <v>0</v>
      </c>
      <c r="DQ15" s="241">
        <f t="shared" si="37"/>
        <v>0</v>
      </c>
      <c r="DT15" s="241">
        <f t="shared" si="38"/>
        <v>0</v>
      </c>
      <c r="DW15" s="241">
        <f t="shared" si="39"/>
        <v>0</v>
      </c>
      <c r="DZ15" s="241"/>
      <c r="EA15" s="241"/>
      <c r="EB15" s="261">
        <f t="shared" si="40"/>
        <v>168950000</v>
      </c>
      <c r="EC15" s="261">
        <f t="shared" si="41"/>
        <v>0</v>
      </c>
      <c r="ED15" s="241">
        <f t="shared" si="42"/>
        <v>21603.402777777777</v>
      </c>
      <c r="EE15" s="242">
        <f t="shared" si="43"/>
        <v>4.6032701982835163E-2</v>
      </c>
      <c r="EG15" s="261">
        <f t="shared" si="44"/>
        <v>0</v>
      </c>
      <c r="EH15" s="241">
        <f t="shared" si="45"/>
        <v>0</v>
      </c>
      <c r="EI15" s="242">
        <f t="shared" si="46"/>
        <v>0</v>
      </c>
      <c r="EJ15" s="242"/>
      <c r="EK15" s="261">
        <f t="shared" si="47"/>
        <v>168950000</v>
      </c>
      <c r="EL15" s="261">
        <f t="shared" si="48"/>
        <v>0</v>
      </c>
      <c r="EM15" s="261">
        <f t="shared" si="49"/>
        <v>21603.402777777777</v>
      </c>
      <c r="EN15" s="242">
        <f t="shared" si="50"/>
        <v>4.6032701982835163E-2</v>
      </c>
      <c r="EP15" s="241"/>
    </row>
    <row r="16" spans="1:147" x14ac:dyDescent="0.25">
      <c r="A16" s="255">
        <f t="shared" si="51"/>
        <v>45814</v>
      </c>
      <c r="B16" s="241">
        <v>0</v>
      </c>
      <c r="C16" s="242">
        <v>4.666766E-2</v>
      </c>
      <c r="D16" s="241">
        <f t="shared" si="0"/>
        <v>0</v>
      </c>
      <c r="G16" s="241">
        <f t="shared" si="1"/>
        <v>0</v>
      </c>
      <c r="J16" s="241">
        <f t="shared" si="2"/>
        <v>0</v>
      </c>
      <c r="M16" s="241">
        <f t="shared" si="3"/>
        <v>0</v>
      </c>
      <c r="P16" s="241">
        <f t="shared" si="4"/>
        <v>0</v>
      </c>
      <c r="S16" s="241">
        <f t="shared" si="5"/>
        <v>0</v>
      </c>
      <c r="V16" s="241">
        <f t="shared" si="6"/>
        <v>0</v>
      </c>
      <c r="Y16" s="241">
        <f t="shared" si="7"/>
        <v>0</v>
      </c>
      <c r="AB16" s="241">
        <f t="shared" si="8"/>
        <v>0</v>
      </c>
      <c r="AE16" s="241">
        <v>0</v>
      </c>
      <c r="AH16" s="241">
        <v>0</v>
      </c>
      <c r="AI16" s="256">
        <f>44000000+50000000</f>
        <v>94000000</v>
      </c>
      <c r="AJ16" s="257">
        <v>4.5400000000000003E-2</v>
      </c>
      <c r="AK16" s="241">
        <f t="shared" si="9"/>
        <v>11854.444444444445</v>
      </c>
      <c r="AL16" s="256">
        <f>30000000+20000000+40000000</f>
        <v>90000000</v>
      </c>
      <c r="AM16" s="257">
        <v>4.65E-2</v>
      </c>
      <c r="AN16" s="241">
        <f t="shared" si="10"/>
        <v>11625</v>
      </c>
      <c r="AO16" s="256"/>
      <c r="AP16" s="257"/>
      <c r="AQ16" s="241">
        <f t="shared" si="11"/>
        <v>0</v>
      </c>
      <c r="AR16" s="256"/>
      <c r="AS16" s="257"/>
      <c r="AT16" s="241">
        <f t="shared" si="12"/>
        <v>0</v>
      </c>
      <c r="AW16" s="241">
        <f t="shared" si="13"/>
        <v>0</v>
      </c>
      <c r="AZ16" s="241">
        <f t="shared" si="14"/>
        <v>0</v>
      </c>
      <c r="BC16" s="241">
        <f t="shared" si="15"/>
        <v>0</v>
      </c>
      <c r="BF16" s="241">
        <f t="shared" si="16"/>
        <v>0</v>
      </c>
      <c r="BI16" s="241">
        <f t="shared" si="17"/>
        <v>0</v>
      </c>
      <c r="BL16" s="241">
        <f t="shared" si="18"/>
        <v>0</v>
      </c>
      <c r="BO16" s="241">
        <f t="shared" si="19"/>
        <v>0</v>
      </c>
      <c r="BR16" s="241">
        <f t="shared" si="20"/>
        <v>0</v>
      </c>
      <c r="BU16" s="241">
        <f t="shared" si="21"/>
        <v>0</v>
      </c>
      <c r="BX16" s="241">
        <f t="shared" si="22"/>
        <v>0</v>
      </c>
      <c r="CA16" s="241">
        <f t="shared" si="23"/>
        <v>0</v>
      </c>
      <c r="CD16" s="241">
        <f t="shared" si="24"/>
        <v>0</v>
      </c>
      <c r="CG16" s="241">
        <f t="shared" si="25"/>
        <v>0</v>
      </c>
      <c r="CJ16" s="241">
        <f t="shared" si="26"/>
        <v>0</v>
      </c>
      <c r="CM16" s="241">
        <f t="shared" si="27"/>
        <v>0</v>
      </c>
      <c r="CP16" s="241">
        <f t="shared" si="28"/>
        <v>0</v>
      </c>
      <c r="CS16" s="241">
        <f t="shared" si="29"/>
        <v>0</v>
      </c>
      <c r="CV16" s="241">
        <f t="shared" si="30"/>
        <v>0</v>
      </c>
      <c r="CY16" s="241">
        <f t="shared" si="31"/>
        <v>0</v>
      </c>
      <c r="DB16" s="241">
        <f t="shared" si="32"/>
        <v>0</v>
      </c>
      <c r="DE16" s="241">
        <f t="shared" si="33"/>
        <v>0</v>
      </c>
      <c r="DH16" s="241">
        <f t="shared" si="34"/>
        <v>0</v>
      </c>
      <c r="DK16" s="241">
        <f t="shared" si="35"/>
        <v>0</v>
      </c>
      <c r="DN16" s="241">
        <f t="shared" si="36"/>
        <v>0</v>
      </c>
      <c r="DQ16" s="241">
        <f t="shared" si="37"/>
        <v>0</v>
      </c>
      <c r="DT16" s="241">
        <f t="shared" si="38"/>
        <v>0</v>
      </c>
      <c r="DW16" s="241">
        <f t="shared" si="39"/>
        <v>0</v>
      </c>
      <c r="DZ16" s="241"/>
      <c r="EA16" s="241"/>
      <c r="EB16" s="261">
        <f t="shared" si="40"/>
        <v>184000000</v>
      </c>
      <c r="EC16" s="261">
        <f t="shared" si="41"/>
        <v>0</v>
      </c>
      <c r="ED16" s="241">
        <f t="shared" si="42"/>
        <v>23479.444444444445</v>
      </c>
      <c r="EE16" s="242">
        <f t="shared" si="43"/>
        <v>4.5938043478260866E-2</v>
      </c>
      <c r="EG16" s="261">
        <f t="shared" si="44"/>
        <v>0</v>
      </c>
      <c r="EH16" s="241">
        <f t="shared" si="45"/>
        <v>0</v>
      </c>
      <c r="EI16" s="242">
        <f t="shared" si="46"/>
        <v>0</v>
      </c>
      <c r="EJ16" s="242"/>
      <c r="EK16" s="261">
        <f t="shared" si="47"/>
        <v>184000000</v>
      </c>
      <c r="EL16" s="261">
        <f t="shared" si="48"/>
        <v>0</v>
      </c>
      <c r="EM16" s="261">
        <f t="shared" si="49"/>
        <v>23479.444444444445</v>
      </c>
      <c r="EN16" s="242">
        <f t="shared" si="50"/>
        <v>4.5938043478260866E-2</v>
      </c>
      <c r="EP16" s="241"/>
    </row>
    <row r="17" spans="1:146" x14ac:dyDescent="0.25">
      <c r="A17" s="255">
        <f t="shared" si="51"/>
        <v>45815</v>
      </c>
      <c r="B17" s="241">
        <v>0</v>
      </c>
      <c r="C17" s="242">
        <v>4.666766E-2</v>
      </c>
      <c r="D17" s="241">
        <f t="shared" si="0"/>
        <v>0</v>
      </c>
      <c r="G17" s="241">
        <f t="shared" si="1"/>
        <v>0</v>
      </c>
      <c r="J17" s="241">
        <f t="shared" si="2"/>
        <v>0</v>
      </c>
      <c r="M17" s="241">
        <f t="shared" si="3"/>
        <v>0</v>
      </c>
      <c r="P17" s="241">
        <f t="shared" si="4"/>
        <v>0</v>
      </c>
      <c r="S17" s="241">
        <f t="shared" si="5"/>
        <v>0</v>
      </c>
      <c r="V17" s="241">
        <f t="shared" si="6"/>
        <v>0</v>
      </c>
      <c r="Y17" s="241">
        <f t="shared" si="7"/>
        <v>0</v>
      </c>
      <c r="AB17" s="241">
        <f t="shared" si="8"/>
        <v>0</v>
      </c>
      <c r="AE17" s="241">
        <v>0</v>
      </c>
      <c r="AH17" s="241">
        <v>0</v>
      </c>
      <c r="AI17" s="256">
        <f>44000000+50000000</f>
        <v>94000000</v>
      </c>
      <c r="AJ17" s="257">
        <v>4.5400000000000003E-2</v>
      </c>
      <c r="AK17" s="241">
        <f t="shared" si="9"/>
        <v>11854.444444444445</v>
      </c>
      <c r="AL17" s="256">
        <f>30000000+20000000+40000000</f>
        <v>90000000</v>
      </c>
      <c r="AM17" s="257">
        <v>4.65E-2</v>
      </c>
      <c r="AN17" s="241">
        <f t="shared" si="10"/>
        <v>11625</v>
      </c>
      <c r="AO17" s="256"/>
      <c r="AP17" s="257"/>
      <c r="AQ17" s="241">
        <f t="shared" si="11"/>
        <v>0</v>
      </c>
      <c r="AR17" s="256"/>
      <c r="AS17" s="257"/>
      <c r="AT17" s="241">
        <f t="shared" si="12"/>
        <v>0</v>
      </c>
      <c r="AW17" s="241">
        <f t="shared" si="13"/>
        <v>0</v>
      </c>
      <c r="AZ17" s="241">
        <f t="shared" si="14"/>
        <v>0</v>
      </c>
      <c r="BC17" s="241">
        <f t="shared" si="15"/>
        <v>0</v>
      </c>
      <c r="BF17" s="241">
        <f t="shared" si="16"/>
        <v>0</v>
      </c>
      <c r="BI17" s="241">
        <f t="shared" si="17"/>
        <v>0</v>
      </c>
      <c r="BL17" s="241">
        <f t="shared" si="18"/>
        <v>0</v>
      </c>
      <c r="BO17" s="241">
        <f t="shared" si="19"/>
        <v>0</v>
      </c>
      <c r="BR17" s="241">
        <f t="shared" si="20"/>
        <v>0</v>
      </c>
      <c r="BU17" s="241">
        <f t="shared" si="21"/>
        <v>0</v>
      </c>
      <c r="BX17" s="241">
        <f t="shared" si="22"/>
        <v>0</v>
      </c>
      <c r="CA17" s="241">
        <f t="shared" si="23"/>
        <v>0</v>
      </c>
      <c r="CD17" s="241">
        <f t="shared" si="24"/>
        <v>0</v>
      </c>
      <c r="CG17" s="241">
        <f t="shared" si="25"/>
        <v>0</v>
      </c>
      <c r="CJ17" s="241">
        <f t="shared" si="26"/>
        <v>0</v>
      </c>
      <c r="CM17" s="241">
        <f t="shared" si="27"/>
        <v>0</v>
      </c>
      <c r="CP17" s="241">
        <f t="shared" si="28"/>
        <v>0</v>
      </c>
      <c r="CS17" s="241">
        <f t="shared" si="29"/>
        <v>0</v>
      </c>
      <c r="CV17" s="241">
        <f t="shared" si="30"/>
        <v>0</v>
      </c>
      <c r="CY17" s="241">
        <f t="shared" si="31"/>
        <v>0</v>
      </c>
      <c r="DB17" s="241">
        <f t="shared" si="32"/>
        <v>0</v>
      </c>
      <c r="DE17" s="241">
        <f t="shared" si="33"/>
        <v>0</v>
      </c>
      <c r="DH17" s="241">
        <f t="shared" si="34"/>
        <v>0</v>
      </c>
      <c r="DK17" s="241">
        <f t="shared" si="35"/>
        <v>0</v>
      </c>
      <c r="DN17" s="241">
        <f t="shared" si="36"/>
        <v>0</v>
      </c>
      <c r="DQ17" s="241">
        <f t="shared" si="37"/>
        <v>0</v>
      </c>
      <c r="DT17" s="241">
        <f t="shared" si="38"/>
        <v>0</v>
      </c>
      <c r="DW17" s="241">
        <f t="shared" si="39"/>
        <v>0</v>
      </c>
      <c r="DZ17" s="241"/>
      <c r="EA17" s="241"/>
      <c r="EB17" s="261">
        <f t="shared" si="40"/>
        <v>184000000</v>
      </c>
      <c r="EC17" s="261">
        <f t="shared" si="41"/>
        <v>0</v>
      </c>
      <c r="ED17" s="241">
        <f t="shared" si="42"/>
        <v>23479.444444444445</v>
      </c>
      <c r="EE17" s="242">
        <f t="shared" si="43"/>
        <v>4.5938043478260866E-2</v>
      </c>
      <c r="EG17" s="261">
        <f t="shared" si="44"/>
        <v>0</v>
      </c>
      <c r="EH17" s="241">
        <f t="shared" si="45"/>
        <v>0</v>
      </c>
      <c r="EI17" s="242">
        <f t="shared" si="46"/>
        <v>0</v>
      </c>
      <c r="EJ17" s="242"/>
      <c r="EK17" s="261">
        <f t="shared" si="47"/>
        <v>184000000</v>
      </c>
      <c r="EL17" s="261">
        <f t="shared" si="48"/>
        <v>0</v>
      </c>
      <c r="EM17" s="261">
        <f t="shared" si="49"/>
        <v>23479.444444444445</v>
      </c>
      <c r="EN17" s="242">
        <f t="shared" si="50"/>
        <v>4.5938043478260866E-2</v>
      </c>
      <c r="EP17" s="241"/>
    </row>
    <row r="18" spans="1:146" x14ac:dyDescent="0.25">
      <c r="A18" s="255">
        <f t="shared" si="51"/>
        <v>45816</v>
      </c>
      <c r="B18" s="241">
        <v>0</v>
      </c>
      <c r="C18" s="242">
        <v>4.666766E-2</v>
      </c>
      <c r="D18" s="241">
        <f t="shared" si="0"/>
        <v>0</v>
      </c>
      <c r="G18" s="241">
        <f t="shared" si="1"/>
        <v>0</v>
      </c>
      <c r="J18" s="241">
        <f t="shared" si="2"/>
        <v>0</v>
      </c>
      <c r="M18" s="241">
        <f t="shared" si="3"/>
        <v>0</v>
      </c>
      <c r="P18" s="241">
        <f t="shared" si="4"/>
        <v>0</v>
      </c>
      <c r="S18" s="241">
        <f t="shared" si="5"/>
        <v>0</v>
      </c>
      <c r="V18" s="241">
        <f t="shared" si="6"/>
        <v>0</v>
      </c>
      <c r="Y18" s="241">
        <f t="shared" si="7"/>
        <v>0</v>
      </c>
      <c r="AB18" s="241">
        <f t="shared" si="8"/>
        <v>0</v>
      </c>
      <c r="AE18" s="241">
        <v>0</v>
      </c>
      <c r="AH18" s="241">
        <v>0</v>
      </c>
      <c r="AI18" s="256">
        <f>44000000+50000000</f>
        <v>94000000</v>
      </c>
      <c r="AJ18" s="257">
        <v>4.5400000000000003E-2</v>
      </c>
      <c r="AK18" s="241">
        <f t="shared" si="9"/>
        <v>11854.444444444445</v>
      </c>
      <c r="AL18" s="256">
        <f>30000000+20000000+40000000</f>
        <v>90000000</v>
      </c>
      <c r="AM18" s="257">
        <v>4.65E-2</v>
      </c>
      <c r="AN18" s="241">
        <f t="shared" si="10"/>
        <v>11625</v>
      </c>
      <c r="AO18" s="256"/>
      <c r="AP18" s="257"/>
      <c r="AQ18" s="241">
        <f t="shared" si="11"/>
        <v>0</v>
      </c>
      <c r="AR18" s="256"/>
      <c r="AS18" s="257"/>
      <c r="AT18" s="241">
        <f t="shared" si="12"/>
        <v>0</v>
      </c>
      <c r="AW18" s="241">
        <f t="shared" si="13"/>
        <v>0</v>
      </c>
      <c r="AZ18" s="241">
        <f t="shared" si="14"/>
        <v>0</v>
      </c>
      <c r="BC18" s="241">
        <f t="shared" si="15"/>
        <v>0</v>
      </c>
      <c r="BF18" s="241">
        <f t="shared" si="16"/>
        <v>0</v>
      </c>
      <c r="BI18" s="241">
        <f t="shared" si="17"/>
        <v>0</v>
      </c>
      <c r="BL18" s="241">
        <f t="shared" si="18"/>
        <v>0</v>
      </c>
      <c r="BO18" s="241">
        <f t="shared" si="19"/>
        <v>0</v>
      </c>
      <c r="BR18" s="241">
        <f t="shared" si="20"/>
        <v>0</v>
      </c>
      <c r="BU18" s="241">
        <f t="shared" si="21"/>
        <v>0</v>
      </c>
      <c r="BX18" s="241">
        <f t="shared" si="22"/>
        <v>0</v>
      </c>
      <c r="CA18" s="241">
        <f t="shared" si="23"/>
        <v>0</v>
      </c>
      <c r="CD18" s="241">
        <f t="shared" si="24"/>
        <v>0</v>
      </c>
      <c r="CG18" s="241">
        <f t="shared" si="25"/>
        <v>0</v>
      </c>
      <c r="CJ18" s="241">
        <f t="shared" si="26"/>
        <v>0</v>
      </c>
      <c r="CM18" s="241">
        <f t="shared" si="27"/>
        <v>0</v>
      </c>
      <c r="CP18" s="241">
        <f t="shared" si="28"/>
        <v>0</v>
      </c>
      <c r="CS18" s="241">
        <f t="shared" si="29"/>
        <v>0</v>
      </c>
      <c r="CV18" s="241">
        <f t="shared" si="30"/>
        <v>0</v>
      </c>
      <c r="CY18" s="241">
        <f t="shared" si="31"/>
        <v>0</v>
      </c>
      <c r="DB18" s="241">
        <f t="shared" si="32"/>
        <v>0</v>
      </c>
      <c r="DE18" s="241">
        <f t="shared" si="33"/>
        <v>0</v>
      </c>
      <c r="DH18" s="241">
        <f t="shared" si="34"/>
        <v>0</v>
      </c>
      <c r="DK18" s="241">
        <f t="shared" si="35"/>
        <v>0</v>
      </c>
      <c r="DN18" s="241">
        <f t="shared" si="36"/>
        <v>0</v>
      </c>
      <c r="DQ18" s="241">
        <f t="shared" si="37"/>
        <v>0</v>
      </c>
      <c r="DT18" s="241">
        <f t="shared" si="38"/>
        <v>0</v>
      </c>
      <c r="DW18" s="241">
        <f t="shared" si="39"/>
        <v>0</v>
      </c>
      <c r="DZ18" s="241"/>
      <c r="EA18" s="241"/>
      <c r="EB18" s="261">
        <f t="shared" si="40"/>
        <v>184000000</v>
      </c>
      <c r="EC18" s="261">
        <f t="shared" si="41"/>
        <v>0</v>
      </c>
      <c r="ED18" s="241">
        <f t="shared" si="42"/>
        <v>23479.444444444445</v>
      </c>
      <c r="EE18" s="242">
        <f t="shared" si="43"/>
        <v>4.5938043478260866E-2</v>
      </c>
      <c r="EG18" s="261">
        <f t="shared" si="44"/>
        <v>0</v>
      </c>
      <c r="EH18" s="241">
        <f t="shared" si="45"/>
        <v>0</v>
      </c>
      <c r="EI18" s="242">
        <f t="shared" si="46"/>
        <v>0</v>
      </c>
      <c r="EJ18" s="242"/>
      <c r="EK18" s="261">
        <f t="shared" si="47"/>
        <v>184000000</v>
      </c>
      <c r="EL18" s="261">
        <f t="shared" si="48"/>
        <v>0</v>
      </c>
      <c r="EM18" s="261">
        <f t="shared" si="49"/>
        <v>23479.444444444445</v>
      </c>
      <c r="EN18" s="242">
        <f t="shared" si="50"/>
        <v>4.5938043478260866E-2</v>
      </c>
      <c r="EP18" s="241"/>
    </row>
    <row r="19" spans="1:146" x14ac:dyDescent="0.25">
      <c r="A19" s="255">
        <f t="shared" si="51"/>
        <v>45817</v>
      </c>
      <c r="B19" s="241">
        <v>0</v>
      </c>
      <c r="C19" s="242">
        <v>4.6668760000000004E-2</v>
      </c>
      <c r="D19" s="241">
        <f t="shared" si="0"/>
        <v>0</v>
      </c>
      <c r="G19" s="241">
        <f t="shared" si="1"/>
        <v>0</v>
      </c>
      <c r="J19" s="241">
        <f t="shared" si="2"/>
        <v>0</v>
      </c>
      <c r="M19" s="241">
        <f t="shared" si="3"/>
        <v>0</v>
      </c>
      <c r="P19" s="241">
        <f t="shared" si="4"/>
        <v>0</v>
      </c>
      <c r="S19" s="241">
        <f t="shared" si="5"/>
        <v>0</v>
      </c>
      <c r="V19" s="241">
        <f t="shared" si="6"/>
        <v>0</v>
      </c>
      <c r="Y19" s="241">
        <f t="shared" si="7"/>
        <v>0</v>
      </c>
      <c r="AB19" s="241">
        <f t="shared" si="8"/>
        <v>0</v>
      </c>
      <c r="AE19" s="241">
        <v>0</v>
      </c>
      <c r="AH19" s="241">
        <v>0</v>
      </c>
      <c r="AI19" s="256">
        <f>58225000</f>
        <v>58225000</v>
      </c>
      <c r="AJ19" s="257">
        <v>4.5400000000000003E-2</v>
      </c>
      <c r="AK19" s="241">
        <f t="shared" si="9"/>
        <v>7342.8194444444443</v>
      </c>
      <c r="AL19" s="256">
        <f t="shared" ref="AL19:AL40" si="52">30000000+20000000+40000000+40000000</f>
        <v>130000000</v>
      </c>
      <c r="AM19" s="257">
        <v>4.65E-2</v>
      </c>
      <c r="AN19" s="241">
        <f t="shared" si="10"/>
        <v>16791.666666666668</v>
      </c>
      <c r="AO19" s="256"/>
      <c r="AP19" s="257"/>
      <c r="AQ19" s="241">
        <f t="shared" si="11"/>
        <v>0</v>
      </c>
      <c r="AR19" s="256"/>
      <c r="AS19" s="257"/>
      <c r="AT19" s="241">
        <f t="shared" si="12"/>
        <v>0</v>
      </c>
      <c r="AW19" s="241">
        <f t="shared" si="13"/>
        <v>0</v>
      </c>
      <c r="AZ19" s="241">
        <f t="shared" si="14"/>
        <v>0</v>
      </c>
      <c r="BC19" s="241">
        <f t="shared" si="15"/>
        <v>0</v>
      </c>
      <c r="BF19" s="241">
        <f t="shared" si="16"/>
        <v>0</v>
      </c>
      <c r="BI19" s="241">
        <f t="shared" si="17"/>
        <v>0</v>
      </c>
      <c r="BL19" s="241">
        <f t="shared" si="18"/>
        <v>0</v>
      </c>
      <c r="BO19" s="241">
        <f t="shared" si="19"/>
        <v>0</v>
      </c>
      <c r="BR19" s="241">
        <f t="shared" si="20"/>
        <v>0</v>
      </c>
      <c r="BU19" s="241">
        <f t="shared" si="21"/>
        <v>0</v>
      </c>
      <c r="BX19" s="241">
        <f t="shared" si="22"/>
        <v>0</v>
      </c>
      <c r="CA19" s="241">
        <f t="shared" si="23"/>
        <v>0</v>
      </c>
      <c r="CD19" s="241">
        <f t="shared" si="24"/>
        <v>0</v>
      </c>
      <c r="CG19" s="241">
        <f t="shared" si="25"/>
        <v>0</v>
      </c>
      <c r="CJ19" s="241">
        <f t="shared" si="26"/>
        <v>0</v>
      </c>
      <c r="CM19" s="241">
        <f t="shared" si="27"/>
        <v>0</v>
      </c>
      <c r="CP19" s="241">
        <f t="shared" si="28"/>
        <v>0</v>
      </c>
      <c r="CS19" s="241">
        <f t="shared" si="29"/>
        <v>0</v>
      </c>
      <c r="CV19" s="241">
        <f t="shared" si="30"/>
        <v>0</v>
      </c>
      <c r="CY19" s="241">
        <f t="shared" si="31"/>
        <v>0</v>
      </c>
      <c r="DB19" s="241">
        <f t="shared" si="32"/>
        <v>0</v>
      </c>
      <c r="DE19" s="241">
        <f t="shared" si="33"/>
        <v>0</v>
      </c>
      <c r="DH19" s="241">
        <f t="shared" si="34"/>
        <v>0</v>
      </c>
      <c r="DK19" s="241">
        <f t="shared" si="35"/>
        <v>0</v>
      </c>
      <c r="DN19" s="241">
        <f t="shared" si="36"/>
        <v>0</v>
      </c>
      <c r="DQ19" s="241">
        <f t="shared" si="37"/>
        <v>0</v>
      </c>
      <c r="DT19" s="241">
        <f t="shared" si="38"/>
        <v>0</v>
      </c>
      <c r="DW19" s="241">
        <f t="shared" si="39"/>
        <v>0</v>
      </c>
      <c r="DZ19" s="241"/>
      <c r="EA19" s="241"/>
      <c r="EB19" s="261">
        <f t="shared" si="40"/>
        <v>188225000</v>
      </c>
      <c r="EC19" s="261">
        <f t="shared" si="41"/>
        <v>0</v>
      </c>
      <c r="ED19" s="241">
        <f t="shared" si="42"/>
        <v>24134.486111111113</v>
      </c>
      <c r="EE19" s="242">
        <f t="shared" si="43"/>
        <v>4.6159729047682299E-2</v>
      </c>
      <c r="EG19" s="261">
        <f t="shared" si="44"/>
        <v>0</v>
      </c>
      <c r="EH19" s="241">
        <f t="shared" si="45"/>
        <v>0</v>
      </c>
      <c r="EI19" s="242">
        <f t="shared" si="46"/>
        <v>0</v>
      </c>
      <c r="EJ19" s="242"/>
      <c r="EK19" s="261">
        <f t="shared" si="47"/>
        <v>188225000</v>
      </c>
      <c r="EL19" s="261">
        <f t="shared" si="48"/>
        <v>0</v>
      </c>
      <c r="EM19" s="261">
        <f t="shared" si="49"/>
        <v>24134.486111111113</v>
      </c>
      <c r="EN19" s="242">
        <f t="shared" si="50"/>
        <v>4.6159729047682299E-2</v>
      </c>
      <c r="EP19" s="241"/>
    </row>
    <row r="20" spans="1:146" x14ac:dyDescent="0.25">
      <c r="A20" s="255">
        <f t="shared" si="51"/>
        <v>45818</v>
      </c>
      <c r="B20" s="241">
        <v>0</v>
      </c>
      <c r="C20" s="242">
        <v>4.6679869999999998E-2</v>
      </c>
      <c r="D20" s="241">
        <f t="shared" si="0"/>
        <v>0</v>
      </c>
      <c r="G20" s="241">
        <f t="shared" si="1"/>
        <v>0</v>
      </c>
      <c r="J20" s="241">
        <f t="shared" si="2"/>
        <v>0</v>
      </c>
      <c r="M20" s="241">
        <f t="shared" si="3"/>
        <v>0</v>
      </c>
      <c r="P20" s="241">
        <f t="shared" si="4"/>
        <v>0</v>
      </c>
      <c r="S20" s="241">
        <f t="shared" si="5"/>
        <v>0</v>
      </c>
      <c r="V20" s="241">
        <f t="shared" si="6"/>
        <v>0</v>
      </c>
      <c r="Y20" s="241">
        <f t="shared" si="7"/>
        <v>0</v>
      </c>
      <c r="AB20" s="241">
        <f t="shared" si="8"/>
        <v>0</v>
      </c>
      <c r="AE20" s="241">
        <v>0</v>
      </c>
      <c r="AH20" s="241">
        <v>0</v>
      </c>
      <c r="AI20" s="256">
        <f>48300000</f>
        <v>48300000</v>
      </c>
      <c r="AJ20" s="257">
        <v>4.5400000000000003E-2</v>
      </c>
      <c r="AK20" s="241">
        <f t="shared" si="9"/>
        <v>6091.166666666667</v>
      </c>
      <c r="AL20" s="256">
        <f t="shared" si="52"/>
        <v>130000000</v>
      </c>
      <c r="AM20" s="257">
        <v>4.65E-2</v>
      </c>
      <c r="AN20" s="241">
        <f t="shared" si="10"/>
        <v>16791.666666666668</v>
      </c>
      <c r="AO20" s="256"/>
      <c r="AP20" s="257"/>
      <c r="AQ20" s="241">
        <f t="shared" si="11"/>
        <v>0</v>
      </c>
      <c r="AR20" s="256"/>
      <c r="AS20" s="257"/>
      <c r="AT20" s="241">
        <f t="shared" si="12"/>
        <v>0</v>
      </c>
      <c r="AW20" s="241">
        <f t="shared" si="13"/>
        <v>0</v>
      </c>
      <c r="AZ20" s="241">
        <f t="shared" si="14"/>
        <v>0</v>
      </c>
      <c r="BC20" s="241">
        <f t="shared" si="15"/>
        <v>0</v>
      </c>
      <c r="BF20" s="241">
        <f t="shared" si="16"/>
        <v>0</v>
      </c>
      <c r="BI20" s="241">
        <f t="shared" si="17"/>
        <v>0</v>
      </c>
      <c r="BL20" s="241">
        <f t="shared" si="18"/>
        <v>0</v>
      </c>
      <c r="BO20" s="241">
        <f t="shared" si="19"/>
        <v>0</v>
      </c>
      <c r="BR20" s="241">
        <f t="shared" si="20"/>
        <v>0</v>
      </c>
      <c r="BU20" s="241">
        <f t="shared" si="21"/>
        <v>0</v>
      </c>
      <c r="BX20" s="241">
        <f t="shared" si="22"/>
        <v>0</v>
      </c>
      <c r="CA20" s="241">
        <f t="shared" si="23"/>
        <v>0</v>
      </c>
      <c r="CD20" s="241">
        <f t="shared" si="24"/>
        <v>0</v>
      </c>
      <c r="CG20" s="241">
        <f t="shared" si="25"/>
        <v>0</v>
      </c>
      <c r="CJ20" s="241">
        <f t="shared" si="26"/>
        <v>0</v>
      </c>
      <c r="CM20" s="241">
        <f t="shared" si="27"/>
        <v>0</v>
      </c>
      <c r="CP20" s="241">
        <f t="shared" si="28"/>
        <v>0</v>
      </c>
      <c r="CS20" s="241">
        <f t="shared" si="29"/>
        <v>0</v>
      </c>
      <c r="CV20" s="241">
        <f t="shared" si="30"/>
        <v>0</v>
      </c>
      <c r="CY20" s="241">
        <f t="shared" si="31"/>
        <v>0</v>
      </c>
      <c r="DB20" s="241">
        <f t="shared" si="32"/>
        <v>0</v>
      </c>
      <c r="DE20" s="241">
        <f t="shared" si="33"/>
        <v>0</v>
      </c>
      <c r="DH20" s="241">
        <f t="shared" si="34"/>
        <v>0</v>
      </c>
      <c r="DK20" s="241">
        <f t="shared" si="35"/>
        <v>0</v>
      </c>
      <c r="DN20" s="241">
        <f t="shared" si="36"/>
        <v>0</v>
      </c>
      <c r="DQ20" s="241">
        <f t="shared" si="37"/>
        <v>0</v>
      </c>
      <c r="DT20" s="241">
        <f t="shared" si="38"/>
        <v>0</v>
      </c>
      <c r="DW20" s="241">
        <f t="shared" si="39"/>
        <v>0</v>
      </c>
      <c r="DZ20" s="241"/>
      <c r="EA20" s="241"/>
      <c r="EB20" s="261">
        <f t="shared" si="40"/>
        <v>178300000</v>
      </c>
      <c r="EC20" s="261">
        <f t="shared" si="41"/>
        <v>0</v>
      </c>
      <c r="ED20" s="241">
        <f t="shared" si="42"/>
        <v>22882.833333333336</v>
      </c>
      <c r="EE20" s="242">
        <f t="shared" si="43"/>
        <v>4.6202019068984863E-2</v>
      </c>
      <c r="EG20" s="261">
        <f t="shared" si="44"/>
        <v>0</v>
      </c>
      <c r="EH20" s="241">
        <f t="shared" si="45"/>
        <v>0</v>
      </c>
      <c r="EI20" s="242">
        <f t="shared" si="46"/>
        <v>0</v>
      </c>
      <c r="EJ20" s="242"/>
      <c r="EK20" s="261">
        <f t="shared" si="47"/>
        <v>178300000</v>
      </c>
      <c r="EL20" s="261">
        <f t="shared" si="48"/>
        <v>0</v>
      </c>
      <c r="EM20" s="261">
        <f t="shared" si="49"/>
        <v>22882.833333333336</v>
      </c>
      <c r="EN20" s="242">
        <f t="shared" si="50"/>
        <v>4.6202019068984863E-2</v>
      </c>
      <c r="EP20" s="241"/>
    </row>
    <row r="21" spans="1:146" x14ac:dyDescent="0.25">
      <c r="A21" s="255">
        <f t="shared" si="51"/>
        <v>45819</v>
      </c>
      <c r="B21" s="241">
        <v>0</v>
      </c>
      <c r="C21" s="242">
        <v>4.6267579999999996E-2</v>
      </c>
      <c r="D21" s="241">
        <f t="shared" si="0"/>
        <v>0</v>
      </c>
      <c r="G21" s="241">
        <f t="shared" si="1"/>
        <v>0</v>
      </c>
      <c r="J21" s="241">
        <f t="shared" si="2"/>
        <v>0</v>
      </c>
      <c r="M21" s="241">
        <f t="shared" si="3"/>
        <v>0</v>
      </c>
      <c r="P21" s="241">
        <f t="shared" si="4"/>
        <v>0</v>
      </c>
      <c r="S21" s="241">
        <f t="shared" si="5"/>
        <v>0</v>
      </c>
      <c r="V21" s="241">
        <f t="shared" si="6"/>
        <v>0</v>
      </c>
      <c r="Y21" s="241">
        <f t="shared" si="7"/>
        <v>0</v>
      </c>
      <c r="AB21" s="241">
        <f t="shared" si="8"/>
        <v>0</v>
      </c>
      <c r="AE21" s="241">
        <v>0</v>
      </c>
      <c r="AH21" s="241">
        <v>0</v>
      </c>
      <c r="AI21" s="256">
        <f>58000000</f>
        <v>58000000</v>
      </c>
      <c r="AJ21" s="257">
        <v>4.5400000000000003E-2</v>
      </c>
      <c r="AK21" s="241">
        <f t="shared" si="9"/>
        <v>7314.4444444444443</v>
      </c>
      <c r="AL21" s="256">
        <f t="shared" si="52"/>
        <v>130000000</v>
      </c>
      <c r="AM21" s="257">
        <v>4.65E-2</v>
      </c>
      <c r="AN21" s="241">
        <f t="shared" si="10"/>
        <v>16791.666666666668</v>
      </c>
      <c r="AO21" s="256"/>
      <c r="AP21" s="257"/>
      <c r="AQ21" s="241">
        <f t="shared" si="11"/>
        <v>0</v>
      </c>
      <c r="AR21" s="256"/>
      <c r="AS21" s="257"/>
      <c r="AT21" s="241">
        <f t="shared" si="12"/>
        <v>0</v>
      </c>
      <c r="AW21" s="241">
        <f t="shared" si="13"/>
        <v>0</v>
      </c>
      <c r="AZ21" s="241">
        <f t="shared" si="14"/>
        <v>0</v>
      </c>
      <c r="BC21" s="241">
        <f t="shared" si="15"/>
        <v>0</v>
      </c>
      <c r="BF21" s="241">
        <f t="shared" si="16"/>
        <v>0</v>
      </c>
      <c r="BI21" s="241">
        <f t="shared" si="17"/>
        <v>0</v>
      </c>
      <c r="BL21" s="241">
        <f t="shared" si="18"/>
        <v>0</v>
      </c>
      <c r="BO21" s="241">
        <f t="shared" si="19"/>
        <v>0</v>
      </c>
      <c r="BR21" s="241">
        <f t="shared" si="20"/>
        <v>0</v>
      </c>
      <c r="BU21" s="241">
        <f t="shared" si="21"/>
        <v>0</v>
      </c>
      <c r="BX21" s="241">
        <f t="shared" si="22"/>
        <v>0</v>
      </c>
      <c r="CA21" s="241">
        <f t="shared" si="23"/>
        <v>0</v>
      </c>
      <c r="CD21" s="241">
        <f t="shared" si="24"/>
        <v>0</v>
      </c>
      <c r="CG21" s="241">
        <f t="shared" si="25"/>
        <v>0</v>
      </c>
      <c r="CJ21" s="241">
        <f t="shared" si="26"/>
        <v>0</v>
      </c>
      <c r="CM21" s="241">
        <f t="shared" si="27"/>
        <v>0</v>
      </c>
      <c r="CP21" s="241">
        <f t="shared" si="28"/>
        <v>0</v>
      </c>
      <c r="CS21" s="241">
        <f t="shared" si="29"/>
        <v>0</v>
      </c>
      <c r="CV21" s="241">
        <f t="shared" si="30"/>
        <v>0</v>
      </c>
      <c r="CY21" s="241">
        <f t="shared" si="31"/>
        <v>0</v>
      </c>
      <c r="DB21" s="241">
        <f t="shared" si="32"/>
        <v>0</v>
      </c>
      <c r="DE21" s="241">
        <f t="shared" si="33"/>
        <v>0</v>
      </c>
      <c r="DH21" s="241">
        <f t="shared" si="34"/>
        <v>0</v>
      </c>
      <c r="DK21" s="241">
        <f t="shared" si="35"/>
        <v>0</v>
      </c>
      <c r="DN21" s="241">
        <f t="shared" si="36"/>
        <v>0</v>
      </c>
      <c r="DQ21" s="241">
        <f t="shared" si="37"/>
        <v>0</v>
      </c>
      <c r="DT21" s="241">
        <f t="shared" si="38"/>
        <v>0</v>
      </c>
      <c r="DW21" s="241">
        <f t="shared" si="39"/>
        <v>0</v>
      </c>
      <c r="DZ21" s="241"/>
      <c r="EA21" s="241"/>
      <c r="EB21" s="261">
        <f t="shared" si="40"/>
        <v>188000000</v>
      </c>
      <c r="EC21" s="261">
        <f t="shared" si="41"/>
        <v>0</v>
      </c>
      <c r="ED21" s="241">
        <f t="shared" si="42"/>
        <v>24106.111111111113</v>
      </c>
      <c r="EE21" s="242">
        <f t="shared" si="43"/>
        <v>4.6160638297872342E-2</v>
      </c>
      <c r="EG21" s="261">
        <f t="shared" si="44"/>
        <v>0</v>
      </c>
      <c r="EH21" s="241">
        <f t="shared" si="45"/>
        <v>0</v>
      </c>
      <c r="EI21" s="242">
        <f t="shared" si="46"/>
        <v>0</v>
      </c>
      <c r="EJ21" s="242"/>
      <c r="EK21" s="261">
        <f t="shared" si="47"/>
        <v>188000000</v>
      </c>
      <c r="EL21" s="261">
        <f t="shared" si="48"/>
        <v>0</v>
      </c>
      <c r="EM21" s="261">
        <f t="shared" si="49"/>
        <v>24106.111111111113</v>
      </c>
      <c r="EN21" s="242">
        <f t="shared" si="50"/>
        <v>4.6160638297872342E-2</v>
      </c>
      <c r="EP21" s="241"/>
    </row>
    <row r="22" spans="1:146" x14ac:dyDescent="0.25">
      <c r="A22" s="255">
        <f t="shared" si="51"/>
        <v>45820</v>
      </c>
      <c r="B22" s="241">
        <v>0</v>
      </c>
      <c r="C22" s="242">
        <v>4.6183519999999999E-2</v>
      </c>
      <c r="D22" s="241">
        <f t="shared" si="0"/>
        <v>0</v>
      </c>
      <c r="G22" s="241">
        <f t="shared" si="1"/>
        <v>0</v>
      </c>
      <c r="J22" s="241">
        <f t="shared" si="2"/>
        <v>0</v>
      </c>
      <c r="M22" s="241">
        <f t="shared" si="3"/>
        <v>0</v>
      </c>
      <c r="P22" s="241">
        <f t="shared" si="4"/>
        <v>0</v>
      </c>
      <c r="S22" s="241">
        <f t="shared" si="5"/>
        <v>0</v>
      </c>
      <c r="V22" s="241">
        <f t="shared" si="6"/>
        <v>0</v>
      </c>
      <c r="Y22" s="241">
        <f t="shared" si="7"/>
        <v>0</v>
      </c>
      <c r="AB22" s="241">
        <f t="shared" si="8"/>
        <v>0</v>
      </c>
      <c r="AE22" s="241">
        <v>0</v>
      </c>
      <c r="AH22" s="241">
        <v>0</v>
      </c>
      <c r="AI22" s="256">
        <f>66950000</f>
        <v>66950000</v>
      </c>
      <c r="AJ22" s="257">
        <v>4.5100000000000001E-2</v>
      </c>
      <c r="AK22" s="241">
        <f t="shared" si="9"/>
        <v>8387.3472222222226</v>
      </c>
      <c r="AL22" s="256">
        <f t="shared" si="52"/>
        <v>130000000</v>
      </c>
      <c r="AM22" s="257">
        <v>4.65E-2</v>
      </c>
      <c r="AN22" s="241">
        <f t="shared" si="10"/>
        <v>16791.666666666668</v>
      </c>
      <c r="AO22" s="256"/>
      <c r="AP22" s="257"/>
      <c r="AQ22" s="241">
        <f t="shared" si="11"/>
        <v>0</v>
      </c>
      <c r="AR22" s="256"/>
      <c r="AS22" s="257"/>
      <c r="AT22" s="241">
        <f t="shared" si="12"/>
        <v>0</v>
      </c>
      <c r="AW22" s="241">
        <f t="shared" si="13"/>
        <v>0</v>
      </c>
      <c r="AZ22" s="241">
        <f t="shared" si="14"/>
        <v>0</v>
      </c>
      <c r="BC22" s="241">
        <f t="shared" si="15"/>
        <v>0</v>
      </c>
      <c r="BF22" s="241">
        <f t="shared" si="16"/>
        <v>0</v>
      </c>
      <c r="BI22" s="241">
        <f t="shared" si="17"/>
        <v>0</v>
      </c>
      <c r="BL22" s="241">
        <f t="shared" si="18"/>
        <v>0</v>
      </c>
      <c r="BO22" s="241">
        <f t="shared" si="19"/>
        <v>0</v>
      </c>
      <c r="BR22" s="241">
        <f t="shared" si="20"/>
        <v>0</v>
      </c>
      <c r="BU22" s="241">
        <f t="shared" si="21"/>
        <v>0</v>
      </c>
      <c r="BX22" s="241">
        <f t="shared" si="22"/>
        <v>0</v>
      </c>
      <c r="CA22" s="241">
        <f t="shared" si="23"/>
        <v>0</v>
      </c>
      <c r="CD22" s="241">
        <f t="shared" si="24"/>
        <v>0</v>
      </c>
      <c r="CG22" s="241">
        <f t="shared" si="25"/>
        <v>0</v>
      </c>
      <c r="CJ22" s="241">
        <f t="shared" si="26"/>
        <v>0</v>
      </c>
      <c r="CM22" s="241">
        <f t="shared" si="27"/>
        <v>0</v>
      </c>
      <c r="CP22" s="241">
        <f t="shared" si="28"/>
        <v>0</v>
      </c>
      <c r="CS22" s="241">
        <f t="shared" si="29"/>
        <v>0</v>
      </c>
      <c r="CV22" s="241">
        <f t="shared" si="30"/>
        <v>0</v>
      </c>
      <c r="CY22" s="241">
        <f t="shared" si="31"/>
        <v>0</v>
      </c>
      <c r="DB22" s="241">
        <f t="shared" si="32"/>
        <v>0</v>
      </c>
      <c r="DE22" s="241">
        <f t="shared" si="33"/>
        <v>0</v>
      </c>
      <c r="DH22" s="241">
        <f t="shared" si="34"/>
        <v>0</v>
      </c>
      <c r="DK22" s="241">
        <f t="shared" si="35"/>
        <v>0</v>
      </c>
      <c r="DN22" s="241">
        <f t="shared" si="36"/>
        <v>0</v>
      </c>
      <c r="DQ22" s="241">
        <f t="shared" si="37"/>
        <v>0</v>
      </c>
      <c r="DT22" s="241">
        <f t="shared" si="38"/>
        <v>0</v>
      </c>
      <c r="DW22" s="241">
        <f t="shared" si="39"/>
        <v>0</v>
      </c>
      <c r="DZ22" s="241"/>
      <c r="EA22" s="241"/>
      <c r="EB22" s="261">
        <f t="shared" si="40"/>
        <v>196950000</v>
      </c>
      <c r="EC22" s="261">
        <f t="shared" si="41"/>
        <v>0</v>
      </c>
      <c r="ED22" s="241">
        <f t="shared" si="42"/>
        <v>25179.013888888891</v>
      </c>
      <c r="EE22" s="242">
        <f t="shared" si="43"/>
        <v>4.6024092409240935E-2</v>
      </c>
      <c r="EG22" s="261">
        <f t="shared" si="44"/>
        <v>0</v>
      </c>
      <c r="EH22" s="241">
        <f t="shared" si="45"/>
        <v>0</v>
      </c>
      <c r="EI22" s="242">
        <f t="shared" si="46"/>
        <v>0</v>
      </c>
      <c r="EJ22" s="242"/>
      <c r="EK22" s="261">
        <f t="shared" si="47"/>
        <v>196950000</v>
      </c>
      <c r="EL22" s="261">
        <f t="shared" si="48"/>
        <v>0</v>
      </c>
      <c r="EM22" s="261">
        <f t="shared" si="49"/>
        <v>25179.013888888891</v>
      </c>
      <c r="EN22" s="242">
        <f t="shared" si="50"/>
        <v>4.6024092409240935E-2</v>
      </c>
      <c r="EP22" s="241"/>
    </row>
    <row r="23" spans="1:146" x14ac:dyDescent="0.25">
      <c r="A23" s="255">
        <f t="shared" si="51"/>
        <v>45821</v>
      </c>
      <c r="B23" s="241">
        <v>0</v>
      </c>
      <c r="C23" s="242">
        <v>4.6163670000000004E-2</v>
      </c>
      <c r="D23" s="241">
        <f t="shared" si="0"/>
        <v>0</v>
      </c>
      <c r="G23" s="241">
        <f t="shared" si="1"/>
        <v>0</v>
      </c>
      <c r="J23" s="241">
        <f t="shared" si="2"/>
        <v>0</v>
      </c>
      <c r="M23" s="241">
        <f t="shared" si="3"/>
        <v>0</v>
      </c>
      <c r="P23" s="241">
        <f t="shared" si="4"/>
        <v>0</v>
      </c>
      <c r="S23" s="241">
        <f t="shared" si="5"/>
        <v>0</v>
      </c>
      <c r="V23" s="241">
        <f t="shared" si="6"/>
        <v>0</v>
      </c>
      <c r="Y23" s="241">
        <f t="shared" si="7"/>
        <v>0</v>
      </c>
      <c r="AB23" s="241">
        <f t="shared" si="8"/>
        <v>0</v>
      </c>
      <c r="AE23" s="241">
        <v>0</v>
      </c>
      <c r="AH23" s="241">
        <v>0</v>
      </c>
      <c r="AI23" s="256">
        <f>13275000+60000000</f>
        <v>73275000</v>
      </c>
      <c r="AJ23" s="257">
        <v>4.5100000000000001E-2</v>
      </c>
      <c r="AK23" s="241">
        <f t="shared" si="9"/>
        <v>9179.7291666666661</v>
      </c>
      <c r="AL23" s="256">
        <f t="shared" si="52"/>
        <v>130000000</v>
      </c>
      <c r="AM23" s="257">
        <v>4.65E-2</v>
      </c>
      <c r="AN23" s="241">
        <f t="shared" si="10"/>
        <v>16791.666666666668</v>
      </c>
      <c r="AO23" s="256"/>
      <c r="AP23" s="257"/>
      <c r="AQ23" s="241">
        <f t="shared" si="11"/>
        <v>0</v>
      </c>
      <c r="AR23" s="256"/>
      <c r="AS23" s="257"/>
      <c r="AT23" s="241">
        <f t="shared" si="12"/>
        <v>0</v>
      </c>
      <c r="AW23" s="241">
        <f t="shared" si="13"/>
        <v>0</v>
      </c>
      <c r="AZ23" s="241">
        <f t="shared" si="14"/>
        <v>0</v>
      </c>
      <c r="BC23" s="241">
        <f t="shared" si="15"/>
        <v>0</v>
      </c>
      <c r="BF23" s="241">
        <f t="shared" si="16"/>
        <v>0</v>
      </c>
      <c r="BI23" s="241">
        <f t="shared" si="17"/>
        <v>0</v>
      </c>
      <c r="BL23" s="241">
        <f t="shared" si="18"/>
        <v>0</v>
      </c>
      <c r="BO23" s="241">
        <f t="shared" si="19"/>
        <v>0</v>
      </c>
      <c r="BR23" s="241">
        <f t="shared" si="20"/>
        <v>0</v>
      </c>
      <c r="BU23" s="241">
        <f t="shared" si="21"/>
        <v>0</v>
      </c>
      <c r="BX23" s="241">
        <f t="shared" si="22"/>
        <v>0</v>
      </c>
      <c r="CA23" s="241">
        <f t="shared" si="23"/>
        <v>0</v>
      </c>
      <c r="CD23" s="241">
        <f t="shared" si="24"/>
        <v>0</v>
      </c>
      <c r="CG23" s="241">
        <f t="shared" si="25"/>
        <v>0</v>
      </c>
      <c r="CJ23" s="241">
        <f t="shared" si="26"/>
        <v>0</v>
      </c>
      <c r="CM23" s="241">
        <f t="shared" si="27"/>
        <v>0</v>
      </c>
      <c r="CP23" s="241">
        <f t="shared" si="28"/>
        <v>0</v>
      </c>
      <c r="CS23" s="241">
        <f t="shared" si="29"/>
        <v>0</v>
      </c>
      <c r="CV23" s="241">
        <f t="shared" si="30"/>
        <v>0</v>
      </c>
      <c r="CY23" s="241">
        <f t="shared" si="31"/>
        <v>0</v>
      </c>
      <c r="DB23" s="241">
        <f t="shared" si="32"/>
        <v>0</v>
      </c>
      <c r="DE23" s="241">
        <f t="shared" si="33"/>
        <v>0</v>
      </c>
      <c r="DH23" s="241">
        <f t="shared" si="34"/>
        <v>0</v>
      </c>
      <c r="DK23" s="241">
        <f t="shared" si="35"/>
        <v>0</v>
      </c>
      <c r="DN23" s="241">
        <f t="shared" si="36"/>
        <v>0</v>
      </c>
      <c r="DQ23" s="241">
        <f t="shared" si="37"/>
        <v>0</v>
      </c>
      <c r="DT23" s="241">
        <f t="shared" si="38"/>
        <v>0</v>
      </c>
      <c r="DW23" s="241">
        <f t="shared" si="39"/>
        <v>0</v>
      </c>
      <c r="DZ23" s="241"/>
      <c r="EA23" s="241"/>
      <c r="EB23" s="261">
        <f t="shared" si="40"/>
        <v>203275000</v>
      </c>
      <c r="EC23" s="261">
        <f t="shared" si="41"/>
        <v>0</v>
      </c>
      <c r="ED23" s="241">
        <f t="shared" si="42"/>
        <v>25971.395833333336</v>
      </c>
      <c r="EE23" s="242">
        <f t="shared" si="43"/>
        <v>4.5995338826712591E-2</v>
      </c>
      <c r="EG23" s="261">
        <f t="shared" si="44"/>
        <v>0</v>
      </c>
      <c r="EH23" s="241">
        <f t="shared" si="45"/>
        <v>0</v>
      </c>
      <c r="EI23" s="242">
        <f t="shared" si="46"/>
        <v>0</v>
      </c>
      <c r="EJ23" s="242"/>
      <c r="EK23" s="261">
        <f t="shared" si="47"/>
        <v>203275000</v>
      </c>
      <c r="EL23" s="261">
        <f t="shared" si="48"/>
        <v>0</v>
      </c>
      <c r="EM23" s="261">
        <f t="shared" si="49"/>
        <v>25971.395833333336</v>
      </c>
      <c r="EN23" s="242">
        <f t="shared" si="50"/>
        <v>4.5995338826712591E-2</v>
      </c>
      <c r="EP23" s="241"/>
    </row>
    <row r="24" spans="1:146" x14ac:dyDescent="0.25">
      <c r="A24" s="255">
        <f t="shared" si="51"/>
        <v>45822</v>
      </c>
      <c r="B24" s="241">
        <v>0</v>
      </c>
      <c r="C24" s="242">
        <v>4.6163670000000004E-2</v>
      </c>
      <c r="D24" s="241">
        <f t="shared" si="0"/>
        <v>0</v>
      </c>
      <c r="G24" s="241">
        <f t="shared" si="1"/>
        <v>0</v>
      </c>
      <c r="J24" s="241">
        <f t="shared" si="2"/>
        <v>0</v>
      </c>
      <c r="M24" s="241">
        <f t="shared" si="3"/>
        <v>0</v>
      </c>
      <c r="P24" s="241">
        <f t="shared" si="4"/>
        <v>0</v>
      </c>
      <c r="S24" s="241">
        <f t="shared" si="5"/>
        <v>0</v>
      </c>
      <c r="V24" s="241">
        <f t="shared" si="6"/>
        <v>0</v>
      </c>
      <c r="Y24" s="241">
        <f t="shared" si="7"/>
        <v>0</v>
      </c>
      <c r="AB24" s="241">
        <f t="shared" si="8"/>
        <v>0</v>
      </c>
      <c r="AE24" s="241">
        <v>0</v>
      </c>
      <c r="AH24" s="241">
        <v>0</v>
      </c>
      <c r="AI24" s="256">
        <f>13275000+60000000</f>
        <v>73275000</v>
      </c>
      <c r="AJ24" s="257">
        <v>4.5100000000000001E-2</v>
      </c>
      <c r="AK24" s="241">
        <f t="shared" si="9"/>
        <v>9179.7291666666661</v>
      </c>
      <c r="AL24" s="256">
        <f t="shared" si="52"/>
        <v>130000000</v>
      </c>
      <c r="AM24" s="257">
        <v>4.65E-2</v>
      </c>
      <c r="AN24" s="241">
        <f t="shared" si="10"/>
        <v>16791.666666666668</v>
      </c>
      <c r="AO24" s="256"/>
      <c r="AP24" s="257"/>
      <c r="AQ24" s="241">
        <f t="shared" si="11"/>
        <v>0</v>
      </c>
      <c r="AR24" s="256"/>
      <c r="AS24" s="257"/>
      <c r="AT24" s="241">
        <f t="shared" si="12"/>
        <v>0</v>
      </c>
      <c r="AW24" s="241">
        <f t="shared" si="13"/>
        <v>0</v>
      </c>
      <c r="AZ24" s="241">
        <f t="shared" si="14"/>
        <v>0</v>
      </c>
      <c r="BC24" s="241">
        <f t="shared" si="15"/>
        <v>0</v>
      </c>
      <c r="BF24" s="241">
        <f t="shared" si="16"/>
        <v>0</v>
      </c>
      <c r="BI24" s="241">
        <f t="shared" si="17"/>
        <v>0</v>
      </c>
      <c r="BL24" s="241">
        <f t="shared" si="18"/>
        <v>0</v>
      </c>
      <c r="BO24" s="241">
        <f t="shared" si="19"/>
        <v>0</v>
      </c>
      <c r="BR24" s="241">
        <f t="shared" si="20"/>
        <v>0</v>
      </c>
      <c r="BU24" s="241">
        <f t="shared" si="21"/>
        <v>0</v>
      </c>
      <c r="BX24" s="241">
        <f t="shared" si="22"/>
        <v>0</v>
      </c>
      <c r="CA24" s="241">
        <f t="shared" si="23"/>
        <v>0</v>
      </c>
      <c r="CD24" s="241">
        <f t="shared" si="24"/>
        <v>0</v>
      </c>
      <c r="CG24" s="241">
        <f t="shared" si="25"/>
        <v>0</v>
      </c>
      <c r="CJ24" s="241">
        <f t="shared" si="26"/>
        <v>0</v>
      </c>
      <c r="CM24" s="241">
        <f t="shared" si="27"/>
        <v>0</v>
      </c>
      <c r="CP24" s="241">
        <f t="shared" si="28"/>
        <v>0</v>
      </c>
      <c r="CS24" s="241">
        <f t="shared" si="29"/>
        <v>0</v>
      </c>
      <c r="CV24" s="241">
        <f t="shared" si="30"/>
        <v>0</v>
      </c>
      <c r="CY24" s="241">
        <f t="shared" si="31"/>
        <v>0</v>
      </c>
      <c r="DB24" s="241">
        <f t="shared" si="32"/>
        <v>0</v>
      </c>
      <c r="DE24" s="241">
        <f t="shared" si="33"/>
        <v>0</v>
      </c>
      <c r="DH24" s="241">
        <f t="shared" si="34"/>
        <v>0</v>
      </c>
      <c r="DK24" s="241">
        <f t="shared" si="35"/>
        <v>0</v>
      </c>
      <c r="DN24" s="241">
        <f t="shared" si="36"/>
        <v>0</v>
      </c>
      <c r="DQ24" s="241">
        <f t="shared" si="37"/>
        <v>0</v>
      </c>
      <c r="DT24" s="241">
        <f t="shared" si="38"/>
        <v>0</v>
      </c>
      <c r="DW24" s="241">
        <f t="shared" si="39"/>
        <v>0</v>
      </c>
      <c r="DZ24" s="241"/>
      <c r="EA24" s="241"/>
      <c r="EB24" s="261">
        <f t="shared" si="40"/>
        <v>203275000</v>
      </c>
      <c r="EC24" s="261">
        <f t="shared" si="41"/>
        <v>0</v>
      </c>
      <c r="ED24" s="241">
        <f t="shared" si="42"/>
        <v>25971.395833333336</v>
      </c>
      <c r="EE24" s="242">
        <f t="shared" si="43"/>
        <v>4.5995338826712591E-2</v>
      </c>
      <c r="EG24" s="261">
        <f t="shared" si="44"/>
        <v>0</v>
      </c>
      <c r="EH24" s="241">
        <f t="shared" si="45"/>
        <v>0</v>
      </c>
      <c r="EI24" s="242">
        <f t="shared" si="46"/>
        <v>0</v>
      </c>
      <c r="EJ24" s="242"/>
      <c r="EK24" s="261">
        <f t="shared" si="47"/>
        <v>203275000</v>
      </c>
      <c r="EL24" s="261">
        <f t="shared" si="48"/>
        <v>0</v>
      </c>
      <c r="EM24" s="261">
        <f t="shared" si="49"/>
        <v>25971.395833333336</v>
      </c>
      <c r="EN24" s="242">
        <f t="shared" si="50"/>
        <v>4.5995338826712591E-2</v>
      </c>
      <c r="EP24" s="241"/>
    </row>
    <row r="25" spans="1:146" x14ac:dyDescent="0.25">
      <c r="A25" s="255">
        <f t="shared" si="51"/>
        <v>45823</v>
      </c>
      <c r="B25" s="241">
        <v>0</v>
      </c>
      <c r="C25" s="242">
        <v>4.6163670000000004E-2</v>
      </c>
      <c r="D25" s="241">
        <f t="shared" si="0"/>
        <v>0</v>
      </c>
      <c r="G25" s="241">
        <f t="shared" si="1"/>
        <v>0</v>
      </c>
      <c r="J25" s="241">
        <f t="shared" si="2"/>
        <v>0</v>
      </c>
      <c r="M25" s="241">
        <f t="shared" si="3"/>
        <v>0</v>
      </c>
      <c r="P25" s="241">
        <f t="shared" si="4"/>
        <v>0</v>
      </c>
      <c r="S25" s="241">
        <f t="shared" si="5"/>
        <v>0</v>
      </c>
      <c r="V25" s="241">
        <f t="shared" si="6"/>
        <v>0</v>
      </c>
      <c r="Y25" s="241">
        <f t="shared" si="7"/>
        <v>0</v>
      </c>
      <c r="AB25" s="241">
        <f t="shared" si="8"/>
        <v>0</v>
      </c>
      <c r="AE25" s="241">
        <v>0</v>
      </c>
      <c r="AH25" s="241">
        <v>0</v>
      </c>
      <c r="AI25" s="256">
        <f>13275000+60000000</f>
        <v>73275000</v>
      </c>
      <c r="AJ25" s="257">
        <v>4.5100000000000001E-2</v>
      </c>
      <c r="AK25" s="241">
        <f t="shared" si="9"/>
        <v>9179.7291666666661</v>
      </c>
      <c r="AL25" s="256">
        <f t="shared" si="52"/>
        <v>130000000</v>
      </c>
      <c r="AM25" s="257">
        <v>4.65E-2</v>
      </c>
      <c r="AN25" s="241">
        <f t="shared" si="10"/>
        <v>16791.666666666668</v>
      </c>
      <c r="AO25" s="256"/>
      <c r="AP25" s="257"/>
      <c r="AQ25" s="241">
        <f t="shared" si="11"/>
        <v>0</v>
      </c>
      <c r="AR25" s="256"/>
      <c r="AS25" s="257"/>
      <c r="AT25" s="241">
        <f t="shared" si="12"/>
        <v>0</v>
      </c>
      <c r="AW25" s="241">
        <f t="shared" si="13"/>
        <v>0</v>
      </c>
      <c r="AZ25" s="241">
        <f t="shared" si="14"/>
        <v>0</v>
      </c>
      <c r="BC25" s="241">
        <f t="shared" si="15"/>
        <v>0</v>
      </c>
      <c r="BF25" s="241">
        <f t="shared" si="16"/>
        <v>0</v>
      </c>
      <c r="BI25" s="241">
        <f t="shared" si="17"/>
        <v>0</v>
      </c>
      <c r="BL25" s="241">
        <f t="shared" si="18"/>
        <v>0</v>
      </c>
      <c r="BO25" s="241">
        <f t="shared" si="19"/>
        <v>0</v>
      </c>
      <c r="BR25" s="241">
        <f t="shared" si="20"/>
        <v>0</v>
      </c>
      <c r="BU25" s="241">
        <f t="shared" si="21"/>
        <v>0</v>
      </c>
      <c r="BX25" s="241">
        <f t="shared" si="22"/>
        <v>0</v>
      </c>
      <c r="CA25" s="241">
        <f t="shared" si="23"/>
        <v>0</v>
      </c>
      <c r="CD25" s="241">
        <f t="shared" si="24"/>
        <v>0</v>
      </c>
      <c r="CG25" s="241">
        <f t="shared" si="25"/>
        <v>0</v>
      </c>
      <c r="CJ25" s="241">
        <f t="shared" si="26"/>
        <v>0</v>
      </c>
      <c r="CM25" s="241">
        <f t="shared" si="27"/>
        <v>0</v>
      </c>
      <c r="CP25" s="241">
        <f t="shared" si="28"/>
        <v>0</v>
      </c>
      <c r="CS25" s="241">
        <f t="shared" si="29"/>
        <v>0</v>
      </c>
      <c r="CV25" s="241">
        <f t="shared" si="30"/>
        <v>0</v>
      </c>
      <c r="CY25" s="241">
        <f t="shared" si="31"/>
        <v>0</v>
      </c>
      <c r="DB25" s="241">
        <f t="shared" si="32"/>
        <v>0</v>
      </c>
      <c r="DE25" s="241">
        <f t="shared" si="33"/>
        <v>0</v>
      </c>
      <c r="DH25" s="241">
        <f t="shared" si="34"/>
        <v>0</v>
      </c>
      <c r="DK25" s="241">
        <f t="shared" si="35"/>
        <v>0</v>
      </c>
      <c r="DN25" s="241">
        <f t="shared" si="36"/>
        <v>0</v>
      </c>
      <c r="DQ25" s="241">
        <f t="shared" si="37"/>
        <v>0</v>
      </c>
      <c r="DT25" s="241">
        <f t="shared" si="38"/>
        <v>0</v>
      </c>
      <c r="DW25" s="241">
        <f t="shared" si="39"/>
        <v>0</v>
      </c>
      <c r="DZ25" s="241"/>
      <c r="EA25" s="241"/>
      <c r="EB25" s="261">
        <f t="shared" si="40"/>
        <v>203275000</v>
      </c>
      <c r="EC25" s="261">
        <f t="shared" si="41"/>
        <v>0</v>
      </c>
      <c r="ED25" s="241">
        <f t="shared" si="42"/>
        <v>25971.395833333336</v>
      </c>
      <c r="EE25" s="242">
        <f t="shared" si="43"/>
        <v>4.5995338826712591E-2</v>
      </c>
      <c r="EG25" s="261">
        <f t="shared" si="44"/>
        <v>0</v>
      </c>
      <c r="EH25" s="241">
        <f t="shared" si="45"/>
        <v>0</v>
      </c>
      <c r="EI25" s="242">
        <f t="shared" si="46"/>
        <v>0</v>
      </c>
      <c r="EJ25" s="242"/>
      <c r="EK25" s="261">
        <f t="shared" si="47"/>
        <v>203275000</v>
      </c>
      <c r="EL25" s="261">
        <f t="shared" si="48"/>
        <v>0</v>
      </c>
      <c r="EM25" s="261">
        <f t="shared" si="49"/>
        <v>25971.395833333336</v>
      </c>
      <c r="EN25" s="242">
        <f t="shared" si="50"/>
        <v>4.5995338826712591E-2</v>
      </c>
      <c r="EP25" s="241"/>
    </row>
    <row r="26" spans="1:146" x14ac:dyDescent="0.25">
      <c r="A26" s="255">
        <f t="shared" si="51"/>
        <v>45824</v>
      </c>
      <c r="B26" s="241">
        <v>0</v>
      </c>
      <c r="C26" s="242">
        <v>4.5864099999999998E-2</v>
      </c>
      <c r="D26" s="241">
        <f t="shared" si="0"/>
        <v>0</v>
      </c>
      <c r="G26" s="241">
        <f t="shared" si="1"/>
        <v>0</v>
      </c>
      <c r="J26" s="241">
        <f t="shared" si="2"/>
        <v>0</v>
      </c>
      <c r="M26" s="241">
        <f t="shared" si="3"/>
        <v>0</v>
      </c>
      <c r="P26" s="241">
        <f t="shared" si="4"/>
        <v>0</v>
      </c>
      <c r="S26" s="241">
        <f t="shared" si="5"/>
        <v>0</v>
      </c>
      <c r="V26" s="241">
        <f t="shared" si="6"/>
        <v>0</v>
      </c>
      <c r="Y26" s="241">
        <f t="shared" si="7"/>
        <v>0</v>
      </c>
      <c r="AB26" s="241">
        <f t="shared" si="8"/>
        <v>0</v>
      </c>
      <c r="AE26" s="241">
        <v>0</v>
      </c>
      <c r="AH26" s="241">
        <v>0</v>
      </c>
      <c r="AI26" s="256">
        <f>10125000+60000000</f>
        <v>70125000</v>
      </c>
      <c r="AJ26" s="257">
        <v>4.5100000000000001E-2</v>
      </c>
      <c r="AK26" s="241">
        <f t="shared" si="9"/>
        <v>8785.1041666666661</v>
      </c>
      <c r="AL26" s="256">
        <f t="shared" si="52"/>
        <v>130000000</v>
      </c>
      <c r="AM26" s="257">
        <v>4.65E-2</v>
      </c>
      <c r="AN26" s="241">
        <f t="shared" si="10"/>
        <v>16791.666666666668</v>
      </c>
      <c r="AO26" s="256"/>
      <c r="AP26" s="257"/>
      <c r="AQ26" s="241">
        <f t="shared" si="11"/>
        <v>0</v>
      </c>
      <c r="AR26" s="256"/>
      <c r="AS26" s="257"/>
      <c r="AT26" s="241">
        <f t="shared" si="12"/>
        <v>0</v>
      </c>
      <c r="AW26" s="241">
        <f t="shared" si="13"/>
        <v>0</v>
      </c>
      <c r="AZ26" s="241">
        <f t="shared" si="14"/>
        <v>0</v>
      </c>
      <c r="BC26" s="241">
        <f t="shared" si="15"/>
        <v>0</v>
      </c>
      <c r="BF26" s="241">
        <f t="shared" si="16"/>
        <v>0</v>
      </c>
      <c r="BI26" s="241">
        <f t="shared" si="17"/>
        <v>0</v>
      </c>
      <c r="BL26" s="241">
        <f t="shared" si="18"/>
        <v>0</v>
      </c>
      <c r="BO26" s="241">
        <f t="shared" si="19"/>
        <v>0</v>
      </c>
      <c r="BR26" s="241">
        <f t="shared" si="20"/>
        <v>0</v>
      </c>
      <c r="BU26" s="241">
        <f t="shared" si="21"/>
        <v>0</v>
      </c>
      <c r="BX26" s="241">
        <f t="shared" si="22"/>
        <v>0</v>
      </c>
      <c r="CA26" s="241">
        <f t="shared" si="23"/>
        <v>0</v>
      </c>
      <c r="CD26" s="241">
        <f t="shared" si="24"/>
        <v>0</v>
      </c>
      <c r="CG26" s="241">
        <f t="shared" si="25"/>
        <v>0</v>
      </c>
      <c r="CJ26" s="241">
        <f t="shared" si="26"/>
        <v>0</v>
      </c>
      <c r="CM26" s="241">
        <f t="shared" si="27"/>
        <v>0</v>
      </c>
      <c r="CP26" s="241">
        <f t="shared" si="28"/>
        <v>0</v>
      </c>
      <c r="CS26" s="241">
        <f t="shared" si="29"/>
        <v>0</v>
      </c>
      <c r="CV26" s="241">
        <f t="shared" si="30"/>
        <v>0</v>
      </c>
      <c r="CY26" s="241">
        <f t="shared" si="31"/>
        <v>0</v>
      </c>
      <c r="DB26" s="241">
        <f t="shared" si="32"/>
        <v>0</v>
      </c>
      <c r="DE26" s="241">
        <f t="shared" si="33"/>
        <v>0</v>
      </c>
      <c r="DH26" s="241">
        <f t="shared" si="34"/>
        <v>0</v>
      </c>
      <c r="DK26" s="241">
        <f t="shared" si="35"/>
        <v>0</v>
      </c>
      <c r="DN26" s="241">
        <f t="shared" si="36"/>
        <v>0</v>
      </c>
      <c r="DQ26" s="241">
        <f t="shared" si="37"/>
        <v>0</v>
      </c>
      <c r="DT26" s="241">
        <f t="shared" si="38"/>
        <v>0</v>
      </c>
      <c r="DW26" s="241">
        <f t="shared" si="39"/>
        <v>0</v>
      </c>
      <c r="DZ26" s="241"/>
      <c r="EA26" s="241"/>
      <c r="EB26" s="261">
        <f t="shared" si="40"/>
        <v>200125000</v>
      </c>
      <c r="EC26" s="261">
        <f t="shared" si="41"/>
        <v>0</v>
      </c>
      <c r="ED26" s="241">
        <f t="shared" si="42"/>
        <v>25576.770833333336</v>
      </c>
      <c r="EE26" s="242">
        <f t="shared" si="43"/>
        <v>4.6009431605246731E-2</v>
      </c>
      <c r="EG26" s="261">
        <f t="shared" si="44"/>
        <v>0</v>
      </c>
      <c r="EH26" s="241">
        <f t="shared" si="45"/>
        <v>0</v>
      </c>
      <c r="EI26" s="242">
        <f t="shared" si="46"/>
        <v>0</v>
      </c>
      <c r="EJ26" s="242"/>
      <c r="EK26" s="261">
        <f t="shared" si="47"/>
        <v>200125000</v>
      </c>
      <c r="EL26" s="261">
        <f t="shared" si="48"/>
        <v>0</v>
      </c>
      <c r="EM26" s="261">
        <f t="shared" si="49"/>
        <v>25576.770833333336</v>
      </c>
      <c r="EN26" s="242">
        <f t="shared" si="50"/>
        <v>4.6009431605246731E-2</v>
      </c>
      <c r="EP26" s="241"/>
    </row>
    <row r="27" spans="1:146" x14ac:dyDescent="0.25">
      <c r="A27" s="255">
        <f t="shared" si="51"/>
        <v>45825</v>
      </c>
      <c r="B27" s="241">
        <v>5025000</v>
      </c>
      <c r="C27" s="242">
        <v>4.3400000000000001E-2</v>
      </c>
      <c r="D27" s="241">
        <f t="shared" si="0"/>
        <v>605.79166666666663</v>
      </c>
      <c r="G27" s="241">
        <f t="shared" si="1"/>
        <v>0</v>
      </c>
      <c r="J27" s="241">
        <f t="shared" si="2"/>
        <v>0</v>
      </c>
      <c r="M27" s="241">
        <f t="shared" si="3"/>
        <v>0</v>
      </c>
      <c r="P27" s="241">
        <f t="shared" si="4"/>
        <v>0</v>
      </c>
      <c r="S27" s="241">
        <f t="shared" si="5"/>
        <v>0</v>
      </c>
      <c r="V27" s="241">
        <f t="shared" si="6"/>
        <v>0</v>
      </c>
      <c r="Y27" s="241">
        <f t="shared" si="7"/>
        <v>0</v>
      </c>
      <c r="AB27" s="241">
        <f t="shared" si="8"/>
        <v>0</v>
      </c>
      <c r="AE27" s="241">
        <v>0</v>
      </c>
      <c r="AH27" s="241">
        <v>0</v>
      </c>
      <c r="AI27" s="256">
        <f>13575000+40000000</f>
        <v>53575000</v>
      </c>
      <c r="AJ27" s="257">
        <v>4.5100000000000001E-2</v>
      </c>
      <c r="AK27" s="241">
        <f t="shared" si="9"/>
        <v>6711.7569444444443</v>
      </c>
      <c r="AL27" s="256">
        <f t="shared" si="52"/>
        <v>130000000</v>
      </c>
      <c r="AM27" s="257">
        <v>4.65E-2</v>
      </c>
      <c r="AN27" s="241">
        <f t="shared" si="10"/>
        <v>16791.666666666668</v>
      </c>
      <c r="AO27" s="256"/>
      <c r="AP27" s="257"/>
      <c r="AQ27" s="241">
        <f t="shared" si="11"/>
        <v>0</v>
      </c>
      <c r="AR27" s="256"/>
      <c r="AS27" s="257"/>
      <c r="AT27" s="241">
        <f t="shared" si="12"/>
        <v>0</v>
      </c>
      <c r="AW27" s="241">
        <f t="shared" si="13"/>
        <v>0</v>
      </c>
      <c r="AZ27" s="241">
        <f t="shared" si="14"/>
        <v>0</v>
      </c>
      <c r="BC27" s="241">
        <f t="shared" si="15"/>
        <v>0</v>
      </c>
      <c r="BF27" s="241">
        <f t="shared" si="16"/>
        <v>0</v>
      </c>
      <c r="BI27" s="241">
        <f t="shared" si="17"/>
        <v>0</v>
      </c>
      <c r="BL27" s="241">
        <f t="shared" si="18"/>
        <v>0</v>
      </c>
      <c r="BO27" s="241">
        <f t="shared" si="19"/>
        <v>0</v>
      </c>
      <c r="BR27" s="241">
        <f t="shared" si="20"/>
        <v>0</v>
      </c>
      <c r="BU27" s="241">
        <f t="shared" si="21"/>
        <v>0</v>
      </c>
      <c r="BX27" s="241">
        <f t="shared" si="22"/>
        <v>0</v>
      </c>
      <c r="CA27" s="241">
        <f t="shared" si="23"/>
        <v>0</v>
      </c>
      <c r="CD27" s="241">
        <f t="shared" si="24"/>
        <v>0</v>
      </c>
      <c r="CG27" s="241">
        <f t="shared" si="25"/>
        <v>0</v>
      </c>
      <c r="CJ27" s="241">
        <f t="shared" si="26"/>
        <v>0</v>
      </c>
      <c r="CM27" s="241">
        <f t="shared" si="27"/>
        <v>0</v>
      </c>
      <c r="CP27" s="241">
        <f t="shared" si="28"/>
        <v>0</v>
      </c>
      <c r="CS27" s="241">
        <f t="shared" si="29"/>
        <v>0</v>
      </c>
      <c r="CV27" s="241">
        <f t="shared" si="30"/>
        <v>0</v>
      </c>
      <c r="CY27" s="241">
        <f t="shared" si="31"/>
        <v>0</v>
      </c>
      <c r="DB27" s="241">
        <f t="shared" si="32"/>
        <v>0</v>
      </c>
      <c r="DE27" s="241">
        <f t="shared" si="33"/>
        <v>0</v>
      </c>
      <c r="DH27" s="241">
        <f t="shared" si="34"/>
        <v>0</v>
      </c>
      <c r="DK27" s="241">
        <f t="shared" si="35"/>
        <v>0</v>
      </c>
      <c r="DN27" s="241">
        <f t="shared" si="36"/>
        <v>0</v>
      </c>
      <c r="DQ27" s="241">
        <f t="shared" si="37"/>
        <v>0</v>
      </c>
      <c r="DT27" s="241">
        <f t="shared" si="38"/>
        <v>0</v>
      </c>
      <c r="DW27" s="241">
        <f t="shared" si="39"/>
        <v>0</v>
      </c>
      <c r="DZ27" s="241"/>
      <c r="EA27" s="241"/>
      <c r="EB27" s="261">
        <f t="shared" si="40"/>
        <v>188600000</v>
      </c>
      <c r="EC27" s="261">
        <f t="shared" si="41"/>
        <v>5025000</v>
      </c>
      <c r="ED27" s="241">
        <f t="shared" si="42"/>
        <v>24109.215277777781</v>
      </c>
      <c r="EE27" s="242">
        <f t="shared" si="43"/>
        <v>4.6019711028632039E-2</v>
      </c>
      <c r="EG27" s="261">
        <f t="shared" si="44"/>
        <v>0</v>
      </c>
      <c r="EH27" s="241">
        <f t="shared" si="45"/>
        <v>0</v>
      </c>
      <c r="EI27" s="242">
        <f t="shared" si="46"/>
        <v>0</v>
      </c>
      <c r="EJ27" s="242"/>
      <c r="EK27" s="261">
        <f t="shared" si="47"/>
        <v>183575000</v>
      </c>
      <c r="EL27" s="261">
        <f t="shared" si="48"/>
        <v>0</v>
      </c>
      <c r="EM27" s="261">
        <f t="shared" si="49"/>
        <v>23503.423611111113</v>
      </c>
      <c r="EN27" s="242">
        <f t="shared" si="50"/>
        <v>4.6091420400381326E-2</v>
      </c>
      <c r="EP27" s="241"/>
    </row>
    <row r="28" spans="1:146" x14ac:dyDescent="0.25">
      <c r="A28" s="255">
        <f t="shared" si="51"/>
        <v>45826</v>
      </c>
      <c r="B28" s="241">
        <v>4900000</v>
      </c>
      <c r="C28" s="242">
        <v>4.3200000000000002E-2</v>
      </c>
      <c r="D28" s="241">
        <f t="shared" si="0"/>
        <v>588</v>
      </c>
      <c r="G28" s="241">
        <f t="shared" si="1"/>
        <v>0</v>
      </c>
      <c r="J28" s="241">
        <f t="shared" si="2"/>
        <v>0</v>
      </c>
      <c r="M28" s="241">
        <f t="shared" si="3"/>
        <v>0</v>
      </c>
      <c r="P28" s="241">
        <f t="shared" si="4"/>
        <v>0</v>
      </c>
      <c r="S28" s="241">
        <f t="shared" si="5"/>
        <v>0</v>
      </c>
      <c r="V28" s="241">
        <f t="shared" si="6"/>
        <v>0</v>
      </c>
      <c r="Y28" s="241">
        <f t="shared" si="7"/>
        <v>0</v>
      </c>
      <c r="AB28" s="241">
        <f t="shared" si="8"/>
        <v>0</v>
      </c>
      <c r="AE28" s="241">
        <v>0</v>
      </c>
      <c r="AH28" s="241">
        <v>0</v>
      </c>
      <c r="AI28" s="256">
        <f>20000000+31400000</f>
        <v>51400000</v>
      </c>
      <c r="AJ28" s="257">
        <v>4.5100000000000001E-2</v>
      </c>
      <c r="AK28" s="241">
        <f t="shared" si="9"/>
        <v>6439.2777777777774</v>
      </c>
      <c r="AL28" s="256">
        <f t="shared" si="52"/>
        <v>130000000</v>
      </c>
      <c r="AM28" s="257">
        <v>4.65E-2</v>
      </c>
      <c r="AN28" s="241">
        <f t="shared" si="10"/>
        <v>16791.666666666668</v>
      </c>
      <c r="AO28" s="256"/>
      <c r="AP28" s="257"/>
      <c r="AQ28" s="241">
        <f t="shared" si="11"/>
        <v>0</v>
      </c>
      <c r="AR28" s="256"/>
      <c r="AS28" s="257"/>
      <c r="AT28" s="241">
        <f t="shared" si="12"/>
        <v>0</v>
      </c>
      <c r="AW28" s="241">
        <f t="shared" si="13"/>
        <v>0</v>
      </c>
      <c r="AZ28" s="241">
        <f t="shared" si="14"/>
        <v>0</v>
      </c>
      <c r="BC28" s="241">
        <f t="shared" si="15"/>
        <v>0</v>
      </c>
      <c r="BF28" s="241">
        <f t="shared" si="16"/>
        <v>0</v>
      </c>
      <c r="BI28" s="241">
        <f t="shared" si="17"/>
        <v>0</v>
      </c>
      <c r="BL28" s="241">
        <f t="shared" si="18"/>
        <v>0</v>
      </c>
      <c r="BO28" s="241">
        <f t="shared" si="19"/>
        <v>0</v>
      </c>
      <c r="BR28" s="241">
        <f t="shared" si="20"/>
        <v>0</v>
      </c>
      <c r="BU28" s="241">
        <f t="shared" si="21"/>
        <v>0</v>
      </c>
      <c r="BX28" s="241">
        <f t="shared" si="22"/>
        <v>0</v>
      </c>
      <c r="CA28" s="241">
        <f t="shared" si="23"/>
        <v>0</v>
      </c>
      <c r="CD28" s="241">
        <f t="shared" si="24"/>
        <v>0</v>
      </c>
      <c r="CG28" s="241">
        <f t="shared" si="25"/>
        <v>0</v>
      </c>
      <c r="CJ28" s="241">
        <f t="shared" si="26"/>
        <v>0</v>
      </c>
      <c r="CM28" s="241">
        <f t="shared" si="27"/>
        <v>0</v>
      </c>
      <c r="CP28" s="241">
        <f t="shared" si="28"/>
        <v>0</v>
      </c>
      <c r="CS28" s="241">
        <f t="shared" si="29"/>
        <v>0</v>
      </c>
      <c r="CV28" s="241">
        <f t="shared" si="30"/>
        <v>0</v>
      </c>
      <c r="CY28" s="241">
        <f t="shared" si="31"/>
        <v>0</v>
      </c>
      <c r="DB28" s="241">
        <f t="shared" si="32"/>
        <v>0</v>
      </c>
      <c r="DE28" s="241">
        <f t="shared" si="33"/>
        <v>0</v>
      </c>
      <c r="DH28" s="241">
        <f t="shared" si="34"/>
        <v>0</v>
      </c>
      <c r="DK28" s="241">
        <f t="shared" si="35"/>
        <v>0</v>
      </c>
      <c r="DN28" s="241">
        <f t="shared" si="36"/>
        <v>0</v>
      </c>
      <c r="DQ28" s="241">
        <f t="shared" si="37"/>
        <v>0</v>
      </c>
      <c r="DT28" s="241">
        <f t="shared" si="38"/>
        <v>0</v>
      </c>
      <c r="DW28" s="241">
        <f t="shared" si="39"/>
        <v>0</v>
      </c>
      <c r="DZ28" s="241"/>
      <c r="EA28" s="241"/>
      <c r="EB28" s="261">
        <f t="shared" si="40"/>
        <v>186300000</v>
      </c>
      <c r="EC28" s="261">
        <f t="shared" si="41"/>
        <v>4900000</v>
      </c>
      <c r="ED28" s="241">
        <f t="shared" si="42"/>
        <v>23818.944444444445</v>
      </c>
      <c r="EE28" s="242">
        <f t="shared" si="43"/>
        <v>4.6026945786366076E-2</v>
      </c>
      <c r="EG28" s="261">
        <f t="shared" si="44"/>
        <v>0</v>
      </c>
      <c r="EH28" s="241">
        <f t="shared" si="45"/>
        <v>0</v>
      </c>
      <c r="EI28" s="242">
        <f t="shared" si="46"/>
        <v>0</v>
      </c>
      <c r="EJ28" s="242"/>
      <c r="EK28" s="261">
        <f t="shared" si="47"/>
        <v>181400000</v>
      </c>
      <c r="EL28" s="261">
        <f t="shared" si="48"/>
        <v>0</v>
      </c>
      <c r="EM28" s="261">
        <f t="shared" si="49"/>
        <v>23230.944444444445</v>
      </c>
      <c r="EN28" s="242">
        <f t="shared" si="50"/>
        <v>4.6103307607497243E-2</v>
      </c>
      <c r="EP28" s="241"/>
    </row>
    <row r="29" spans="1:146" x14ac:dyDescent="0.25">
      <c r="A29" s="255">
        <f t="shared" si="51"/>
        <v>45827</v>
      </c>
      <c r="B29" s="241">
        <v>4900000</v>
      </c>
      <c r="C29" s="242">
        <v>4.3200000000000002E-2</v>
      </c>
      <c r="D29" s="241">
        <f t="shared" si="0"/>
        <v>588</v>
      </c>
      <c r="G29" s="241">
        <f t="shared" si="1"/>
        <v>0</v>
      </c>
      <c r="J29" s="241">
        <f t="shared" si="2"/>
        <v>0</v>
      </c>
      <c r="M29" s="241">
        <f t="shared" si="3"/>
        <v>0</v>
      </c>
      <c r="P29" s="241">
        <f t="shared" si="4"/>
        <v>0</v>
      </c>
      <c r="S29" s="241">
        <f t="shared" si="5"/>
        <v>0</v>
      </c>
      <c r="V29" s="241">
        <f t="shared" si="6"/>
        <v>0</v>
      </c>
      <c r="Y29" s="241">
        <f t="shared" si="7"/>
        <v>0</v>
      </c>
      <c r="AB29" s="241">
        <f t="shared" si="8"/>
        <v>0</v>
      </c>
      <c r="AE29" s="241">
        <v>0</v>
      </c>
      <c r="AH29" s="241">
        <v>0</v>
      </c>
      <c r="AI29" s="256">
        <f>20000000+31400000</f>
        <v>51400000</v>
      </c>
      <c r="AJ29" s="257">
        <v>4.5100000000000001E-2</v>
      </c>
      <c r="AK29" s="241">
        <f t="shared" si="9"/>
        <v>6439.2777777777774</v>
      </c>
      <c r="AL29" s="256">
        <f t="shared" si="52"/>
        <v>130000000</v>
      </c>
      <c r="AM29" s="257">
        <v>4.65E-2</v>
      </c>
      <c r="AN29" s="241">
        <f t="shared" si="10"/>
        <v>16791.666666666668</v>
      </c>
      <c r="AO29" s="256"/>
      <c r="AP29" s="257"/>
      <c r="AQ29" s="241">
        <f t="shared" si="11"/>
        <v>0</v>
      </c>
      <c r="AR29" s="256"/>
      <c r="AS29" s="257"/>
      <c r="AT29" s="241">
        <f t="shared" si="12"/>
        <v>0</v>
      </c>
      <c r="AW29" s="241">
        <f t="shared" si="13"/>
        <v>0</v>
      </c>
      <c r="AZ29" s="241">
        <f t="shared" si="14"/>
        <v>0</v>
      </c>
      <c r="BC29" s="241">
        <f t="shared" si="15"/>
        <v>0</v>
      </c>
      <c r="BF29" s="241">
        <f t="shared" si="16"/>
        <v>0</v>
      </c>
      <c r="BI29" s="241">
        <f t="shared" si="17"/>
        <v>0</v>
      </c>
      <c r="BL29" s="241">
        <f t="shared" si="18"/>
        <v>0</v>
      </c>
      <c r="BO29" s="241">
        <f t="shared" si="19"/>
        <v>0</v>
      </c>
      <c r="BR29" s="241">
        <f t="shared" si="20"/>
        <v>0</v>
      </c>
      <c r="BU29" s="241">
        <f t="shared" si="21"/>
        <v>0</v>
      </c>
      <c r="BX29" s="241">
        <f t="shared" si="22"/>
        <v>0</v>
      </c>
      <c r="CA29" s="241">
        <f t="shared" si="23"/>
        <v>0</v>
      </c>
      <c r="CD29" s="241">
        <f t="shared" si="24"/>
        <v>0</v>
      </c>
      <c r="CG29" s="241">
        <f t="shared" si="25"/>
        <v>0</v>
      </c>
      <c r="CJ29" s="241">
        <f t="shared" si="26"/>
        <v>0</v>
      </c>
      <c r="CM29" s="241">
        <f t="shared" si="27"/>
        <v>0</v>
      </c>
      <c r="CP29" s="241">
        <f t="shared" si="28"/>
        <v>0</v>
      </c>
      <c r="CS29" s="241">
        <f t="shared" si="29"/>
        <v>0</v>
      </c>
      <c r="CV29" s="241">
        <f t="shared" si="30"/>
        <v>0</v>
      </c>
      <c r="CY29" s="241">
        <f t="shared" si="31"/>
        <v>0</v>
      </c>
      <c r="DB29" s="241">
        <f t="shared" si="32"/>
        <v>0</v>
      </c>
      <c r="DE29" s="241">
        <f t="shared" si="33"/>
        <v>0</v>
      </c>
      <c r="DH29" s="241">
        <f t="shared" si="34"/>
        <v>0</v>
      </c>
      <c r="DK29" s="241">
        <f t="shared" si="35"/>
        <v>0</v>
      </c>
      <c r="DN29" s="241">
        <f t="shared" si="36"/>
        <v>0</v>
      </c>
      <c r="DQ29" s="241">
        <f t="shared" si="37"/>
        <v>0</v>
      </c>
      <c r="DT29" s="241">
        <f t="shared" si="38"/>
        <v>0</v>
      </c>
      <c r="DW29" s="241">
        <f t="shared" si="39"/>
        <v>0</v>
      </c>
      <c r="DZ29" s="241"/>
      <c r="EA29" s="241"/>
      <c r="EB29" s="261">
        <f t="shared" si="40"/>
        <v>186300000</v>
      </c>
      <c r="EC29" s="261">
        <f t="shared" si="41"/>
        <v>4900000</v>
      </c>
      <c r="ED29" s="241">
        <f t="shared" si="42"/>
        <v>23818.944444444445</v>
      </c>
      <c r="EE29" s="242">
        <f t="shared" si="43"/>
        <v>4.6026945786366076E-2</v>
      </c>
      <c r="EG29" s="261">
        <f t="shared" si="44"/>
        <v>0</v>
      </c>
      <c r="EH29" s="241">
        <f t="shared" si="45"/>
        <v>0</v>
      </c>
      <c r="EI29" s="242">
        <f t="shared" si="46"/>
        <v>0</v>
      </c>
      <c r="EJ29" s="242"/>
      <c r="EK29" s="261">
        <f t="shared" si="47"/>
        <v>181400000</v>
      </c>
      <c r="EL29" s="261">
        <f t="shared" si="48"/>
        <v>0</v>
      </c>
      <c r="EM29" s="261">
        <f t="shared" si="49"/>
        <v>23230.944444444445</v>
      </c>
      <c r="EN29" s="242">
        <f t="shared" si="50"/>
        <v>4.6103307607497243E-2</v>
      </c>
      <c r="EP29" s="241"/>
    </row>
    <row r="30" spans="1:146" x14ac:dyDescent="0.25">
      <c r="A30" s="255">
        <f t="shared" si="51"/>
        <v>45828</v>
      </c>
      <c r="B30" s="241">
        <v>4625000</v>
      </c>
      <c r="C30" s="242">
        <v>4.3099999999999999E-2</v>
      </c>
      <c r="D30" s="241">
        <f t="shared" si="0"/>
        <v>553.71527777777783</v>
      </c>
      <c r="G30" s="241">
        <f t="shared" si="1"/>
        <v>0</v>
      </c>
      <c r="J30" s="241">
        <f t="shared" si="2"/>
        <v>0</v>
      </c>
      <c r="M30" s="241">
        <f t="shared" si="3"/>
        <v>0</v>
      </c>
      <c r="P30" s="241">
        <f t="shared" si="4"/>
        <v>0</v>
      </c>
      <c r="S30" s="241">
        <f t="shared" si="5"/>
        <v>0</v>
      </c>
      <c r="V30" s="241">
        <f t="shared" si="6"/>
        <v>0</v>
      </c>
      <c r="Y30" s="241">
        <f t="shared" si="7"/>
        <v>0</v>
      </c>
      <c r="AB30" s="241">
        <f t="shared" si="8"/>
        <v>0</v>
      </c>
      <c r="AE30" s="241">
        <v>0</v>
      </c>
      <c r="AH30" s="241">
        <v>0</v>
      </c>
      <c r="AI30" s="256">
        <f>8567000+30425000+26433000+30000000</f>
        <v>95425000</v>
      </c>
      <c r="AJ30" s="257">
        <v>4.5100000000000001E-2</v>
      </c>
      <c r="AK30" s="241">
        <f t="shared" si="9"/>
        <v>11954.631944444445</v>
      </c>
      <c r="AL30" s="256">
        <f t="shared" si="52"/>
        <v>130000000</v>
      </c>
      <c r="AM30" s="257">
        <v>4.65E-2</v>
      </c>
      <c r="AN30" s="241">
        <f t="shared" si="10"/>
        <v>16791.666666666668</v>
      </c>
      <c r="AO30" s="256"/>
      <c r="AP30" s="257"/>
      <c r="AQ30" s="241">
        <f t="shared" si="11"/>
        <v>0</v>
      </c>
      <c r="AR30" s="256"/>
      <c r="AS30" s="257"/>
      <c r="AT30" s="241">
        <f t="shared" si="12"/>
        <v>0</v>
      </c>
      <c r="AW30" s="241">
        <f t="shared" si="13"/>
        <v>0</v>
      </c>
      <c r="AZ30" s="241">
        <f t="shared" si="14"/>
        <v>0</v>
      </c>
      <c r="BC30" s="241">
        <f t="shared" si="15"/>
        <v>0</v>
      </c>
      <c r="BF30" s="241">
        <f t="shared" si="16"/>
        <v>0</v>
      </c>
      <c r="BI30" s="241">
        <f t="shared" si="17"/>
        <v>0</v>
      </c>
      <c r="BL30" s="241">
        <f t="shared" si="18"/>
        <v>0</v>
      </c>
      <c r="BO30" s="241">
        <f t="shared" si="19"/>
        <v>0</v>
      </c>
      <c r="BR30" s="241">
        <f t="shared" si="20"/>
        <v>0</v>
      </c>
      <c r="BU30" s="241">
        <f t="shared" si="21"/>
        <v>0</v>
      </c>
      <c r="BX30" s="241">
        <f t="shared" si="22"/>
        <v>0</v>
      </c>
      <c r="CA30" s="241">
        <f t="shared" si="23"/>
        <v>0</v>
      </c>
      <c r="CD30" s="241">
        <f t="shared" si="24"/>
        <v>0</v>
      </c>
      <c r="CG30" s="241">
        <f t="shared" si="25"/>
        <v>0</v>
      </c>
      <c r="CJ30" s="241">
        <f t="shared" si="26"/>
        <v>0</v>
      </c>
      <c r="CM30" s="241">
        <f t="shared" si="27"/>
        <v>0</v>
      </c>
      <c r="CP30" s="241">
        <f t="shared" si="28"/>
        <v>0</v>
      </c>
      <c r="CS30" s="241">
        <f t="shared" si="29"/>
        <v>0</v>
      </c>
      <c r="CV30" s="241">
        <f t="shared" si="30"/>
        <v>0</v>
      </c>
      <c r="CY30" s="241">
        <f t="shared" si="31"/>
        <v>0</v>
      </c>
      <c r="DB30" s="241">
        <f t="shared" si="32"/>
        <v>0</v>
      </c>
      <c r="DE30" s="241">
        <f t="shared" si="33"/>
        <v>0</v>
      </c>
      <c r="DH30" s="241">
        <f t="shared" si="34"/>
        <v>0</v>
      </c>
      <c r="DK30" s="241">
        <f t="shared" si="35"/>
        <v>0</v>
      </c>
      <c r="DN30" s="241">
        <f t="shared" si="36"/>
        <v>0</v>
      </c>
      <c r="DQ30" s="241">
        <f t="shared" si="37"/>
        <v>0</v>
      </c>
      <c r="DT30" s="241">
        <f t="shared" si="38"/>
        <v>0</v>
      </c>
      <c r="DW30" s="241">
        <f t="shared" si="39"/>
        <v>0</v>
      </c>
      <c r="DZ30" s="241"/>
      <c r="EA30" s="241"/>
      <c r="EB30" s="261">
        <f t="shared" si="40"/>
        <v>230050000</v>
      </c>
      <c r="EC30" s="261">
        <f t="shared" si="41"/>
        <v>4625000</v>
      </c>
      <c r="ED30" s="241">
        <f t="shared" si="42"/>
        <v>29300.013888888891</v>
      </c>
      <c r="EE30" s="242">
        <f t="shared" si="43"/>
        <v>4.5850923712236473E-2</v>
      </c>
      <c r="EG30" s="261">
        <f t="shared" si="44"/>
        <v>0</v>
      </c>
      <c r="EH30" s="241">
        <f t="shared" si="45"/>
        <v>0</v>
      </c>
      <c r="EI30" s="242">
        <f t="shared" si="46"/>
        <v>0</v>
      </c>
      <c r="EJ30" s="242"/>
      <c r="EK30" s="261">
        <f t="shared" si="47"/>
        <v>225425000</v>
      </c>
      <c r="EL30" s="261">
        <f t="shared" si="48"/>
        <v>0</v>
      </c>
      <c r="EM30" s="261">
        <f t="shared" si="49"/>
        <v>28746.298611111113</v>
      </c>
      <c r="EN30" s="242">
        <f t="shared" si="50"/>
        <v>4.5907363868248861E-2</v>
      </c>
      <c r="EP30" s="241"/>
    </row>
    <row r="31" spans="1:146" x14ac:dyDescent="0.25">
      <c r="A31" s="255">
        <f t="shared" si="51"/>
        <v>45829</v>
      </c>
      <c r="B31" s="241">
        <v>4625000</v>
      </c>
      <c r="C31" s="242">
        <v>4.3099999999999999E-2</v>
      </c>
      <c r="D31" s="241">
        <f t="shared" si="0"/>
        <v>553.71527777777783</v>
      </c>
      <c r="G31" s="241">
        <f t="shared" si="1"/>
        <v>0</v>
      </c>
      <c r="J31" s="241">
        <f t="shared" si="2"/>
        <v>0</v>
      </c>
      <c r="M31" s="241">
        <f t="shared" si="3"/>
        <v>0</v>
      </c>
      <c r="P31" s="241">
        <f t="shared" si="4"/>
        <v>0</v>
      </c>
      <c r="S31" s="241">
        <f t="shared" si="5"/>
        <v>0</v>
      </c>
      <c r="V31" s="241">
        <f t="shared" si="6"/>
        <v>0</v>
      </c>
      <c r="Y31" s="241">
        <f t="shared" si="7"/>
        <v>0</v>
      </c>
      <c r="AB31" s="241">
        <f t="shared" si="8"/>
        <v>0</v>
      </c>
      <c r="AE31" s="241">
        <v>0</v>
      </c>
      <c r="AH31" s="241">
        <v>0</v>
      </c>
      <c r="AI31" s="256">
        <f>8567000+30425000+26433000+30000000</f>
        <v>95425000</v>
      </c>
      <c r="AJ31" s="257">
        <v>4.5100000000000001E-2</v>
      </c>
      <c r="AK31" s="241">
        <f t="shared" si="9"/>
        <v>11954.631944444445</v>
      </c>
      <c r="AL31" s="256">
        <f t="shared" si="52"/>
        <v>130000000</v>
      </c>
      <c r="AM31" s="257">
        <v>4.65E-2</v>
      </c>
      <c r="AN31" s="241">
        <f t="shared" si="10"/>
        <v>16791.666666666668</v>
      </c>
      <c r="AO31" s="256"/>
      <c r="AP31" s="257"/>
      <c r="AQ31" s="241">
        <f t="shared" si="11"/>
        <v>0</v>
      </c>
      <c r="AR31" s="256"/>
      <c r="AS31" s="257"/>
      <c r="AT31" s="241">
        <f t="shared" si="12"/>
        <v>0</v>
      </c>
      <c r="AW31" s="241">
        <f t="shared" si="13"/>
        <v>0</v>
      </c>
      <c r="AZ31" s="241">
        <f t="shared" si="14"/>
        <v>0</v>
      </c>
      <c r="BC31" s="241">
        <f t="shared" si="15"/>
        <v>0</v>
      </c>
      <c r="BF31" s="241">
        <f t="shared" si="16"/>
        <v>0</v>
      </c>
      <c r="BI31" s="241">
        <f t="shared" si="17"/>
        <v>0</v>
      </c>
      <c r="BL31" s="241">
        <f t="shared" si="18"/>
        <v>0</v>
      </c>
      <c r="BO31" s="241">
        <f t="shared" si="19"/>
        <v>0</v>
      </c>
      <c r="BR31" s="241">
        <f t="shared" si="20"/>
        <v>0</v>
      </c>
      <c r="BU31" s="241">
        <f t="shared" si="21"/>
        <v>0</v>
      </c>
      <c r="BX31" s="241">
        <f t="shared" si="22"/>
        <v>0</v>
      </c>
      <c r="CA31" s="241">
        <f t="shared" si="23"/>
        <v>0</v>
      </c>
      <c r="CD31" s="241">
        <f t="shared" si="24"/>
        <v>0</v>
      </c>
      <c r="CG31" s="241">
        <f t="shared" si="25"/>
        <v>0</v>
      </c>
      <c r="CJ31" s="241">
        <f t="shared" si="26"/>
        <v>0</v>
      </c>
      <c r="CM31" s="241">
        <f t="shared" si="27"/>
        <v>0</v>
      </c>
      <c r="CP31" s="241">
        <f t="shared" si="28"/>
        <v>0</v>
      </c>
      <c r="CS31" s="241">
        <f t="shared" si="29"/>
        <v>0</v>
      </c>
      <c r="CV31" s="241">
        <f t="shared" si="30"/>
        <v>0</v>
      </c>
      <c r="CY31" s="241">
        <f t="shared" si="31"/>
        <v>0</v>
      </c>
      <c r="DB31" s="241">
        <f t="shared" si="32"/>
        <v>0</v>
      </c>
      <c r="DE31" s="241">
        <f t="shared" si="33"/>
        <v>0</v>
      </c>
      <c r="DH31" s="241">
        <f t="shared" si="34"/>
        <v>0</v>
      </c>
      <c r="DK31" s="241">
        <f t="shared" si="35"/>
        <v>0</v>
      </c>
      <c r="DN31" s="241">
        <f t="shared" si="36"/>
        <v>0</v>
      </c>
      <c r="DQ31" s="241">
        <f t="shared" si="37"/>
        <v>0</v>
      </c>
      <c r="DT31" s="241">
        <f t="shared" si="38"/>
        <v>0</v>
      </c>
      <c r="DW31" s="241">
        <f t="shared" si="39"/>
        <v>0</v>
      </c>
      <c r="DZ31" s="241"/>
      <c r="EA31" s="241"/>
      <c r="EB31" s="261">
        <f t="shared" si="40"/>
        <v>230050000</v>
      </c>
      <c r="EC31" s="261">
        <f t="shared" si="41"/>
        <v>4625000</v>
      </c>
      <c r="ED31" s="241">
        <f t="shared" si="42"/>
        <v>29300.013888888891</v>
      </c>
      <c r="EE31" s="242">
        <f t="shared" si="43"/>
        <v>4.5850923712236473E-2</v>
      </c>
      <c r="EG31" s="261">
        <f t="shared" si="44"/>
        <v>0</v>
      </c>
      <c r="EH31" s="241">
        <f t="shared" si="45"/>
        <v>0</v>
      </c>
      <c r="EI31" s="242">
        <f t="shared" si="46"/>
        <v>0</v>
      </c>
      <c r="EJ31" s="242"/>
      <c r="EK31" s="261">
        <f t="shared" si="47"/>
        <v>225425000</v>
      </c>
      <c r="EL31" s="261">
        <f t="shared" si="48"/>
        <v>0</v>
      </c>
      <c r="EM31" s="261">
        <f t="shared" si="49"/>
        <v>28746.298611111113</v>
      </c>
      <c r="EN31" s="242">
        <f t="shared" si="50"/>
        <v>4.5907363868248861E-2</v>
      </c>
      <c r="EP31" s="241"/>
    </row>
    <row r="32" spans="1:146" x14ac:dyDescent="0.25">
      <c r="A32" s="255">
        <f t="shared" si="51"/>
        <v>45830</v>
      </c>
      <c r="B32" s="241">
        <v>4625000</v>
      </c>
      <c r="C32" s="242">
        <v>4.3099999999999999E-2</v>
      </c>
      <c r="D32" s="241">
        <f t="shared" si="0"/>
        <v>553.71527777777783</v>
      </c>
      <c r="G32" s="241">
        <f t="shared" si="1"/>
        <v>0</v>
      </c>
      <c r="J32" s="241">
        <f t="shared" si="2"/>
        <v>0</v>
      </c>
      <c r="M32" s="241">
        <f t="shared" si="3"/>
        <v>0</v>
      </c>
      <c r="P32" s="241">
        <f t="shared" si="4"/>
        <v>0</v>
      </c>
      <c r="S32" s="241">
        <f t="shared" si="5"/>
        <v>0</v>
      </c>
      <c r="V32" s="241">
        <f t="shared" si="6"/>
        <v>0</v>
      </c>
      <c r="Y32" s="241">
        <f t="shared" si="7"/>
        <v>0</v>
      </c>
      <c r="AB32" s="241">
        <f t="shared" si="8"/>
        <v>0</v>
      </c>
      <c r="AE32" s="241">
        <v>0</v>
      </c>
      <c r="AH32" s="241">
        <v>0</v>
      </c>
      <c r="AI32" s="256">
        <f>8567000+30425000+26433000+30000000</f>
        <v>95425000</v>
      </c>
      <c r="AJ32" s="257">
        <v>4.5100000000000001E-2</v>
      </c>
      <c r="AK32" s="241">
        <f t="shared" si="9"/>
        <v>11954.631944444445</v>
      </c>
      <c r="AL32" s="256">
        <f t="shared" si="52"/>
        <v>130000000</v>
      </c>
      <c r="AM32" s="257">
        <v>4.65E-2</v>
      </c>
      <c r="AN32" s="241">
        <f t="shared" si="10"/>
        <v>16791.666666666668</v>
      </c>
      <c r="AO32" s="256"/>
      <c r="AP32" s="257"/>
      <c r="AQ32" s="241">
        <f t="shared" si="11"/>
        <v>0</v>
      </c>
      <c r="AR32" s="256"/>
      <c r="AS32" s="257"/>
      <c r="AT32" s="241">
        <f t="shared" si="12"/>
        <v>0</v>
      </c>
      <c r="AW32" s="241">
        <f t="shared" si="13"/>
        <v>0</v>
      </c>
      <c r="AZ32" s="241">
        <f t="shared" si="14"/>
        <v>0</v>
      </c>
      <c r="BC32" s="241">
        <f t="shared" si="15"/>
        <v>0</v>
      </c>
      <c r="BF32" s="241">
        <f t="shared" si="16"/>
        <v>0</v>
      </c>
      <c r="BI32" s="241">
        <f t="shared" si="17"/>
        <v>0</v>
      </c>
      <c r="BL32" s="241">
        <f t="shared" si="18"/>
        <v>0</v>
      </c>
      <c r="BO32" s="241">
        <f t="shared" si="19"/>
        <v>0</v>
      </c>
      <c r="BR32" s="241">
        <f t="shared" si="20"/>
        <v>0</v>
      </c>
      <c r="BU32" s="241">
        <f t="shared" si="21"/>
        <v>0</v>
      </c>
      <c r="BX32" s="241">
        <f t="shared" si="22"/>
        <v>0</v>
      </c>
      <c r="CA32" s="241">
        <f t="shared" si="23"/>
        <v>0</v>
      </c>
      <c r="CD32" s="241">
        <f t="shared" si="24"/>
        <v>0</v>
      </c>
      <c r="CG32" s="241">
        <f t="shared" si="25"/>
        <v>0</v>
      </c>
      <c r="CJ32" s="241">
        <f t="shared" si="26"/>
        <v>0</v>
      </c>
      <c r="CM32" s="241">
        <f t="shared" si="27"/>
        <v>0</v>
      </c>
      <c r="CP32" s="241">
        <f t="shared" si="28"/>
        <v>0</v>
      </c>
      <c r="CS32" s="241">
        <f t="shared" si="29"/>
        <v>0</v>
      </c>
      <c r="CV32" s="241">
        <f t="shared" si="30"/>
        <v>0</v>
      </c>
      <c r="CY32" s="241">
        <f t="shared" si="31"/>
        <v>0</v>
      </c>
      <c r="DB32" s="241">
        <f t="shared" si="32"/>
        <v>0</v>
      </c>
      <c r="DE32" s="241">
        <f t="shared" si="33"/>
        <v>0</v>
      </c>
      <c r="DH32" s="241">
        <f t="shared" si="34"/>
        <v>0</v>
      </c>
      <c r="DK32" s="241">
        <f t="shared" si="35"/>
        <v>0</v>
      </c>
      <c r="DN32" s="241">
        <f t="shared" si="36"/>
        <v>0</v>
      </c>
      <c r="DQ32" s="241">
        <f t="shared" si="37"/>
        <v>0</v>
      </c>
      <c r="DT32" s="241">
        <f t="shared" si="38"/>
        <v>0</v>
      </c>
      <c r="DW32" s="241">
        <f t="shared" si="39"/>
        <v>0</v>
      </c>
      <c r="DZ32" s="241"/>
      <c r="EA32" s="241"/>
      <c r="EB32" s="261">
        <f t="shared" si="40"/>
        <v>230050000</v>
      </c>
      <c r="EC32" s="261">
        <f t="shared" si="41"/>
        <v>4625000</v>
      </c>
      <c r="ED32" s="241">
        <f t="shared" si="42"/>
        <v>29300.013888888891</v>
      </c>
      <c r="EE32" s="242">
        <f t="shared" si="43"/>
        <v>4.5850923712236473E-2</v>
      </c>
      <c r="EG32" s="261">
        <f t="shared" si="44"/>
        <v>0</v>
      </c>
      <c r="EH32" s="241">
        <f t="shared" si="45"/>
        <v>0</v>
      </c>
      <c r="EI32" s="242">
        <f t="shared" si="46"/>
        <v>0</v>
      </c>
      <c r="EJ32" s="242"/>
      <c r="EK32" s="261">
        <f t="shared" si="47"/>
        <v>225425000</v>
      </c>
      <c r="EL32" s="261">
        <f t="shared" si="48"/>
        <v>0</v>
      </c>
      <c r="EM32" s="261">
        <f t="shared" si="49"/>
        <v>28746.298611111113</v>
      </c>
      <c r="EN32" s="242">
        <f t="shared" si="50"/>
        <v>4.5907363868248861E-2</v>
      </c>
      <c r="EP32" s="241"/>
    </row>
    <row r="33" spans="1:146" x14ac:dyDescent="0.25">
      <c r="A33" s="255">
        <f t="shared" si="51"/>
        <v>45831</v>
      </c>
      <c r="B33" s="241">
        <v>0</v>
      </c>
      <c r="C33" s="242">
        <v>4.6209279999999998E-2</v>
      </c>
      <c r="D33" s="241">
        <f t="shared" si="0"/>
        <v>0</v>
      </c>
      <c r="G33" s="241">
        <f t="shared" si="1"/>
        <v>0</v>
      </c>
      <c r="J33" s="241">
        <f t="shared" si="2"/>
        <v>0</v>
      </c>
      <c r="M33" s="241">
        <f t="shared" si="3"/>
        <v>0</v>
      </c>
      <c r="P33" s="241">
        <f t="shared" si="4"/>
        <v>0</v>
      </c>
      <c r="S33" s="241">
        <f t="shared" si="5"/>
        <v>0</v>
      </c>
      <c r="V33" s="241">
        <f t="shared" si="6"/>
        <v>0</v>
      </c>
      <c r="Y33" s="241">
        <f t="shared" si="7"/>
        <v>0</v>
      </c>
      <c r="AB33" s="241">
        <f t="shared" si="8"/>
        <v>0</v>
      </c>
      <c r="AE33" s="241">
        <v>0</v>
      </c>
      <c r="AH33" s="241">
        <v>0</v>
      </c>
      <c r="AI33" s="256">
        <f>64000000+35000000</f>
        <v>99000000</v>
      </c>
      <c r="AJ33" s="257">
        <v>4.5100000000000001E-2</v>
      </c>
      <c r="AK33" s="241">
        <f t="shared" si="9"/>
        <v>12402.5</v>
      </c>
      <c r="AL33" s="256">
        <f t="shared" si="52"/>
        <v>130000000</v>
      </c>
      <c r="AM33" s="257">
        <v>4.65E-2</v>
      </c>
      <c r="AN33" s="241">
        <f t="shared" si="10"/>
        <v>16791.666666666668</v>
      </c>
      <c r="AO33" s="256"/>
      <c r="AP33" s="257"/>
      <c r="AQ33" s="241">
        <f t="shared" si="11"/>
        <v>0</v>
      </c>
      <c r="AR33" s="256"/>
      <c r="AS33" s="257"/>
      <c r="AT33" s="241">
        <f t="shared" si="12"/>
        <v>0</v>
      </c>
      <c r="AW33" s="241">
        <f t="shared" si="13"/>
        <v>0</v>
      </c>
      <c r="AZ33" s="241">
        <f t="shared" si="14"/>
        <v>0</v>
      </c>
      <c r="BC33" s="241">
        <f t="shared" si="15"/>
        <v>0</v>
      </c>
      <c r="BF33" s="241">
        <f t="shared" si="16"/>
        <v>0</v>
      </c>
      <c r="BI33" s="241">
        <f t="shared" si="17"/>
        <v>0</v>
      </c>
      <c r="BL33" s="241">
        <f t="shared" si="18"/>
        <v>0</v>
      </c>
      <c r="BO33" s="241">
        <f t="shared" si="19"/>
        <v>0</v>
      </c>
      <c r="BR33" s="241">
        <f t="shared" si="20"/>
        <v>0</v>
      </c>
      <c r="BU33" s="241">
        <f t="shared" si="21"/>
        <v>0</v>
      </c>
      <c r="BX33" s="241">
        <f t="shared" si="22"/>
        <v>0</v>
      </c>
      <c r="CA33" s="241">
        <f t="shared" si="23"/>
        <v>0</v>
      </c>
      <c r="CD33" s="241">
        <f t="shared" si="24"/>
        <v>0</v>
      </c>
      <c r="CG33" s="241">
        <f t="shared" si="25"/>
        <v>0</v>
      </c>
      <c r="CJ33" s="241">
        <f t="shared" si="26"/>
        <v>0</v>
      </c>
      <c r="CM33" s="241">
        <f t="shared" si="27"/>
        <v>0</v>
      </c>
      <c r="CP33" s="241">
        <f t="shared" si="28"/>
        <v>0</v>
      </c>
      <c r="CS33" s="241">
        <f t="shared" si="29"/>
        <v>0</v>
      </c>
      <c r="CV33" s="241">
        <f t="shared" si="30"/>
        <v>0</v>
      </c>
      <c r="CY33" s="241">
        <f t="shared" si="31"/>
        <v>0</v>
      </c>
      <c r="DB33" s="241">
        <f t="shared" si="32"/>
        <v>0</v>
      </c>
      <c r="DE33" s="241">
        <f t="shared" si="33"/>
        <v>0</v>
      </c>
      <c r="DH33" s="241">
        <f t="shared" si="34"/>
        <v>0</v>
      </c>
      <c r="DK33" s="241">
        <f t="shared" si="35"/>
        <v>0</v>
      </c>
      <c r="DN33" s="241">
        <f t="shared" si="36"/>
        <v>0</v>
      </c>
      <c r="DQ33" s="241">
        <f t="shared" si="37"/>
        <v>0</v>
      </c>
      <c r="DT33" s="241">
        <f t="shared" si="38"/>
        <v>0</v>
      </c>
      <c r="DW33" s="241">
        <f t="shared" si="39"/>
        <v>0</v>
      </c>
      <c r="DZ33" s="241"/>
      <c r="EA33" s="241"/>
      <c r="EB33" s="261">
        <f t="shared" si="40"/>
        <v>229000000</v>
      </c>
      <c r="EC33" s="261">
        <f t="shared" si="41"/>
        <v>0</v>
      </c>
      <c r="ED33" s="241">
        <f t="shared" si="42"/>
        <v>29194.166666666668</v>
      </c>
      <c r="EE33" s="242">
        <f t="shared" si="43"/>
        <v>4.5894759825327508E-2</v>
      </c>
      <c r="EG33" s="261">
        <f t="shared" si="44"/>
        <v>0</v>
      </c>
      <c r="EH33" s="241">
        <f t="shared" si="45"/>
        <v>0</v>
      </c>
      <c r="EI33" s="242">
        <f t="shared" si="46"/>
        <v>0</v>
      </c>
      <c r="EJ33" s="242"/>
      <c r="EK33" s="261">
        <f t="shared" si="47"/>
        <v>229000000</v>
      </c>
      <c r="EL33" s="261">
        <f t="shared" si="48"/>
        <v>0</v>
      </c>
      <c r="EM33" s="261">
        <f t="shared" si="49"/>
        <v>29194.166666666668</v>
      </c>
      <c r="EN33" s="242">
        <f t="shared" si="50"/>
        <v>4.5894759825327508E-2</v>
      </c>
      <c r="EP33" s="241"/>
    </row>
    <row r="34" spans="1:146" x14ac:dyDescent="0.25">
      <c r="A34" s="255">
        <f t="shared" si="51"/>
        <v>45832</v>
      </c>
      <c r="B34" s="241">
        <v>0</v>
      </c>
      <c r="C34" s="242">
        <v>4.619152E-2</v>
      </c>
      <c r="D34" s="241">
        <f t="shared" si="0"/>
        <v>0</v>
      </c>
      <c r="G34" s="241">
        <f t="shared" si="1"/>
        <v>0</v>
      </c>
      <c r="J34" s="241">
        <f t="shared" si="2"/>
        <v>0</v>
      </c>
      <c r="M34" s="241">
        <f t="shared" si="3"/>
        <v>0</v>
      </c>
      <c r="P34" s="241">
        <f t="shared" si="4"/>
        <v>0</v>
      </c>
      <c r="S34" s="241">
        <f t="shared" si="5"/>
        <v>0</v>
      </c>
      <c r="V34" s="241">
        <f t="shared" si="6"/>
        <v>0</v>
      </c>
      <c r="Y34" s="241">
        <f t="shared" si="7"/>
        <v>0</v>
      </c>
      <c r="AB34" s="241">
        <f t="shared" si="8"/>
        <v>0</v>
      </c>
      <c r="AE34" s="241">
        <v>0</v>
      </c>
      <c r="AH34" s="241">
        <v>0</v>
      </c>
      <c r="AI34" s="256">
        <f>54325000</f>
        <v>54325000</v>
      </c>
      <c r="AJ34" s="257">
        <v>4.5100000000000001E-2</v>
      </c>
      <c r="AK34" s="241">
        <f t="shared" si="9"/>
        <v>6805.7152777777774</v>
      </c>
      <c r="AL34" s="256">
        <f t="shared" si="52"/>
        <v>130000000</v>
      </c>
      <c r="AM34" s="257">
        <v>4.65E-2</v>
      </c>
      <c r="AN34" s="241">
        <f t="shared" si="10"/>
        <v>16791.666666666668</v>
      </c>
      <c r="AO34" s="256">
        <f t="shared" ref="AO34:AO40" si="53">35000000</f>
        <v>35000000</v>
      </c>
      <c r="AP34" s="257">
        <v>4.65E-2</v>
      </c>
      <c r="AQ34" s="241">
        <f t="shared" si="11"/>
        <v>4520.833333333333</v>
      </c>
      <c r="AR34" s="256"/>
      <c r="AS34" s="257"/>
      <c r="AT34" s="241">
        <f t="shared" si="12"/>
        <v>0</v>
      </c>
      <c r="AW34" s="241">
        <f t="shared" si="13"/>
        <v>0</v>
      </c>
      <c r="AZ34" s="241">
        <f t="shared" si="14"/>
        <v>0</v>
      </c>
      <c r="BC34" s="241">
        <f t="shared" si="15"/>
        <v>0</v>
      </c>
      <c r="BF34" s="241">
        <f t="shared" si="16"/>
        <v>0</v>
      </c>
      <c r="BI34" s="241">
        <f t="shared" si="17"/>
        <v>0</v>
      </c>
      <c r="BL34" s="241">
        <f t="shared" si="18"/>
        <v>0</v>
      </c>
      <c r="BO34" s="241">
        <f t="shared" si="19"/>
        <v>0</v>
      </c>
      <c r="BR34" s="241">
        <f t="shared" si="20"/>
        <v>0</v>
      </c>
      <c r="BU34" s="241">
        <f t="shared" si="21"/>
        <v>0</v>
      </c>
      <c r="BX34" s="241">
        <f t="shared" si="22"/>
        <v>0</v>
      </c>
      <c r="CA34" s="241">
        <f t="shared" si="23"/>
        <v>0</v>
      </c>
      <c r="CD34" s="241">
        <f t="shared" si="24"/>
        <v>0</v>
      </c>
      <c r="CG34" s="241">
        <f t="shared" si="25"/>
        <v>0</v>
      </c>
      <c r="CJ34" s="241">
        <f t="shared" si="26"/>
        <v>0</v>
      </c>
      <c r="CM34" s="241">
        <f t="shared" si="27"/>
        <v>0</v>
      </c>
      <c r="CP34" s="241">
        <f t="shared" si="28"/>
        <v>0</v>
      </c>
      <c r="CS34" s="241">
        <f t="shared" si="29"/>
        <v>0</v>
      </c>
      <c r="CV34" s="241">
        <f t="shared" si="30"/>
        <v>0</v>
      </c>
      <c r="CY34" s="241">
        <f t="shared" si="31"/>
        <v>0</v>
      </c>
      <c r="DB34" s="241">
        <f t="shared" si="32"/>
        <v>0</v>
      </c>
      <c r="DE34" s="241">
        <f t="shared" si="33"/>
        <v>0</v>
      </c>
      <c r="DH34" s="241">
        <f t="shared" si="34"/>
        <v>0</v>
      </c>
      <c r="DK34" s="241">
        <f t="shared" si="35"/>
        <v>0</v>
      </c>
      <c r="DN34" s="241">
        <f t="shared" si="36"/>
        <v>0</v>
      </c>
      <c r="DQ34" s="241">
        <f t="shared" si="37"/>
        <v>0</v>
      </c>
      <c r="DT34" s="241">
        <f t="shared" si="38"/>
        <v>0</v>
      </c>
      <c r="DW34" s="241">
        <f t="shared" si="39"/>
        <v>0</v>
      </c>
      <c r="DZ34" s="241"/>
      <c r="EA34" s="241"/>
      <c r="EB34" s="261">
        <f t="shared" si="40"/>
        <v>219325000</v>
      </c>
      <c r="EC34" s="261">
        <f t="shared" si="41"/>
        <v>0</v>
      </c>
      <c r="ED34" s="241">
        <f t="shared" si="42"/>
        <v>28118.215277777777</v>
      </c>
      <c r="EE34" s="242">
        <f t="shared" si="43"/>
        <v>4.6153231505756294E-2</v>
      </c>
      <c r="EG34" s="261">
        <f t="shared" si="44"/>
        <v>0</v>
      </c>
      <c r="EH34" s="241">
        <f t="shared" si="45"/>
        <v>0</v>
      </c>
      <c r="EI34" s="242">
        <f t="shared" si="46"/>
        <v>0</v>
      </c>
      <c r="EJ34" s="242"/>
      <c r="EK34" s="261">
        <f t="shared" si="47"/>
        <v>219325000</v>
      </c>
      <c r="EL34" s="261">
        <f t="shared" si="48"/>
        <v>0</v>
      </c>
      <c r="EM34" s="261">
        <f t="shared" si="49"/>
        <v>28118.215277777777</v>
      </c>
      <c r="EN34" s="242">
        <f t="shared" si="50"/>
        <v>4.6153231505756294E-2</v>
      </c>
      <c r="EP34" s="241"/>
    </row>
    <row r="35" spans="1:146" x14ac:dyDescent="0.25">
      <c r="A35" s="255">
        <f t="shared" si="51"/>
        <v>45833</v>
      </c>
      <c r="B35" s="241">
        <v>0</v>
      </c>
      <c r="C35" s="242">
        <v>4.616191E-2</v>
      </c>
      <c r="D35" s="241">
        <f t="shared" si="0"/>
        <v>0</v>
      </c>
      <c r="G35" s="241">
        <f t="shared" si="1"/>
        <v>0</v>
      </c>
      <c r="J35" s="241">
        <f t="shared" si="2"/>
        <v>0</v>
      </c>
      <c r="M35" s="241">
        <f t="shared" si="3"/>
        <v>0</v>
      </c>
      <c r="P35" s="241">
        <f t="shared" si="4"/>
        <v>0</v>
      </c>
      <c r="S35" s="241">
        <f t="shared" si="5"/>
        <v>0</v>
      </c>
      <c r="V35" s="241">
        <f t="shared" si="6"/>
        <v>0</v>
      </c>
      <c r="Y35" s="241">
        <f t="shared" si="7"/>
        <v>0</v>
      </c>
      <c r="AB35" s="241">
        <f t="shared" si="8"/>
        <v>0</v>
      </c>
      <c r="AE35" s="241">
        <v>0</v>
      </c>
      <c r="AH35" s="241">
        <v>0</v>
      </c>
      <c r="AI35" s="256">
        <v>47025000</v>
      </c>
      <c r="AJ35" s="257">
        <v>4.5100000000000001E-2</v>
      </c>
      <c r="AK35" s="241">
        <f t="shared" si="9"/>
        <v>5891.1875</v>
      </c>
      <c r="AL35" s="256">
        <f t="shared" si="52"/>
        <v>130000000</v>
      </c>
      <c r="AM35" s="257">
        <v>4.65E-2</v>
      </c>
      <c r="AN35" s="241">
        <f t="shared" si="10"/>
        <v>16791.666666666668</v>
      </c>
      <c r="AO35" s="256">
        <f t="shared" si="53"/>
        <v>35000000</v>
      </c>
      <c r="AP35" s="257">
        <v>4.65E-2</v>
      </c>
      <c r="AQ35" s="241">
        <f t="shared" si="11"/>
        <v>4520.833333333333</v>
      </c>
      <c r="AR35" s="256"/>
      <c r="AS35" s="257"/>
      <c r="AT35" s="241">
        <f t="shared" si="12"/>
        <v>0</v>
      </c>
      <c r="AW35" s="241">
        <f t="shared" si="13"/>
        <v>0</v>
      </c>
      <c r="AZ35" s="241">
        <f t="shared" si="14"/>
        <v>0</v>
      </c>
      <c r="BC35" s="241">
        <f t="shared" si="15"/>
        <v>0</v>
      </c>
      <c r="BF35" s="241">
        <f t="shared" si="16"/>
        <v>0</v>
      </c>
      <c r="BI35" s="241">
        <f t="shared" si="17"/>
        <v>0</v>
      </c>
      <c r="BL35" s="241">
        <f t="shared" si="18"/>
        <v>0</v>
      </c>
      <c r="BO35" s="241">
        <f t="shared" si="19"/>
        <v>0</v>
      </c>
      <c r="BR35" s="241">
        <f t="shared" si="20"/>
        <v>0</v>
      </c>
      <c r="BU35" s="241">
        <f t="shared" si="21"/>
        <v>0</v>
      </c>
      <c r="BX35" s="241">
        <f t="shared" si="22"/>
        <v>0</v>
      </c>
      <c r="CA35" s="241">
        <f t="shared" si="23"/>
        <v>0</v>
      </c>
      <c r="CD35" s="241">
        <f t="shared" si="24"/>
        <v>0</v>
      </c>
      <c r="CG35" s="241">
        <f t="shared" si="25"/>
        <v>0</v>
      </c>
      <c r="CJ35" s="241">
        <f t="shared" si="26"/>
        <v>0</v>
      </c>
      <c r="CM35" s="241">
        <f t="shared" si="27"/>
        <v>0</v>
      </c>
      <c r="CP35" s="241">
        <f t="shared" si="28"/>
        <v>0</v>
      </c>
      <c r="CS35" s="241">
        <f t="shared" si="29"/>
        <v>0</v>
      </c>
      <c r="CV35" s="241">
        <f t="shared" si="30"/>
        <v>0</v>
      </c>
      <c r="CY35" s="241">
        <f t="shared" si="31"/>
        <v>0</v>
      </c>
      <c r="DB35" s="241">
        <f t="shared" si="32"/>
        <v>0</v>
      </c>
      <c r="DE35" s="241">
        <f t="shared" si="33"/>
        <v>0</v>
      </c>
      <c r="DH35" s="241">
        <f t="shared" si="34"/>
        <v>0</v>
      </c>
      <c r="DK35" s="241">
        <f t="shared" si="35"/>
        <v>0</v>
      </c>
      <c r="DN35" s="241">
        <f t="shared" si="36"/>
        <v>0</v>
      </c>
      <c r="DQ35" s="241">
        <f t="shared" si="37"/>
        <v>0</v>
      </c>
      <c r="DT35" s="241">
        <f t="shared" si="38"/>
        <v>0</v>
      </c>
      <c r="DW35" s="241">
        <f t="shared" si="39"/>
        <v>0</v>
      </c>
      <c r="DZ35" s="241"/>
      <c r="EA35" s="241"/>
      <c r="EB35" s="261">
        <f t="shared" si="40"/>
        <v>212025000</v>
      </c>
      <c r="EC35" s="261">
        <f t="shared" si="41"/>
        <v>0</v>
      </c>
      <c r="ED35" s="241">
        <f t="shared" si="42"/>
        <v>27203.6875</v>
      </c>
      <c r="EE35" s="242">
        <f t="shared" si="43"/>
        <v>4.6189494163424119E-2</v>
      </c>
      <c r="EG35" s="261">
        <f t="shared" si="44"/>
        <v>0</v>
      </c>
      <c r="EH35" s="241">
        <f t="shared" si="45"/>
        <v>0</v>
      </c>
      <c r="EI35" s="242">
        <f t="shared" si="46"/>
        <v>0</v>
      </c>
      <c r="EJ35" s="242"/>
      <c r="EK35" s="261">
        <f t="shared" si="47"/>
        <v>212025000</v>
      </c>
      <c r="EL35" s="261">
        <f t="shared" si="48"/>
        <v>0</v>
      </c>
      <c r="EM35" s="261">
        <f t="shared" si="49"/>
        <v>27203.6875</v>
      </c>
      <c r="EN35" s="242">
        <f t="shared" si="50"/>
        <v>4.6189494163424119E-2</v>
      </c>
      <c r="EP35" s="241"/>
    </row>
    <row r="36" spans="1:146" x14ac:dyDescent="0.25">
      <c r="A36" s="255">
        <f t="shared" si="51"/>
        <v>45834</v>
      </c>
      <c r="B36" s="241">
        <v>0</v>
      </c>
      <c r="C36" s="242">
        <v>4.6385969999999999E-2</v>
      </c>
      <c r="D36" s="241">
        <f t="shared" si="0"/>
        <v>0</v>
      </c>
      <c r="G36" s="241">
        <f t="shared" si="1"/>
        <v>0</v>
      </c>
      <c r="J36" s="241">
        <f t="shared" si="2"/>
        <v>0</v>
      </c>
      <c r="M36" s="241">
        <f t="shared" si="3"/>
        <v>0</v>
      </c>
      <c r="P36" s="241">
        <f t="shared" si="4"/>
        <v>0</v>
      </c>
      <c r="S36" s="241">
        <f t="shared" si="5"/>
        <v>0</v>
      </c>
      <c r="V36" s="241">
        <f t="shared" si="6"/>
        <v>0</v>
      </c>
      <c r="Y36" s="241">
        <f t="shared" si="7"/>
        <v>0</v>
      </c>
      <c r="AB36" s="241">
        <f t="shared" si="8"/>
        <v>0</v>
      </c>
      <c r="AE36" s="241">
        <v>0</v>
      </c>
      <c r="AH36" s="241">
        <v>0</v>
      </c>
      <c r="AI36" s="256">
        <f>65000000+23200000</f>
        <v>88200000</v>
      </c>
      <c r="AJ36" s="257">
        <v>4.5100000000000001E-2</v>
      </c>
      <c r="AK36" s="241">
        <f t="shared" si="9"/>
        <v>11049.5</v>
      </c>
      <c r="AL36" s="256">
        <f t="shared" si="52"/>
        <v>130000000</v>
      </c>
      <c r="AM36" s="257">
        <v>4.65E-2</v>
      </c>
      <c r="AN36" s="241">
        <f t="shared" si="10"/>
        <v>16791.666666666668</v>
      </c>
      <c r="AO36" s="256">
        <f t="shared" si="53"/>
        <v>35000000</v>
      </c>
      <c r="AP36" s="257">
        <v>4.65E-2</v>
      </c>
      <c r="AQ36" s="241">
        <f t="shared" si="11"/>
        <v>4520.833333333333</v>
      </c>
      <c r="AR36" s="256"/>
      <c r="AS36" s="257"/>
      <c r="AT36" s="241">
        <f t="shared" si="12"/>
        <v>0</v>
      </c>
      <c r="AW36" s="241">
        <f t="shared" si="13"/>
        <v>0</v>
      </c>
      <c r="AZ36" s="241">
        <f t="shared" si="14"/>
        <v>0</v>
      </c>
      <c r="BC36" s="241">
        <f t="shared" si="15"/>
        <v>0</v>
      </c>
      <c r="BF36" s="241">
        <f t="shared" si="16"/>
        <v>0</v>
      </c>
      <c r="BI36" s="241">
        <f t="shared" si="17"/>
        <v>0</v>
      </c>
      <c r="BL36" s="241">
        <f t="shared" si="18"/>
        <v>0</v>
      </c>
      <c r="BO36" s="241">
        <f t="shared" si="19"/>
        <v>0</v>
      </c>
      <c r="BR36" s="241">
        <f t="shared" si="20"/>
        <v>0</v>
      </c>
      <c r="BU36" s="241">
        <f t="shared" si="21"/>
        <v>0</v>
      </c>
      <c r="BX36" s="241">
        <f t="shared" si="22"/>
        <v>0</v>
      </c>
      <c r="CA36" s="241">
        <f t="shared" si="23"/>
        <v>0</v>
      </c>
      <c r="CD36" s="241">
        <f t="shared" si="24"/>
        <v>0</v>
      </c>
      <c r="CG36" s="241">
        <f t="shared" si="25"/>
        <v>0</v>
      </c>
      <c r="CJ36" s="241">
        <f t="shared" si="26"/>
        <v>0</v>
      </c>
      <c r="CM36" s="241">
        <f t="shared" si="27"/>
        <v>0</v>
      </c>
      <c r="CP36" s="241">
        <f t="shared" si="28"/>
        <v>0</v>
      </c>
      <c r="CS36" s="241">
        <f t="shared" si="29"/>
        <v>0</v>
      </c>
      <c r="CV36" s="241">
        <f t="shared" si="30"/>
        <v>0</v>
      </c>
      <c r="CY36" s="241">
        <f t="shared" si="31"/>
        <v>0</v>
      </c>
      <c r="DB36" s="241">
        <f t="shared" si="32"/>
        <v>0</v>
      </c>
      <c r="DE36" s="241">
        <f t="shared" si="33"/>
        <v>0</v>
      </c>
      <c r="DH36" s="241">
        <f t="shared" si="34"/>
        <v>0</v>
      </c>
      <c r="DK36" s="241">
        <f t="shared" si="35"/>
        <v>0</v>
      </c>
      <c r="DN36" s="241">
        <f t="shared" si="36"/>
        <v>0</v>
      </c>
      <c r="DQ36" s="241">
        <f t="shared" si="37"/>
        <v>0</v>
      </c>
      <c r="DT36" s="241">
        <f t="shared" si="38"/>
        <v>0</v>
      </c>
      <c r="DW36" s="241">
        <f t="shared" si="39"/>
        <v>0</v>
      </c>
      <c r="DZ36" s="241"/>
      <c r="EA36" s="241"/>
      <c r="EB36" s="261">
        <f t="shared" si="40"/>
        <v>253200000</v>
      </c>
      <c r="EC36" s="261">
        <f t="shared" si="41"/>
        <v>0</v>
      </c>
      <c r="ED36" s="241">
        <f t="shared" si="42"/>
        <v>32362</v>
      </c>
      <c r="EE36" s="242">
        <f t="shared" si="43"/>
        <v>4.6012322274881522E-2</v>
      </c>
      <c r="EG36" s="261">
        <f t="shared" si="44"/>
        <v>0</v>
      </c>
      <c r="EH36" s="241">
        <f t="shared" si="45"/>
        <v>0</v>
      </c>
      <c r="EI36" s="242">
        <f t="shared" si="46"/>
        <v>0</v>
      </c>
      <c r="EJ36" s="242"/>
      <c r="EK36" s="261">
        <f t="shared" si="47"/>
        <v>253200000</v>
      </c>
      <c r="EL36" s="261">
        <f t="shared" si="48"/>
        <v>0</v>
      </c>
      <c r="EM36" s="261">
        <f t="shared" si="49"/>
        <v>32362</v>
      </c>
      <c r="EN36" s="242">
        <f t="shared" si="50"/>
        <v>4.6012322274881522E-2</v>
      </c>
      <c r="EP36" s="241"/>
    </row>
    <row r="37" spans="1:146" x14ac:dyDescent="0.25">
      <c r="A37" s="255">
        <f t="shared" si="51"/>
        <v>45835</v>
      </c>
      <c r="B37" s="241">
        <v>0</v>
      </c>
      <c r="C37" s="242">
        <v>4.6341349999999996E-2</v>
      </c>
      <c r="D37" s="241">
        <f t="shared" si="0"/>
        <v>0</v>
      </c>
      <c r="G37" s="241">
        <f t="shared" si="1"/>
        <v>0</v>
      </c>
      <c r="J37" s="241">
        <f t="shared" si="2"/>
        <v>0</v>
      </c>
      <c r="M37" s="241">
        <f t="shared" si="3"/>
        <v>0</v>
      </c>
      <c r="P37" s="241">
        <f t="shared" si="4"/>
        <v>0</v>
      </c>
      <c r="S37" s="241">
        <f t="shared" si="5"/>
        <v>0</v>
      </c>
      <c r="V37" s="241">
        <f t="shared" si="6"/>
        <v>0</v>
      </c>
      <c r="Y37" s="241">
        <f t="shared" si="7"/>
        <v>0</v>
      </c>
      <c r="AB37" s="241">
        <f t="shared" si="8"/>
        <v>0</v>
      </c>
      <c r="AE37" s="241">
        <v>0</v>
      </c>
      <c r="AH37" s="241">
        <v>0</v>
      </c>
      <c r="AI37" s="256">
        <f>65000000+20000000+27450000</f>
        <v>112450000</v>
      </c>
      <c r="AJ37" s="257">
        <v>4.5199999999999997E-2</v>
      </c>
      <c r="AK37" s="241">
        <f t="shared" si="9"/>
        <v>14118.722222222223</v>
      </c>
      <c r="AL37" s="256">
        <f t="shared" si="52"/>
        <v>130000000</v>
      </c>
      <c r="AM37" s="257">
        <v>4.65E-2</v>
      </c>
      <c r="AN37" s="241">
        <f t="shared" si="10"/>
        <v>16791.666666666668</v>
      </c>
      <c r="AO37" s="256">
        <f t="shared" si="53"/>
        <v>35000000</v>
      </c>
      <c r="AP37" s="257">
        <v>4.65E-2</v>
      </c>
      <c r="AQ37" s="241">
        <f t="shared" si="11"/>
        <v>4520.833333333333</v>
      </c>
      <c r="AR37" s="256"/>
      <c r="AS37" s="257"/>
      <c r="AT37" s="241">
        <f t="shared" si="12"/>
        <v>0</v>
      </c>
      <c r="AW37" s="241">
        <f t="shared" si="13"/>
        <v>0</v>
      </c>
      <c r="AZ37" s="241">
        <f t="shared" si="14"/>
        <v>0</v>
      </c>
      <c r="BC37" s="241">
        <f t="shared" si="15"/>
        <v>0</v>
      </c>
      <c r="BF37" s="241">
        <f t="shared" si="16"/>
        <v>0</v>
      </c>
      <c r="BI37" s="241">
        <f t="shared" si="17"/>
        <v>0</v>
      </c>
      <c r="BL37" s="241">
        <f t="shared" si="18"/>
        <v>0</v>
      </c>
      <c r="BO37" s="241">
        <f t="shared" si="19"/>
        <v>0</v>
      </c>
      <c r="BR37" s="241">
        <f t="shared" si="20"/>
        <v>0</v>
      </c>
      <c r="BU37" s="241">
        <f t="shared" si="21"/>
        <v>0</v>
      </c>
      <c r="BX37" s="241">
        <f t="shared" si="22"/>
        <v>0</v>
      </c>
      <c r="CA37" s="241">
        <f t="shared" si="23"/>
        <v>0</v>
      </c>
      <c r="CD37" s="241">
        <f t="shared" si="24"/>
        <v>0</v>
      </c>
      <c r="CG37" s="241">
        <f t="shared" si="25"/>
        <v>0</v>
      </c>
      <c r="CJ37" s="241">
        <f t="shared" si="26"/>
        <v>0</v>
      </c>
      <c r="CM37" s="241">
        <f t="shared" si="27"/>
        <v>0</v>
      </c>
      <c r="CP37" s="241">
        <f t="shared" si="28"/>
        <v>0</v>
      </c>
      <c r="CS37" s="241">
        <f t="shared" si="29"/>
        <v>0</v>
      </c>
      <c r="CV37" s="241">
        <f t="shared" si="30"/>
        <v>0</v>
      </c>
      <c r="CY37" s="241">
        <f t="shared" si="31"/>
        <v>0</v>
      </c>
      <c r="DB37" s="241">
        <f t="shared" si="32"/>
        <v>0</v>
      </c>
      <c r="DE37" s="241">
        <f t="shared" si="33"/>
        <v>0</v>
      </c>
      <c r="DH37" s="241">
        <f t="shared" si="34"/>
        <v>0</v>
      </c>
      <c r="DK37" s="241">
        <f t="shared" si="35"/>
        <v>0</v>
      </c>
      <c r="DN37" s="241">
        <f t="shared" si="36"/>
        <v>0</v>
      </c>
      <c r="DQ37" s="241">
        <f t="shared" si="37"/>
        <v>0</v>
      </c>
      <c r="DT37" s="241">
        <f t="shared" si="38"/>
        <v>0</v>
      </c>
      <c r="DW37" s="241">
        <f t="shared" si="39"/>
        <v>0</v>
      </c>
      <c r="DZ37" s="241"/>
      <c r="EA37" s="241"/>
      <c r="EB37" s="261">
        <f t="shared" si="40"/>
        <v>277450000</v>
      </c>
      <c r="EC37" s="261">
        <f t="shared" si="41"/>
        <v>0</v>
      </c>
      <c r="ED37" s="241">
        <f t="shared" si="42"/>
        <v>35431.222222222226</v>
      </c>
      <c r="EE37" s="242">
        <f t="shared" si="43"/>
        <v>4.5973112272481534E-2</v>
      </c>
      <c r="EG37" s="261">
        <f t="shared" si="44"/>
        <v>0</v>
      </c>
      <c r="EH37" s="241">
        <f t="shared" si="45"/>
        <v>0</v>
      </c>
      <c r="EI37" s="242">
        <f t="shared" si="46"/>
        <v>0</v>
      </c>
      <c r="EJ37" s="242"/>
      <c r="EK37" s="261">
        <f t="shared" si="47"/>
        <v>277450000</v>
      </c>
      <c r="EL37" s="261">
        <f t="shared" si="48"/>
        <v>0</v>
      </c>
      <c r="EM37" s="261">
        <f t="shared" si="49"/>
        <v>35431.222222222219</v>
      </c>
      <c r="EN37" s="242">
        <f t="shared" si="50"/>
        <v>4.5973112272481527E-2</v>
      </c>
      <c r="EP37" s="241"/>
    </row>
    <row r="38" spans="1:146" x14ac:dyDescent="0.25">
      <c r="A38" s="255">
        <f t="shared" si="51"/>
        <v>45836</v>
      </c>
      <c r="B38" s="241">
        <v>0</v>
      </c>
      <c r="C38" s="242">
        <v>4.6341349999999996E-2</v>
      </c>
      <c r="D38" s="241">
        <f t="shared" si="0"/>
        <v>0</v>
      </c>
      <c r="G38" s="241">
        <f t="shared" si="1"/>
        <v>0</v>
      </c>
      <c r="J38" s="241">
        <f t="shared" si="2"/>
        <v>0</v>
      </c>
      <c r="M38" s="241">
        <f t="shared" si="3"/>
        <v>0</v>
      </c>
      <c r="P38" s="241">
        <f t="shared" si="4"/>
        <v>0</v>
      </c>
      <c r="S38" s="241">
        <f t="shared" si="5"/>
        <v>0</v>
      </c>
      <c r="V38" s="241">
        <f t="shared" si="6"/>
        <v>0</v>
      </c>
      <c r="Y38" s="241">
        <f t="shared" si="7"/>
        <v>0</v>
      </c>
      <c r="AB38" s="241">
        <f t="shared" si="8"/>
        <v>0</v>
      </c>
      <c r="AE38" s="241">
        <v>0</v>
      </c>
      <c r="AH38" s="241">
        <v>0</v>
      </c>
      <c r="AI38" s="256">
        <f>65000000+20000000+27450000</f>
        <v>112450000</v>
      </c>
      <c r="AJ38" s="257">
        <v>4.5199999999999997E-2</v>
      </c>
      <c r="AK38" s="241">
        <f t="shared" si="9"/>
        <v>14118.722222222223</v>
      </c>
      <c r="AL38" s="256">
        <f t="shared" si="52"/>
        <v>130000000</v>
      </c>
      <c r="AM38" s="257">
        <v>4.65E-2</v>
      </c>
      <c r="AN38" s="241">
        <f t="shared" si="10"/>
        <v>16791.666666666668</v>
      </c>
      <c r="AO38" s="256">
        <f t="shared" si="53"/>
        <v>35000000</v>
      </c>
      <c r="AP38" s="257">
        <v>4.65E-2</v>
      </c>
      <c r="AQ38" s="241">
        <f t="shared" si="11"/>
        <v>4520.833333333333</v>
      </c>
      <c r="AR38" s="256"/>
      <c r="AS38" s="257"/>
      <c r="AT38" s="241">
        <f t="shared" si="12"/>
        <v>0</v>
      </c>
      <c r="AW38" s="241">
        <f t="shared" si="13"/>
        <v>0</v>
      </c>
      <c r="AZ38" s="241">
        <f t="shared" si="14"/>
        <v>0</v>
      </c>
      <c r="BC38" s="241">
        <f t="shared" si="15"/>
        <v>0</v>
      </c>
      <c r="BF38" s="241">
        <f t="shared" si="16"/>
        <v>0</v>
      </c>
      <c r="BI38" s="241">
        <f t="shared" si="17"/>
        <v>0</v>
      </c>
      <c r="BL38" s="241">
        <f t="shared" si="18"/>
        <v>0</v>
      </c>
      <c r="BO38" s="241">
        <f t="shared" si="19"/>
        <v>0</v>
      </c>
      <c r="BR38" s="241">
        <f t="shared" si="20"/>
        <v>0</v>
      </c>
      <c r="BU38" s="241">
        <f t="shared" si="21"/>
        <v>0</v>
      </c>
      <c r="BX38" s="241">
        <f t="shared" si="22"/>
        <v>0</v>
      </c>
      <c r="CA38" s="241">
        <f t="shared" si="23"/>
        <v>0</v>
      </c>
      <c r="CD38" s="241">
        <f t="shared" si="24"/>
        <v>0</v>
      </c>
      <c r="CG38" s="241">
        <f t="shared" si="25"/>
        <v>0</v>
      </c>
      <c r="CJ38" s="241">
        <f t="shared" si="26"/>
        <v>0</v>
      </c>
      <c r="CM38" s="241">
        <f t="shared" si="27"/>
        <v>0</v>
      </c>
      <c r="CP38" s="241">
        <f t="shared" si="28"/>
        <v>0</v>
      </c>
      <c r="CS38" s="241">
        <f t="shared" si="29"/>
        <v>0</v>
      </c>
      <c r="CV38" s="241">
        <f t="shared" si="30"/>
        <v>0</v>
      </c>
      <c r="CY38" s="241">
        <f t="shared" si="31"/>
        <v>0</v>
      </c>
      <c r="DB38" s="241">
        <f t="shared" si="32"/>
        <v>0</v>
      </c>
      <c r="DE38" s="241">
        <f t="shared" si="33"/>
        <v>0</v>
      </c>
      <c r="DH38" s="241">
        <f t="shared" si="34"/>
        <v>0</v>
      </c>
      <c r="DK38" s="241">
        <f t="shared" si="35"/>
        <v>0</v>
      </c>
      <c r="DN38" s="241">
        <f t="shared" si="36"/>
        <v>0</v>
      </c>
      <c r="DQ38" s="241">
        <f t="shared" si="37"/>
        <v>0</v>
      </c>
      <c r="DT38" s="241">
        <f t="shared" si="38"/>
        <v>0</v>
      </c>
      <c r="DW38" s="241">
        <f t="shared" si="39"/>
        <v>0</v>
      </c>
      <c r="DZ38" s="241"/>
      <c r="EA38" s="241"/>
      <c r="EB38" s="261">
        <f t="shared" si="40"/>
        <v>277450000</v>
      </c>
      <c r="EC38" s="261">
        <f t="shared" si="41"/>
        <v>0</v>
      </c>
      <c r="ED38" s="241">
        <f t="shared" si="42"/>
        <v>35431.222222222226</v>
      </c>
      <c r="EE38" s="242">
        <f t="shared" si="43"/>
        <v>4.5973112272481534E-2</v>
      </c>
      <c r="EG38" s="261">
        <f t="shared" si="44"/>
        <v>0</v>
      </c>
      <c r="EH38" s="241">
        <f t="shared" si="45"/>
        <v>0</v>
      </c>
      <c r="EI38" s="242">
        <f t="shared" si="46"/>
        <v>0</v>
      </c>
      <c r="EJ38" s="242"/>
      <c r="EK38" s="261">
        <f t="shared" si="47"/>
        <v>277450000</v>
      </c>
      <c r="EL38" s="261">
        <f t="shared" si="48"/>
        <v>0</v>
      </c>
      <c r="EM38" s="261">
        <f t="shared" si="49"/>
        <v>35431.222222222219</v>
      </c>
      <c r="EN38" s="242">
        <f t="shared" si="50"/>
        <v>4.5973112272481527E-2</v>
      </c>
      <c r="EP38" s="241"/>
    </row>
    <row r="39" spans="1:146" x14ac:dyDescent="0.25">
      <c r="A39" s="255">
        <f t="shared" si="51"/>
        <v>45837</v>
      </c>
      <c r="B39" s="241">
        <v>0</v>
      </c>
      <c r="C39" s="242">
        <v>4.6341349999999996E-2</v>
      </c>
      <c r="D39" s="241">
        <f t="shared" si="0"/>
        <v>0</v>
      </c>
      <c r="G39" s="241">
        <f t="shared" si="1"/>
        <v>0</v>
      </c>
      <c r="J39" s="241">
        <f t="shared" si="2"/>
        <v>0</v>
      </c>
      <c r="M39" s="241">
        <f t="shared" si="3"/>
        <v>0</v>
      </c>
      <c r="P39" s="241">
        <f t="shared" si="4"/>
        <v>0</v>
      </c>
      <c r="S39" s="241">
        <f t="shared" si="5"/>
        <v>0</v>
      </c>
      <c r="V39" s="241">
        <f t="shared" si="6"/>
        <v>0</v>
      </c>
      <c r="Y39" s="241">
        <f t="shared" si="7"/>
        <v>0</v>
      </c>
      <c r="AB39" s="241">
        <f t="shared" si="8"/>
        <v>0</v>
      </c>
      <c r="AE39" s="241">
        <v>0</v>
      </c>
      <c r="AH39" s="241">
        <v>0</v>
      </c>
      <c r="AI39" s="256">
        <f>65000000+20000000+27450000</f>
        <v>112450000</v>
      </c>
      <c r="AJ39" s="257">
        <v>4.5199999999999997E-2</v>
      </c>
      <c r="AK39" s="241">
        <f t="shared" si="9"/>
        <v>14118.722222222223</v>
      </c>
      <c r="AL39" s="256">
        <f t="shared" si="52"/>
        <v>130000000</v>
      </c>
      <c r="AM39" s="257">
        <v>4.65E-2</v>
      </c>
      <c r="AN39" s="241">
        <f t="shared" si="10"/>
        <v>16791.666666666668</v>
      </c>
      <c r="AO39" s="256">
        <f t="shared" si="53"/>
        <v>35000000</v>
      </c>
      <c r="AP39" s="257">
        <v>4.65E-2</v>
      </c>
      <c r="AQ39" s="241">
        <f t="shared" si="11"/>
        <v>4520.833333333333</v>
      </c>
      <c r="AR39" s="256"/>
      <c r="AS39" s="257"/>
      <c r="AT39" s="241">
        <f t="shared" si="12"/>
        <v>0</v>
      </c>
      <c r="AW39" s="241">
        <f t="shared" si="13"/>
        <v>0</v>
      </c>
      <c r="AZ39" s="241">
        <f t="shared" si="14"/>
        <v>0</v>
      </c>
      <c r="BC39" s="241">
        <f t="shared" si="15"/>
        <v>0</v>
      </c>
      <c r="BF39" s="241">
        <f t="shared" si="16"/>
        <v>0</v>
      </c>
      <c r="BI39" s="241">
        <f t="shared" si="17"/>
        <v>0</v>
      </c>
      <c r="BL39" s="241">
        <f t="shared" si="18"/>
        <v>0</v>
      </c>
      <c r="BO39" s="241">
        <f t="shared" si="19"/>
        <v>0</v>
      </c>
      <c r="BR39" s="241">
        <f t="shared" si="20"/>
        <v>0</v>
      </c>
      <c r="BU39" s="241">
        <f t="shared" si="21"/>
        <v>0</v>
      </c>
      <c r="BX39" s="241">
        <f t="shared" si="22"/>
        <v>0</v>
      </c>
      <c r="CA39" s="241">
        <f t="shared" si="23"/>
        <v>0</v>
      </c>
      <c r="CD39" s="241">
        <f t="shared" si="24"/>
        <v>0</v>
      </c>
      <c r="CG39" s="241">
        <f t="shared" si="25"/>
        <v>0</v>
      </c>
      <c r="CJ39" s="241">
        <f t="shared" si="26"/>
        <v>0</v>
      </c>
      <c r="CM39" s="241">
        <f t="shared" si="27"/>
        <v>0</v>
      </c>
      <c r="CP39" s="241">
        <f t="shared" si="28"/>
        <v>0</v>
      </c>
      <c r="CS39" s="241">
        <f t="shared" si="29"/>
        <v>0</v>
      </c>
      <c r="CV39" s="241">
        <f t="shared" si="30"/>
        <v>0</v>
      </c>
      <c r="CY39" s="241">
        <f t="shared" si="31"/>
        <v>0</v>
      </c>
      <c r="DB39" s="241">
        <f t="shared" si="32"/>
        <v>0</v>
      </c>
      <c r="DE39" s="241">
        <f t="shared" si="33"/>
        <v>0</v>
      </c>
      <c r="DH39" s="241">
        <f t="shared" si="34"/>
        <v>0</v>
      </c>
      <c r="DK39" s="241">
        <f t="shared" si="35"/>
        <v>0</v>
      </c>
      <c r="DN39" s="241">
        <f t="shared" si="36"/>
        <v>0</v>
      </c>
      <c r="DQ39" s="241">
        <f t="shared" si="37"/>
        <v>0</v>
      </c>
      <c r="DT39" s="241">
        <f t="shared" si="38"/>
        <v>0</v>
      </c>
      <c r="DW39" s="241">
        <f t="shared" si="39"/>
        <v>0</v>
      </c>
      <c r="DZ39" s="241"/>
      <c r="EA39" s="241"/>
      <c r="EB39" s="261">
        <f t="shared" si="40"/>
        <v>277450000</v>
      </c>
      <c r="EC39" s="261">
        <f t="shared" si="41"/>
        <v>0</v>
      </c>
      <c r="ED39" s="241">
        <f t="shared" si="42"/>
        <v>35431.222222222226</v>
      </c>
      <c r="EE39" s="242">
        <f t="shared" si="43"/>
        <v>4.5973112272481534E-2</v>
      </c>
      <c r="EG39" s="261">
        <f t="shared" si="44"/>
        <v>0</v>
      </c>
      <c r="EH39" s="241">
        <f t="shared" si="45"/>
        <v>0</v>
      </c>
      <c r="EI39" s="242">
        <f t="shared" si="46"/>
        <v>0</v>
      </c>
      <c r="EJ39" s="242"/>
      <c r="EK39" s="261">
        <f t="shared" si="47"/>
        <v>277450000</v>
      </c>
      <c r="EL39" s="261">
        <f t="shared" si="48"/>
        <v>0</v>
      </c>
      <c r="EM39" s="261">
        <f t="shared" si="49"/>
        <v>35431.222222222219</v>
      </c>
      <c r="EN39" s="242">
        <f t="shared" si="50"/>
        <v>4.5973112272481527E-2</v>
      </c>
      <c r="EP39" s="241"/>
    </row>
    <row r="40" spans="1:146" x14ac:dyDescent="0.25">
      <c r="A40" s="255">
        <f t="shared" si="51"/>
        <v>45838</v>
      </c>
      <c r="B40" s="241">
        <v>0</v>
      </c>
      <c r="C40" s="242">
        <v>4.5946069999999999E-2</v>
      </c>
      <c r="D40" s="241">
        <f t="shared" si="0"/>
        <v>0</v>
      </c>
      <c r="G40" s="241">
        <f t="shared" si="1"/>
        <v>0</v>
      </c>
      <c r="J40" s="241">
        <f t="shared" si="2"/>
        <v>0</v>
      </c>
      <c r="M40" s="241">
        <f t="shared" si="3"/>
        <v>0</v>
      </c>
      <c r="P40" s="241">
        <f t="shared" si="4"/>
        <v>0</v>
      </c>
      <c r="S40" s="241">
        <f t="shared" si="5"/>
        <v>0</v>
      </c>
      <c r="V40" s="241">
        <f t="shared" si="6"/>
        <v>0</v>
      </c>
      <c r="Y40" s="241">
        <f t="shared" si="7"/>
        <v>0</v>
      </c>
      <c r="AB40" s="241">
        <f t="shared" si="8"/>
        <v>0</v>
      </c>
      <c r="AE40" s="241">
        <v>0</v>
      </c>
      <c r="AH40" s="241">
        <v>0</v>
      </c>
      <c r="AI40" s="256">
        <f>40000000+70000000+20000000+35525000</f>
        <v>165525000</v>
      </c>
      <c r="AJ40" s="257">
        <v>4.5199999999999997E-2</v>
      </c>
      <c r="AK40" s="241">
        <f t="shared" si="9"/>
        <v>20782.583333333332</v>
      </c>
      <c r="AL40" s="256">
        <f t="shared" si="52"/>
        <v>130000000</v>
      </c>
      <c r="AM40" s="257">
        <v>4.65E-2</v>
      </c>
      <c r="AN40" s="241">
        <f t="shared" si="10"/>
        <v>16791.666666666668</v>
      </c>
      <c r="AO40" s="256">
        <f t="shared" si="53"/>
        <v>35000000</v>
      </c>
      <c r="AP40" s="257">
        <v>4.65E-2</v>
      </c>
      <c r="AQ40" s="241">
        <f t="shared" si="11"/>
        <v>4520.833333333333</v>
      </c>
      <c r="AR40" s="256"/>
      <c r="AS40" s="257"/>
      <c r="AT40" s="241">
        <f t="shared" si="12"/>
        <v>0</v>
      </c>
      <c r="AW40" s="241">
        <f t="shared" si="13"/>
        <v>0</v>
      </c>
      <c r="AZ40" s="241">
        <f t="shared" si="14"/>
        <v>0</v>
      </c>
      <c r="BC40" s="241">
        <f t="shared" si="15"/>
        <v>0</v>
      </c>
      <c r="BF40" s="241">
        <f t="shared" si="16"/>
        <v>0</v>
      </c>
      <c r="BI40" s="241">
        <f t="shared" si="17"/>
        <v>0</v>
      </c>
      <c r="BL40" s="241">
        <f t="shared" si="18"/>
        <v>0</v>
      </c>
      <c r="BO40" s="241">
        <f t="shared" si="19"/>
        <v>0</v>
      </c>
      <c r="BR40" s="241">
        <f t="shared" si="20"/>
        <v>0</v>
      </c>
      <c r="BU40" s="241">
        <f t="shared" si="21"/>
        <v>0</v>
      </c>
      <c r="BX40" s="241">
        <f t="shared" si="22"/>
        <v>0</v>
      </c>
      <c r="CA40" s="241">
        <f t="shared" si="23"/>
        <v>0</v>
      </c>
      <c r="CD40" s="241">
        <f t="shared" si="24"/>
        <v>0</v>
      </c>
      <c r="CG40" s="241">
        <f t="shared" si="25"/>
        <v>0</v>
      </c>
      <c r="CJ40" s="241">
        <f t="shared" si="26"/>
        <v>0</v>
      </c>
      <c r="CM40" s="241">
        <f t="shared" si="27"/>
        <v>0</v>
      </c>
      <c r="CP40" s="241">
        <f t="shared" si="28"/>
        <v>0</v>
      </c>
      <c r="CS40" s="241">
        <f t="shared" si="29"/>
        <v>0</v>
      </c>
      <c r="CV40" s="241">
        <f t="shared" si="30"/>
        <v>0</v>
      </c>
      <c r="CY40" s="241">
        <f t="shared" si="31"/>
        <v>0</v>
      </c>
      <c r="DB40" s="241">
        <f t="shared" si="32"/>
        <v>0</v>
      </c>
      <c r="DE40" s="241">
        <f t="shared" si="33"/>
        <v>0</v>
      </c>
      <c r="DH40" s="241">
        <f t="shared" si="34"/>
        <v>0</v>
      </c>
      <c r="DK40" s="241">
        <f t="shared" si="35"/>
        <v>0</v>
      </c>
      <c r="DN40" s="241">
        <f t="shared" si="36"/>
        <v>0</v>
      </c>
      <c r="DQ40" s="241">
        <f t="shared" si="37"/>
        <v>0</v>
      </c>
      <c r="DT40" s="241">
        <f t="shared" si="38"/>
        <v>0</v>
      </c>
      <c r="DW40" s="241">
        <f t="shared" si="39"/>
        <v>0</v>
      </c>
      <c r="DZ40" s="241"/>
      <c r="EA40" s="241"/>
      <c r="EB40" s="261">
        <f t="shared" si="40"/>
        <v>330525000</v>
      </c>
      <c r="EC40" s="261">
        <f t="shared" si="41"/>
        <v>0</v>
      </c>
      <c r="ED40" s="241">
        <f t="shared" si="42"/>
        <v>42095.083333333336</v>
      </c>
      <c r="EE40" s="242">
        <f t="shared" si="43"/>
        <v>4.5848967551622426E-2</v>
      </c>
      <c r="EG40" s="261">
        <f t="shared" si="44"/>
        <v>0</v>
      </c>
      <c r="EH40" s="241">
        <f t="shared" si="45"/>
        <v>0</v>
      </c>
      <c r="EI40" s="242">
        <f t="shared" si="46"/>
        <v>0</v>
      </c>
      <c r="EJ40" s="242"/>
      <c r="EK40" s="261">
        <f t="shared" si="47"/>
        <v>330525000</v>
      </c>
      <c r="EL40" s="261">
        <f t="shared" si="48"/>
        <v>0</v>
      </c>
      <c r="EM40" s="261">
        <f t="shared" si="49"/>
        <v>42095.083333333328</v>
      </c>
      <c r="EN40" s="242">
        <f t="shared" si="50"/>
        <v>4.5848967551622419E-2</v>
      </c>
      <c r="EP40" s="241"/>
    </row>
    <row r="41" spans="1:146" x14ac:dyDescent="0.25">
      <c r="A41" s="276" t="s">
        <v>35</v>
      </c>
      <c r="D41" s="258">
        <f>SUM(D11:D40)</f>
        <v>3442.9375</v>
      </c>
      <c r="G41" s="258">
        <f>SUM(G11:G40)</f>
        <v>0</v>
      </c>
      <c r="J41" s="258">
        <f>SUM(J11:J40)</f>
        <v>0</v>
      </c>
      <c r="M41" s="258">
        <f>SUM(M11:M40)</f>
        <v>0</v>
      </c>
      <c r="P41" s="258">
        <f>SUM(P11:P40)</f>
        <v>0</v>
      </c>
      <c r="S41" s="258">
        <f>SUM(S11:S40)</f>
        <v>0</v>
      </c>
      <c r="V41" s="258">
        <f>SUM(V11:V40)</f>
        <v>0</v>
      </c>
      <c r="Y41" s="258">
        <f>SUM(Y11:Y40)</f>
        <v>0</v>
      </c>
      <c r="AB41" s="258">
        <f>SUM(AB11:AB40)</f>
        <v>0</v>
      </c>
      <c r="AE41" s="258">
        <f>SUM(AE11:AE40)</f>
        <v>0</v>
      </c>
      <c r="AH41" s="258">
        <f>SUM(AH11:AH40)</f>
        <v>0</v>
      </c>
      <c r="AK41" s="258">
        <f>SUM(AK11:AK40)</f>
        <v>319707.86111111107</v>
      </c>
      <c r="AN41" s="258">
        <f>SUM(AN11:AN40)</f>
        <v>435291.6666666668</v>
      </c>
      <c r="AQ41" s="258">
        <f>SUM(AQ11:AQ40)</f>
        <v>31645.833333333328</v>
      </c>
      <c r="AT41" s="258">
        <f>SUM(AT11:AT40)</f>
        <v>0</v>
      </c>
      <c r="AW41" s="258">
        <f>SUM(AW11:AW40)</f>
        <v>0</v>
      </c>
      <c r="AZ41" s="258">
        <f>SUM(AZ11:AZ40)</f>
        <v>0</v>
      </c>
      <c r="BC41" s="258">
        <f>SUM(BC11:BC40)</f>
        <v>0</v>
      </c>
      <c r="BF41" s="258">
        <f>SUM(BF11:BF40)</f>
        <v>0</v>
      </c>
      <c r="BI41" s="258">
        <f>SUM(BI11:BI40)</f>
        <v>0</v>
      </c>
      <c r="BL41" s="258">
        <f>SUM(BL11:BL40)</f>
        <v>0</v>
      </c>
      <c r="BO41" s="258">
        <f>SUM(BO11:BO40)</f>
        <v>0</v>
      </c>
      <c r="BR41" s="258">
        <f>SUM(BR11:BR40)</f>
        <v>0</v>
      </c>
      <c r="BU41" s="258">
        <f>SUM(BU11:BU40)</f>
        <v>0</v>
      </c>
      <c r="BX41" s="258">
        <f>SUM(BX11:BX40)</f>
        <v>0</v>
      </c>
      <c r="CA41" s="258">
        <f>SUM(CA11:CA40)</f>
        <v>0</v>
      </c>
      <c r="CD41" s="258">
        <f>SUM(CD11:CD40)</f>
        <v>0</v>
      </c>
      <c r="CG41" s="258">
        <f>SUM(CG11:CG40)</f>
        <v>0</v>
      </c>
      <c r="CJ41" s="258">
        <f>SUM(CJ11:CJ40)</f>
        <v>0</v>
      </c>
      <c r="CM41" s="258">
        <f>SUM(CM11:CM40)</f>
        <v>0</v>
      </c>
      <c r="CP41" s="258">
        <f>SUM(CP11:CP40)</f>
        <v>0</v>
      </c>
      <c r="CS41" s="258">
        <f>SUM(CS11:CS40)</f>
        <v>0</v>
      </c>
      <c r="CV41" s="258">
        <f>SUM(CV11:CV40)</f>
        <v>0</v>
      </c>
      <c r="CY41" s="258">
        <f>SUM(CY11:CY40)</f>
        <v>0</v>
      </c>
      <c r="DB41" s="258">
        <f>SUM(DB11:DB40)</f>
        <v>0</v>
      </c>
      <c r="DE41" s="258">
        <f>SUM(DE11:DE40)</f>
        <v>0</v>
      </c>
      <c r="DH41" s="258">
        <f>SUM(DH11:DH40)</f>
        <v>0</v>
      </c>
      <c r="DK41" s="258">
        <f>SUM(DK11:DK40)</f>
        <v>0</v>
      </c>
      <c r="DN41" s="258">
        <f>SUM(DN11:DN40)</f>
        <v>0</v>
      </c>
      <c r="DQ41" s="258">
        <f>SUM(DQ11:DQ40)</f>
        <v>0</v>
      </c>
      <c r="DT41" s="258">
        <f>SUM(DT11:DT40)</f>
        <v>0</v>
      </c>
      <c r="DW41" s="258">
        <f>SUM(DW11:DW40)</f>
        <v>0</v>
      </c>
      <c r="DZ41" s="241"/>
      <c r="EA41" s="241"/>
      <c r="EB41" s="241"/>
      <c r="EC41" s="241"/>
      <c r="ED41" s="258">
        <f>SUM(ED11:ED40)</f>
        <v>790088.29861111101</v>
      </c>
      <c r="EE41" s="242"/>
      <c r="EG41" s="241"/>
      <c r="EH41" s="258">
        <f>SUM(EH11:EH40)</f>
        <v>0</v>
      </c>
      <c r="EI41" s="242"/>
      <c r="EJ41" s="242"/>
      <c r="EK41" s="241"/>
      <c r="EL41" s="241"/>
      <c r="EM41" s="258">
        <f>SUM(EM11:EM40)</f>
        <v>786645.36111111112</v>
      </c>
      <c r="EN41" s="242"/>
    </row>
    <row r="43" spans="1:146" x14ac:dyDescent="0.25">
      <c r="EM43" s="259"/>
    </row>
    <row r="44" spans="1:146" x14ac:dyDescent="0.25">
      <c r="EM44" s="241"/>
    </row>
    <row r="45" spans="1:146" x14ac:dyDescent="0.25">
      <c r="EM45" s="241"/>
    </row>
    <row r="47" spans="1:146" x14ac:dyDescent="0.25">
      <c r="EM47" s="241"/>
    </row>
  </sheetData>
  <pageMargins left="0.7" right="0.7" top="0.75" bottom="0.75" header="0.3" footer="0.3"/>
  <pageSetup scale="64" orientation="portrait" horizontalDpi="1200" verticalDpi="1200" r:id="rId1"/>
  <headerFooter>
    <oddFooter>&amp;CSchedule RL-1</oddFooter>
  </headerFooter>
  <colBreaks count="5" manualBreakCount="5">
    <brk id="7" max="1048575" man="1"/>
    <brk id="43" max="1048575" man="1"/>
    <brk id="52" max="40" man="1"/>
    <brk id="130" max="1048575" man="1"/>
    <brk id="144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44"/>
  <dimension ref="A1:EQ48"/>
  <sheetViews>
    <sheetView zoomScaleNormal="100" workbookViewId="0">
      <selection activeCell="EO21" sqref="EO21"/>
    </sheetView>
  </sheetViews>
  <sheetFormatPr defaultRowHeight="15" x14ac:dyDescent="0.25"/>
  <cols>
    <col min="1" max="1" width="14.5703125" style="175" bestFit="1" customWidth="1"/>
    <col min="2" max="2" width="17.28515625" style="241" customWidth="1"/>
    <col min="3" max="3" width="15.42578125" style="242" bestFit="1" customWidth="1"/>
    <col min="4" max="4" width="15.42578125" style="175" bestFit="1" customWidth="1"/>
    <col min="5" max="5" width="15.5703125" style="241" bestFit="1" customWidth="1"/>
    <col min="6" max="6" width="12.28515625" style="242" bestFit="1" customWidth="1"/>
    <col min="7" max="7" width="18.42578125" style="175" bestFit="1" customWidth="1"/>
    <col min="8" max="8" width="15.42578125" style="241" hidden="1" customWidth="1"/>
    <col min="9" max="9" width="10.28515625" style="242" hidden="1" customWidth="1"/>
    <col min="10" max="10" width="13.42578125" style="175" hidden="1" customWidth="1"/>
    <col min="11" max="11" width="14.42578125" style="241" hidden="1" customWidth="1"/>
    <col min="12" max="12" width="10.28515625" style="242" hidden="1" customWidth="1"/>
    <col min="13" max="13" width="11.7109375" style="175" hidden="1" customWidth="1"/>
    <col min="14" max="14" width="14.42578125" style="241" hidden="1" customWidth="1"/>
    <col min="15" max="15" width="10.28515625" style="242" hidden="1" customWidth="1"/>
    <col min="16" max="16" width="11.7109375" style="175" hidden="1" customWidth="1"/>
    <col min="17" max="17" width="15.42578125" style="241" hidden="1" customWidth="1"/>
    <col min="18" max="18" width="10.28515625" style="242" hidden="1" customWidth="1"/>
    <col min="19" max="19" width="11.7109375" style="175" hidden="1" customWidth="1"/>
    <col min="20" max="20" width="15.42578125" style="241" hidden="1" customWidth="1"/>
    <col min="21" max="21" width="10.28515625" style="242" hidden="1" customWidth="1"/>
    <col min="22" max="22" width="11.7109375" style="175" hidden="1" customWidth="1"/>
    <col min="23" max="23" width="15.42578125" style="241" hidden="1" customWidth="1"/>
    <col min="24" max="24" width="10.28515625" style="242" hidden="1" customWidth="1"/>
    <col min="25" max="25" width="11.7109375" style="175" hidden="1" customWidth="1"/>
    <col min="26" max="26" width="15.42578125" style="241" hidden="1" customWidth="1"/>
    <col min="27" max="27" width="10.28515625" style="242" hidden="1" customWidth="1"/>
    <col min="28" max="28" width="11.7109375" style="175" hidden="1" customWidth="1"/>
    <col min="29" max="29" width="15.42578125" style="241" hidden="1" customWidth="1"/>
    <col min="30" max="30" width="10.28515625" style="242" hidden="1" customWidth="1"/>
    <col min="31" max="31" width="11.7109375" style="175" hidden="1" customWidth="1"/>
    <col min="32" max="32" width="14.42578125" style="241" hidden="1" customWidth="1"/>
    <col min="33" max="33" width="10.28515625" style="242" hidden="1" customWidth="1"/>
    <col min="34" max="34" width="10.7109375" style="175" hidden="1" customWidth="1"/>
    <col min="35" max="35" width="14.42578125" style="241" customWidth="1"/>
    <col min="36" max="36" width="12.85546875" style="242" customWidth="1"/>
    <col min="37" max="37" width="14.140625" style="175" bestFit="1" customWidth="1"/>
    <col min="38" max="38" width="14.42578125" style="241" customWidth="1"/>
    <col min="39" max="39" width="12.42578125" style="242" customWidth="1"/>
    <col min="40" max="40" width="13.28515625" style="175" bestFit="1" customWidth="1"/>
    <col min="41" max="41" width="15.42578125" style="241" bestFit="1" customWidth="1"/>
    <col min="42" max="42" width="12.28515625" style="242" bestFit="1" customWidth="1"/>
    <col min="43" max="43" width="14.140625" style="175" bestFit="1" customWidth="1"/>
    <col min="44" max="44" width="15.42578125" style="241" bestFit="1" customWidth="1"/>
    <col min="45" max="45" width="12" style="242" customWidth="1"/>
    <col min="46" max="46" width="14.140625" style="175" bestFit="1" customWidth="1"/>
    <col min="47" max="47" width="17.42578125" style="241" customWidth="1"/>
    <col min="48" max="48" width="11.7109375" style="242" customWidth="1"/>
    <col min="49" max="49" width="13" style="175" bestFit="1" customWidth="1"/>
    <col min="50" max="50" width="14.42578125" style="241" customWidth="1"/>
    <col min="51" max="51" width="10.28515625" style="242" customWidth="1"/>
    <col min="52" max="52" width="10.7109375" style="175" customWidth="1"/>
    <col min="53" max="53" width="14.42578125" style="241" customWidth="1"/>
    <col min="54" max="54" width="10.28515625" style="242" customWidth="1"/>
    <col min="55" max="55" width="10.7109375" style="175" customWidth="1"/>
    <col min="56" max="56" width="14.42578125" style="241" customWidth="1"/>
    <col min="57" max="57" width="10.28515625" style="242" customWidth="1"/>
    <col min="58" max="58" width="10.7109375" style="175" customWidth="1"/>
    <col min="59" max="59" width="14.42578125" style="241" customWidth="1"/>
    <col min="60" max="60" width="10.28515625" style="242" customWidth="1"/>
    <col min="61" max="61" width="10.7109375" style="175" customWidth="1"/>
    <col min="62" max="62" width="14.42578125" style="241" customWidth="1"/>
    <col min="63" max="63" width="10.28515625" style="242" customWidth="1"/>
    <col min="64" max="64" width="10.7109375" style="175" customWidth="1"/>
    <col min="65" max="65" width="14.42578125" style="241" hidden="1" customWidth="1"/>
    <col min="66" max="66" width="10.28515625" style="242" hidden="1" customWidth="1"/>
    <col min="67" max="67" width="10.7109375" style="175" hidden="1" customWidth="1"/>
    <col min="68" max="68" width="14.42578125" style="241" hidden="1" customWidth="1"/>
    <col min="69" max="69" width="10.28515625" style="242" hidden="1" customWidth="1"/>
    <col min="70" max="70" width="10.7109375" style="175" hidden="1" customWidth="1"/>
    <col min="71" max="71" width="14.42578125" style="241" hidden="1" customWidth="1"/>
    <col min="72" max="72" width="10.28515625" style="242" hidden="1" customWidth="1"/>
    <col min="73" max="73" width="10.7109375" style="175" hidden="1" customWidth="1"/>
    <col min="74" max="74" width="14.42578125" style="241" hidden="1" customWidth="1"/>
    <col min="75" max="75" width="10.28515625" style="242" hidden="1" customWidth="1"/>
    <col min="76" max="76" width="10.7109375" style="175" hidden="1" customWidth="1"/>
    <col min="77" max="77" width="14.42578125" style="241" hidden="1" customWidth="1"/>
    <col min="78" max="78" width="10.28515625" style="242" hidden="1" customWidth="1"/>
    <col min="79" max="79" width="10.7109375" style="175" hidden="1" customWidth="1"/>
    <col min="80" max="80" width="14.42578125" style="241" hidden="1" customWidth="1"/>
    <col min="81" max="81" width="10.28515625" style="242" hidden="1" customWidth="1"/>
    <col min="82" max="82" width="10.7109375" style="175" hidden="1" customWidth="1"/>
    <col min="83" max="83" width="14.42578125" style="241" hidden="1" customWidth="1"/>
    <col min="84" max="84" width="10.28515625" style="242" hidden="1" customWidth="1"/>
    <col min="85" max="85" width="10.7109375" style="175" hidden="1" customWidth="1"/>
    <col min="86" max="86" width="14.42578125" style="241" hidden="1" customWidth="1"/>
    <col min="87" max="87" width="10.28515625" style="242" hidden="1" customWidth="1"/>
    <col min="88" max="88" width="10.7109375" style="175" hidden="1" customWidth="1"/>
    <col min="89" max="89" width="14.42578125" style="241" hidden="1" customWidth="1"/>
    <col min="90" max="90" width="10.28515625" style="242" hidden="1" customWidth="1"/>
    <col min="91" max="91" width="10.7109375" style="175" hidden="1" customWidth="1"/>
    <col min="92" max="92" width="14.42578125" style="241" hidden="1" customWidth="1"/>
    <col min="93" max="93" width="10.28515625" style="242" hidden="1" customWidth="1"/>
    <col min="94" max="94" width="10.7109375" style="175" hidden="1" customWidth="1"/>
    <col min="95" max="95" width="14.42578125" style="241" hidden="1" customWidth="1"/>
    <col min="96" max="96" width="10.28515625" style="242" hidden="1" customWidth="1"/>
    <col min="97" max="97" width="10.7109375" style="175" hidden="1" customWidth="1"/>
    <col min="98" max="98" width="14.42578125" style="241" hidden="1" customWidth="1"/>
    <col min="99" max="99" width="10.28515625" style="242" hidden="1" customWidth="1"/>
    <col min="100" max="100" width="10.7109375" style="175" hidden="1" customWidth="1"/>
    <col min="101" max="101" width="14.42578125" style="241" hidden="1" customWidth="1"/>
    <col min="102" max="102" width="10.28515625" style="242" hidden="1" customWidth="1"/>
    <col min="103" max="103" width="10.7109375" style="175" hidden="1" customWidth="1"/>
    <col min="104" max="104" width="14.42578125" style="241" hidden="1" customWidth="1"/>
    <col min="105" max="105" width="10.28515625" style="242" hidden="1" customWidth="1"/>
    <col min="106" max="106" width="10.7109375" style="175" hidden="1" customWidth="1"/>
    <col min="107" max="107" width="14.42578125" style="241" hidden="1" customWidth="1"/>
    <col min="108" max="108" width="10.28515625" style="242" hidden="1" customWidth="1"/>
    <col min="109" max="109" width="10.7109375" style="175" hidden="1" customWidth="1"/>
    <col min="110" max="110" width="14.42578125" style="241" hidden="1" customWidth="1"/>
    <col min="111" max="111" width="10.28515625" style="242" hidden="1" customWidth="1"/>
    <col min="112" max="112" width="10.7109375" style="175" hidden="1" customWidth="1"/>
    <col min="113" max="113" width="14.42578125" style="241" hidden="1" customWidth="1"/>
    <col min="114" max="114" width="10.28515625" style="242" hidden="1" customWidth="1"/>
    <col min="115" max="115" width="10.7109375" style="175" hidden="1" customWidth="1"/>
    <col min="116" max="116" width="14.42578125" style="241" hidden="1" customWidth="1"/>
    <col min="117" max="117" width="10.28515625" style="242" hidden="1" customWidth="1"/>
    <col min="118" max="118" width="10.7109375" style="175" hidden="1" customWidth="1"/>
    <col min="119" max="119" width="14.42578125" style="241" hidden="1" customWidth="1"/>
    <col min="120" max="120" width="10.28515625" style="242" hidden="1" customWidth="1"/>
    <col min="121" max="121" width="10.7109375" style="175" hidden="1" customWidth="1"/>
    <col min="122" max="122" width="14.42578125" style="241" hidden="1" customWidth="1"/>
    <col min="123" max="123" width="10.28515625" style="242" hidden="1" customWidth="1"/>
    <col min="124" max="124" width="10.7109375" style="175" hidden="1" customWidth="1"/>
    <col min="125" max="125" width="14.42578125" style="241" hidden="1" customWidth="1"/>
    <col min="126" max="126" width="10.28515625" style="242" hidden="1" customWidth="1"/>
    <col min="127" max="127" width="10.7109375" style="175" hidden="1" customWidth="1"/>
    <col min="128" max="128" width="14.42578125" style="241" hidden="1" customWidth="1"/>
    <col min="129" max="129" width="10.28515625" style="242" hidden="1" customWidth="1"/>
    <col min="130" max="130" width="10.7109375" style="175" hidden="1" customWidth="1"/>
    <col min="131" max="131" width="2.7109375" style="175" customWidth="1"/>
    <col min="132" max="132" width="18.28515625" style="175" customWidth="1"/>
    <col min="133" max="133" width="15.42578125" style="175" hidden="1" customWidth="1"/>
    <col min="134" max="134" width="16.5703125" style="175" customWidth="1"/>
    <col min="135" max="135" width="21.28515625" style="175" customWidth="1"/>
    <col min="136" max="136" width="2.7109375" style="175" customWidth="1"/>
    <col min="137" max="137" width="15.42578125" style="175" hidden="1" customWidth="1"/>
    <col min="138" max="138" width="14.42578125" style="175" hidden="1" customWidth="1"/>
    <col min="139" max="139" width="12.42578125" style="175" hidden="1" customWidth="1"/>
    <col min="140" max="140" width="2.7109375" style="175" hidden="1" customWidth="1"/>
    <col min="141" max="141" width="18.7109375" style="175" customWidth="1"/>
    <col min="142" max="142" width="15.42578125" style="175" hidden="1" customWidth="1"/>
    <col min="143" max="143" width="14.42578125" style="175" bestFit="1" customWidth="1"/>
    <col min="144" max="144" width="18.5703125" style="175" customWidth="1"/>
    <col min="145" max="145" width="42.85546875" style="175" bestFit="1" customWidth="1"/>
    <col min="146" max="146" width="19.42578125" style="175" bestFit="1" customWidth="1"/>
    <col min="147" max="147" width="23.140625" style="175" bestFit="1" customWidth="1"/>
    <col min="148" max="16384" width="9.140625" style="175"/>
  </cols>
  <sheetData>
    <row r="1" spans="1:147" s="202" customFormat="1" x14ac:dyDescent="0.25">
      <c r="A1" s="260" t="s">
        <v>0</v>
      </c>
      <c r="B1" s="261"/>
      <c r="C1" s="262"/>
      <c r="E1" s="261"/>
      <c r="F1" s="262"/>
      <c r="H1" s="261"/>
      <c r="I1" s="262"/>
      <c r="K1" s="261"/>
      <c r="L1" s="262"/>
      <c r="N1" s="261"/>
      <c r="O1" s="262"/>
      <c r="Q1" s="261"/>
      <c r="R1" s="262"/>
      <c r="T1" s="261"/>
      <c r="U1" s="262"/>
      <c r="W1" s="261"/>
      <c r="X1" s="262"/>
      <c r="Z1" s="261"/>
      <c r="AA1" s="262"/>
      <c r="AC1" s="261"/>
      <c r="AD1" s="262"/>
      <c r="AF1" s="261"/>
      <c r="AG1" s="262"/>
      <c r="AI1" s="261"/>
      <c r="AJ1" s="262"/>
      <c r="AL1" s="261"/>
      <c r="AM1" s="262"/>
      <c r="AO1" s="261"/>
      <c r="AP1" s="262"/>
      <c r="AR1" s="261"/>
      <c r="AS1" s="262"/>
      <c r="AU1" s="261"/>
      <c r="AV1" s="262"/>
      <c r="AX1" s="261"/>
      <c r="AY1" s="262"/>
      <c r="BA1" s="261"/>
      <c r="BB1" s="262"/>
      <c r="BD1" s="261"/>
      <c r="BE1" s="262"/>
      <c r="BG1" s="261"/>
      <c r="BH1" s="262"/>
      <c r="BJ1" s="261"/>
      <c r="BK1" s="262"/>
      <c r="BM1" s="261"/>
      <c r="BN1" s="262"/>
      <c r="BP1" s="261"/>
      <c r="BQ1" s="262"/>
      <c r="BS1" s="261"/>
      <c r="BT1" s="262"/>
      <c r="BV1" s="261"/>
      <c r="BW1" s="262"/>
      <c r="BY1" s="261"/>
      <c r="BZ1" s="262"/>
      <c r="CB1" s="261"/>
      <c r="CC1" s="262"/>
      <c r="CE1" s="261"/>
      <c r="CF1" s="262"/>
      <c r="CH1" s="261"/>
      <c r="CI1" s="262"/>
      <c r="CK1" s="261"/>
      <c r="CL1" s="262"/>
      <c r="CN1" s="261"/>
      <c r="CO1" s="262"/>
      <c r="CQ1" s="261"/>
      <c r="CR1" s="262"/>
      <c r="CT1" s="261"/>
      <c r="CU1" s="262"/>
      <c r="CW1" s="261"/>
      <c r="CX1" s="262"/>
      <c r="CZ1" s="261"/>
      <c r="DA1" s="262"/>
      <c r="DC1" s="261"/>
      <c r="DD1" s="262"/>
      <c r="DF1" s="261"/>
      <c r="DG1" s="262"/>
      <c r="DI1" s="261"/>
      <c r="DJ1" s="262"/>
      <c r="DL1" s="261"/>
      <c r="DM1" s="262"/>
      <c r="DO1" s="261"/>
      <c r="DP1" s="262"/>
      <c r="DR1" s="261"/>
      <c r="DS1" s="262"/>
      <c r="DU1" s="261"/>
      <c r="DV1" s="262"/>
      <c r="DX1" s="261"/>
      <c r="DY1" s="262"/>
      <c r="DZ1" s="263"/>
      <c r="ED1" s="191"/>
      <c r="EE1" s="264" t="s">
        <v>37</v>
      </c>
      <c r="EI1" s="191" t="s">
        <v>38</v>
      </c>
      <c r="EM1" s="191"/>
      <c r="EN1" s="191" t="s">
        <v>39</v>
      </c>
      <c r="EO1" s="260" t="s">
        <v>40</v>
      </c>
      <c r="EP1" s="260" t="s">
        <v>41</v>
      </c>
      <c r="EQ1" s="260" t="s">
        <v>42</v>
      </c>
    </row>
    <row r="2" spans="1:147" s="202" customFormat="1" ht="15.75" thickBot="1" x14ac:dyDescent="0.3">
      <c r="A2" s="260" t="s">
        <v>43</v>
      </c>
      <c r="B2" s="261"/>
      <c r="C2" s="262"/>
      <c r="E2" s="263"/>
      <c r="F2" s="262"/>
      <c r="G2" s="191"/>
      <c r="H2" s="261"/>
      <c r="I2" s="262"/>
      <c r="K2" s="261"/>
      <c r="L2" s="262"/>
      <c r="N2" s="261"/>
      <c r="O2" s="262"/>
      <c r="Q2" s="261"/>
      <c r="R2" s="262"/>
      <c r="T2" s="261"/>
      <c r="U2" s="262"/>
      <c r="W2" s="261"/>
      <c r="X2" s="262"/>
      <c r="Z2" s="261"/>
      <c r="AA2" s="262"/>
      <c r="AC2" s="261"/>
      <c r="AD2" s="262"/>
      <c r="AF2" s="261"/>
      <c r="AG2" s="262"/>
      <c r="AI2" s="261"/>
      <c r="AJ2" s="262"/>
      <c r="AL2" s="261"/>
      <c r="AM2" s="262"/>
      <c r="AO2" s="261"/>
      <c r="AP2" s="262"/>
      <c r="AR2" s="261"/>
      <c r="AS2" s="262"/>
      <c r="AU2" s="261"/>
      <c r="AV2" s="262"/>
      <c r="AX2" s="261"/>
      <c r="AY2" s="262"/>
      <c r="BA2" s="261"/>
      <c r="BB2" s="262"/>
      <c r="BD2" s="261"/>
      <c r="BE2" s="262"/>
      <c r="BG2" s="261"/>
      <c r="BH2" s="262"/>
      <c r="BJ2" s="261"/>
      <c r="BK2" s="262"/>
      <c r="BM2" s="261"/>
      <c r="BN2" s="262"/>
      <c r="BP2" s="261"/>
      <c r="BQ2" s="262"/>
      <c r="BS2" s="261"/>
      <c r="BT2" s="262"/>
      <c r="BV2" s="261"/>
      <c r="BW2" s="262"/>
      <c r="BY2" s="261"/>
      <c r="BZ2" s="262"/>
      <c r="CB2" s="261"/>
      <c r="CC2" s="262"/>
      <c r="CE2" s="261"/>
      <c r="CF2" s="262"/>
      <c r="CH2" s="261"/>
      <c r="CI2" s="262"/>
      <c r="CK2" s="261"/>
      <c r="CL2" s="262"/>
      <c r="CN2" s="261"/>
      <c r="CO2" s="262"/>
      <c r="CQ2" s="261"/>
      <c r="CR2" s="262"/>
      <c r="CT2" s="261"/>
      <c r="CU2" s="262"/>
      <c r="CW2" s="261"/>
      <c r="CX2" s="262"/>
      <c r="CZ2" s="261"/>
      <c r="DA2" s="262"/>
      <c r="DC2" s="261"/>
      <c r="DD2" s="262"/>
      <c r="DF2" s="261"/>
      <c r="DG2" s="262"/>
      <c r="DI2" s="261"/>
      <c r="DJ2" s="262"/>
      <c r="DL2" s="261"/>
      <c r="DM2" s="262"/>
      <c r="DO2" s="261"/>
      <c r="DP2" s="262"/>
      <c r="DR2" s="261"/>
      <c r="DS2" s="262"/>
      <c r="DU2" s="261"/>
      <c r="DV2" s="262"/>
      <c r="DX2" s="261"/>
      <c r="DY2" s="262"/>
      <c r="EB2" s="175" t="s">
        <v>44</v>
      </c>
      <c r="EC2" s="175"/>
      <c r="ED2" s="241"/>
      <c r="EE2" s="241">
        <f>EB41</f>
        <v>379325000</v>
      </c>
      <c r="EI2" s="241">
        <f>EG40</f>
        <v>0</v>
      </c>
      <c r="EM2" s="241"/>
      <c r="EN2" s="241">
        <f>EK41</f>
        <v>379325000</v>
      </c>
      <c r="EO2" s="265">
        <v>-505213.89</v>
      </c>
      <c r="EP2" s="261">
        <f>EN2+EO2</f>
        <v>378819786.11000001</v>
      </c>
      <c r="EQ2" s="261">
        <f>EE2+EO2</f>
        <v>378819786.11000001</v>
      </c>
    </row>
    <row r="3" spans="1:147" ht="15.75" thickTop="1" x14ac:dyDescent="0.25">
      <c r="A3" s="266" t="s">
        <v>250</v>
      </c>
      <c r="E3" s="267" t="s">
        <v>45</v>
      </c>
      <c r="F3" s="243"/>
      <c r="G3" s="244"/>
      <c r="EB3" s="175" t="s">
        <v>46</v>
      </c>
      <c r="ED3" s="241"/>
      <c r="EE3" s="241">
        <f>AVERAGE(EB11:EB41)</f>
        <v>336519354.83870965</v>
      </c>
      <c r="EI3" s="241">
        <f>AVERAGE(EG11:EG40)</f>
        <v>0</v>
      </c>
      <c r="EM3" s="241"/>
      <c r="EN3" s="241">
        <f>AVERAGE(EK11:EK41)</f>
        <v>334317741.93548387</v>
      </c>
    </row>
    <row r="4" spans="1:147" x14ac:dyDescent="0.25">
      <c r="E4" s="245" t="s">
        <v>44</v>
      </c>
      <c r="F4" s="241"/>
      <c r="G4" s="246">
        <f>EQ2</f>
        <v>378819786.11000001</v>
      </c>
      <c r="AI4" s="260" t="s">
        <v>47</v>
      </c>
      <c r="EB4" s="175" t="s">
        <v>48</v>
      </c>
      <c r="ED4" s="242"/>
      <c r="EE4" s="242">
        <f>IF(EE3=0,0,360*(AVERAGE(ED11:ED41)/EE3))</f>
        <v>4.6030418514512901E-2</v>
      </c>
      <c r="EI4" s="242">
        <f>IF(EI3=0,0,360*(AVERAGE(EH11:EH40)/EI3))</f>
        <v>0</v>
      </c>
      <c r="EM4" s="242"/>
      <c r="EN4" s="242">
        <f>IF(EN3=0,0,360*(AVERAGE(EM11:EM41)/EN3))</f>
        <v>4.6029673818127427E-2</v>
      </c>
      <c r="EO4" s="202" t="s">
        <v>241</v>
      </c>
      <c r="EQ4" s="191" t="s">
        <v>47</v>
      </c>
    </row>
    <row r="5" spans="1:147" x14ac:dyDescent="0.25">
      <c r="E5" s="245" t="s">
        <v>46</v>
      </c>
      <c r="F5" s="241"/>
      <c r="G5" s="246">
        <f>EE3</f>
        <v>336519354.83870965</v>
      </c>
      <c r="AI5" s="268" t="s">
        <v>39</v>
      </c>
      <c r="EB5" s="175" t="s">
        <v>49</v>
      </c>
      <c r="ED5" s="241"/>
      <c r="EE5" s="241">
        <f>MAX(EB11:EB41)</f>
        <v>379325000</v>
      </c>
      <c r="EI5" s="241">
        <f>MAX(EG11:EG40)</f>
        <v>0</v>
      </c>
      <c r="EM5" s="241"/>
      <c r="EN5" s="241">
        <f>MAX(EK11:EK41)</f>
        <v>379325000</v>
      </c>
      <c r="EO5" s="175" t="s">
        <v>242</v>
      </c>
    </row>
    <row r="6" spans="1:147" x14ac:dyDescent="0.25">
      <c r="E6" s="245" t="s">
        <v>48</v>
      </c>
      <c r="F6" s="241"/>
      <c r="G6" s="247">
        <f>EE4</f>
        <v>4.6030418514512901E-2</v>
      </c>
    </row>
    <row r="7" spans="1:147" ht="15.75" thickBot="1" x14ac:dyDescent="0.3">
      <c r="E7" s="248" t="s">
        <v>49</v>
      </c>
      <c r="F7" s="249"/>
      <c r="G7" s="250">
        <f>EE5</f>
        <v>379325000</v>
      </c>
      <c r="AI7" s="268" t="s">
        <v>39</v>
      </c>
      <c r="EB7" s="269" t="s">
        <v>50</v>
      </c>
      <c r="EC7" s="269"/>
      <c r="ED7" s="251"/>
      <c r="EE7" s="251"/>
      <c r="EG7" s="269" t="s">
        <v>51</v>
      </c>
      <c r="EH7" s="251"/>
      <c r="EI7" s="251"/>
      <c r="EJ7" s="174"/>
      <c r="EK7" s="269" t="s">
        <v>52</v>
      </c>
      <c r="EL7" s="269"/>
      <c r="EM7" s="251"/>
      <c r="EN7" s="251"/>
    </row>
    <row r="8" spans="1:147" ht="15.75" thickTop="1" x14ac:dyDescent="0.25">
      <c r="AI8" s="263" t="s">
        <v>53</v>
      </c>
      <c r="AL8" s="263" t="s">
        <v>53</v>
      </c>
      <c r="AO8" s="263" t="s">
        <v>53</v>
      </c>
      <c r="AR8" s="263" t="s">
        <v>53</v>
      </c>
      <c r="AU8" s="263" t="s">
        <v>53</v>
      </c>
      <c r="AX8" s="263" t="s">
        <v>53</v>
      </c>
      <c r="BA8" s="263" t="s">
        <v>53</v>
      </c>
      <c r="BD8" s="263" t="s">
        <v>53</v>
      </c>
      <c r="BG8" s="263" t="s">
        <v>53</v>
      </c>
      <c r="BJ8" s="263" t="s">
        <v>53</v>
      </c>
      <c r="BM8" s="263" t="s">
        <v>53</v>
      </c>
      <c r="BP8" s="263" t="s">
        <v>53</v>
      </c>
      <c r="BS8" s="263" t="s">
        <v>53</v>
      </c>
      <c r="BV8" s="263" t="s">
        <v>53</v>
      </c>
      <c r="BY8" s="263" t="s">
        <v>53</v>
      </c>
      <c r="CB8" s="263" t="s">
        <v>53</v>
      </c>
      <c r="CE8" s="263" t="s">
        <v>53</v>
      </c>
      <c r="CH8" s="263" t="s">
        <v>53</v>
      </c>
      <c r="CK8" s="263" t="s">
        <v>53</v>
      </c>
      <c r="CN8" s="263" t="s">
        <v>53</v>
      </c>
      <c r="CQ8" s="263" t="s">
        <v>53</v>
      </c>
      <c r="CT8" s="263" t="s">
        <v>53</v>
      </c>
      <c r="CW8" s="263" t="s">
        <v>53</v>
      </c>
      <c r="CZ8" s="263" t="s">
        <v>53</v>
      </c>
      <c r="DC8" s="263" t="s">
        <v>53</v>
      </c>
      <c r="DF8" s="263" t="s">
        <v>53</v>
      </c>
      <c r="DI8" s="263" t="s">
        <v>53</v>
      </c>
      <c r="DL8" s="263" t="s">
        <v>53</v>
      </c>
      <c r="DO8" s="263" t="s">
        <v>53</v>
      </c>
      <c r="DR8" s="263" t="s">
        <v>53</v>
      </c>
      <c r="EB8" s="252"/>
      <c r="EC8" s="252"/>
      <c r="ED8" s="252"/>
      <c r="EE8" s="252" t="s">
        <v>54</v>
      </c>
      <c r="EG8" s="252"/>
      <c r="EH8" s="270" t="s">
        <v>38</v>
      </c>
      <c r="EI8" s="252" t="s">
        <v>54</v>
      </c>
      <c r="EJ8" s="252"/>
      <c r="EK8" s="191" t="s">
        <v>55</v>
      </c>
      <c r="EL8" s="191" t="s">
        <v>56</v>
      </c>
      <c r="EM8" s="270" t="s">
        <v>57</v>
      </c>
      <c r="EN8" s="252" t="s">
        <v>54</v>
      </c>
    </row>
    <row r="9" spans="1:147" x14ac:dyDescent="0.25">
      <c r="B9" s="253" t="s">
        <v>58</v>
      </c>
      <c r="C9" s="254"/>
      <c r="D9" s="251"/>
      <c r="E9" s="253" t="s">
        <v>59</v>
      </c>
      <c r="F9" s="254"/>
      <c r="G9" s="251"/>
      <c r="H9" s="253" t="s">
        <v>60</v>
      </c>
      <c r="I9" s="254"/>
      <c r="J9" s="251"/>
      <c r="K9" s="253" t="s">
        <v>61</v>
      </c>
      <c r="L9" s="254"/>
      <c r="M9" s="251"/>
      <c r="N9" s="253" t="s">
        <v>62</v>
      </c>
      <c r="O9" s="254"/>
      <c r="P9" s="251"/>
      <c r="Q9" s="253" t="s">
        <v>63</v>
      </c>
      <c r="R9" s="254"/>
      <c r="S9" s="251"/>
      <c r="T9" s="253" t="s">
        <v>64</v>
      </c>
      <c r="U9" s="254"/>
      <c r="V9" s="251"/>
      <c r="W9" s="253" t="s">
        <v>65</v>
      </c>
      <c r="X9" s="254"/>
      <c r="Y9" s="251"/>
      <c r="Z9" s="253" t="s">
        <v>66</v>
      </c>
      <c r="AA9" s="254"/>
      <c r="AB9" s="251"/>
      <c r="AC9" s="271" t="s">
        <v>67</v>
      </c>
      <c r="AD9" s="254"/>
      <c r="AE9" s="251"/>
      <c r="AF9" s="271" t="s">
        <v>68</v>
      </c>
      <c r="AG9" s="254"/>
      <c r="AH9" s="251"/>
      <c r="AI9" s="253" t="s">
        <v>69</v>
      </c>
      <c r="AJ9" s="254"/>
      <c r="AK9" s="251"/>
      <c r="AL9" s="253" t="s">
        <v>70</v>
      </c>
      <c r="AM9" s="254"/>
      <c r="AN9" s="251"/>
      <c r="AO9" s="253" t="s">
        <v>71</v>
      </c>
      <c r="AP9" s="254"/>
      <c r="AQ9" s="251"/>
      <c r="AR9" s="253" t="s">
        <v>72</v>
      </c>
      <c r="AS9" s="254"/>
      <c r="AT9" s="251"/>
      <c r="AU9" s="253" t="s">
        <v>73</v>
      </c>
      <c r="AV9" s="254"/>
      <c r="AW9" s="251"/>
      <c r="AX9" s="253" t="s">
        <v>74</v>
      </c>
      <c r="AY9" s="254"/>
      <c r="AZ9" s="251"/>
      <c r="BA9" s="253" t="s">
        <v>75</v>
      </c>
      <c r="BB9" s="254"/>
      <c r="BC9" s="251"/>
      <c r="BD9" s="253" t="s">
        <v>76</v>
      </c>
      <c r="BE9" s="254"/>
      <c r="BF9" s="251"/>
      <c r="BG9" s="253" t="s">
        <v>77</v>
      </c>
      <c r="BH9" s="254"/>
      <c r="BI9" s="251"/>
      <c r="BJ9" s="253" t="s">
        <v>78</v>
      </c>
      <c r="BK9" s="254"/>
      <c r="BL9" s="251"/>
      <c r="BM9" s="253" t="s">
        <v>79</v>
      </c>
      <c r="BN9" s="254"/>
      <c r="BO9" s="251"/>
      <c r="BP9" s="253" t="s">
        <v>80</v>
      </c>
      <c r="BQ9" s="254"/>
      <c r="BR9" s="251"/>
      <c r="BS9" s="253" t="s">
        <v>81</v>
      </c>
      <c r="BT9" s="254"/>
      <c r="BU9" s="251"/>
      <c r="BV9" s="253" t="s">
        <v>82</v>
      </c>
      <c r="BW9" s="254"/>
      <c r="BX9" s="251"/>
      <c r="BY9" s="253" t="s">
        <v>83</v>
      </c>
      <c r="BZ9" s="254"/>
      <c r="CA9" s="251"/>
      <c r="CB9" s="253" t="s">
        <v>84</v>
      </c>
      <c r="CC9" s="254"/>
      <c r="CD9" s="251"/>
      <c r="CE9" s="253" t="s">
        <v>85</v>
      </c>
      <c r="CF9" s="254"/>
      <c r="CG9" s="251"/>
      <c r="CH9" s="253" t="s">
        <v>86</v>
      </c>
      <c r="CI9" s="254"/>
      <c r="CJ9" s="251"/>
      <c r="CK9" s="253" t="s">
        <v>87</v>
      </c>
      <c r="CL9" s="254"/>
      <c r="CM9" s="251"/>
      <c r="CN9" s="253" t="s">
        <v>88</v>
      </c>
      <c r="CO9" s="254"/>
      <c r="CP9" s="251"/>
      <c r="CQ9" s="253" t="s">
        <v>89</v>
      </c>
      <c r="CR9" s="254"/>
      <c r="CS9" s="251"/>
      <c r="CT9" s="253" t="s">
        <v>90</v>
      </c>
      <c r="CU9" s="254"/>
      <c r="CV9" s="251"/>
      <c r="CW9" s="253" t="s">
        <v>91</v>
      </c>
      <c r="CX9" s="254"/>
      <c r="CY9" s="251"/>
      <c r="CZ9" s="253" t="s">
        <v>92</v>
      </c>
      <c r="DA9" s="254"/>
      <c r="DB9" s="251"/>
      <c r="DC9" s="253" t="s">
        <v>93</v>
      </c>
      <c r="DD9" s="254"/>
      <c r="DE9" s="251"/>
      <c r="DF9" s="253" t="s">
        <v>94</v>
      </c>
      <c r="DG9" s="254"/>
      <c r="DH9" s="251"/>
      <c r="DI9" s="253" t="s">
        <v>95</v>
      </c>
      <c r="DJ9" s="254"/>
      <c r="DK9" s="251"/>
      <c r="DL9" s="253" t="s">
        <v>96</v>
      </c>
      <c r="DM9" s="254"/>
      <c r="DN9" s="251"/>
      <c r="DO9" s="253" t="s">
        <v>97</v>
      </c>
      <c r="DP9" s="254"/>
      <c r="DQ9" s="251"/>
      <c r="DR9" s="253" t="s">
        <v>98</v>
      </c>
      <c r="DS9" s="254"/>
      <c r="DT9" s="251"/>
      <c r="DU9" s="253" t="s">
        <v>99</v>
      </c>
      <c r="DV9" s="254"/>
      <c r="DW9" s="251"/>
      <c r="DX9" s="272" t="s">
        <v>100</v>
      </c>
      <c r="DY9" s="254"/>
      <c r="DZ9" s="251"/>
      <c r="EA9" s="174"/>
      <c r="EB9" s="191" t="s">
        <v>101</v>
      </c>
      <c r="EC9" s="191" t="s">
        <v>102</v>
      </c>
      <c r="ED9" s="252" t="s">
        <v>103</v>
      </c>
      <c r="EE9" s="252" t="s">
        <v>104</v>
      </c>
      <c r="EG9" s="270" t="s">
        <v>105</v>
      </c>
      <c r="EH9" s="252" t="s">
        <v>103</v>
      </c>
      <c r="EI9" s="252" t="s">
        <v>104</v>
      </c>
      <c r="EJ9" s="252"/>
      <c r="EK9" s="270" t="s">
        <v>57</v>
      </c>
      <c r="EL9" s="270" t="s">
        <v>57</v>
      </c>
      <c r="EM9" s="252" t="s">
        <v>103</v>
      </c>
      <c r="EN9" s="252" t="s">
        <v>104</v>
      </c>
    </row>
    <row r="10" spans="1:147" x14ac:dyDescent="0.25">
      <c r="A10" s="252" t="s">
        <v>106</v>
      </c>
      <c r="B10" s="273" t="s">
        <v>107</v>
      </c>
      <c r="C10" s="274" t="s">
        <v>108</v>
      </c>
      <c r="D10" s="275" t="s">
        <v>12</v>
      </c>
      <c r="E10" s="273" t="s">
        <v>107</v>
      </c>
      <c r="F10" s="274" t="s">
        <v>108</v>
      </c>
      <c r="G10" s="275" t="s">
        <v>12</v>
      </c>
      <c r="H10" s="273" t="s">
        <v>107</v>
      </c>
      <c r="I10" s="274" t="s">
        <v>108</v>
      </c>
      <c r="J10" s="275" t="s">
        <v>12</v>
      </c>
      <c r="K10" s="273" t="s">
        <v>107</v>
      </c>
      <c r="L10" s="274" t="s">
        <v>108</v>
      </c>
      <c r="M10" s="275" t="s">
        <v>12</v>
      </c>
      <c r="N10" s="273" t="s">
        <v>107</v>
      </c>
      <c r="O10" s="274" t="s">
        <v>108</v>
      </c>
      <c r="P10" s="275" t="s">
        <v>12</v>
      </c>
      <c r="Q10" s="273" t="s">
        <v>107</v>
      </c>
      <c r="R10" s="274" t="s">
        <v>108</v>
      </c>
      <c r="S10" s="275" t="s">
        <v>12</v>
      </c>
      <c r="T10" s="273" t="s">
        <v>107</v>
      </c>
      <c r="U10" s="274" t="s">
        <v>108</v>
      </c>
      <c r="V10" s="275" t="s">
        <v>12</v>
      </c>
      <c r="W10" s="273" t="s">
        <v>107</v>
      </c>
      <c r="X10" s="274" t="s">
        <v>108</v>
      </c>
      <c r="Y10" s="275" t="s">
        <v>12</v>
      </c>
      <c r="Z10" s="273" t="s">
        <v>107</v>
      </c>
      <c r="AA10" s="274" t="s">
        <v>108</v>
      </c>
      <c r="AB10" s="275" t="s">
        <v>12</v>
      </c>
      <c r="AC10" s="273" t="s">
        <v>107</v>
      </c>
      <c r="AD10" s="274" t="s">
        <v>108</v>
      </c>
      <c r="AE10" s="275" t="s">
        <v>12</v>
      </c>
      <c r="AF10" s="273" t="s">
        <v>107</v>
      </c>
      <c r="AG10" s="274" t="s">
        <v>108</v>
      </c>
      <c r="AH10" s="275" t="s">
        <v>12</v>
      </c>
      <c r="AI10" s="273" t="s">
        <v>107</v>
      </c>
      <c r="AJ10" s="274" t="s">
        <v>108</v>
      </c>
      <c r="AK10" s="275" t="s">
        <v>12</v>
      </c>
      <c r="AL10" s="273" t="s">
        <v>107</v>
      </c>
      <c r="AM10" s="274" t="s">
        <v>108</v>
      </c>
      <c r="AN10" s="275" t="s">
        <v>12</v>
      </c>
      <c r="AO10" s="273" t="s">
        <v>107</v>
      </c>
      <c r="AP10" s="274" t="s">
        <v>108</v>
      </c>
      <c r="AQ10" s="275" t="s">
        <v>12</v>
      </c>
      <c r="AR10" s="273" t="s">
        <v>107</v>
      </c>
      <c r="AS10" s="274" t="s">
        <v>108</v>
      </c>
      <c r="AT10" s="275" t="s">
        <v>12</v>
      </c>
      <c r="AU10" s="273" t="s">
        <v>107</v>
      </c>
      <c r="AV10" s="274" t="s">
        <v>108</v>
      </c>
      <c r="AW10" s="275" t="s">
        <v>12</v>
      </c>
      <c r="AX10" s="273" t="s">
        <v>107</v>
      </c>
      <c r="AY10" s="274" t="s">
        <v>108</v>
      </c>
      <c r="AZ10" s="275" t="s">
        <v>12</v>
      </c>
      <c r="BA10" s="273" t="s">
        <v>107</v>
      </c>
      <c r="BB10" s="274" t="s">
        <v>108</v>
      </c>
      <c r="BC10" s="275" t="s">
        <v>12</v>
      </c>
      <c r="BD10" s="273" t="s">
        <v>107</v>
      </c>
      <c r="BE10" s="274" t="s">
        <v>108</v>
      </c>
      <c r="BF10" s="275" t="s">
        <v>12</v>
      </c>
      <c r="BG10" s="273" t="s">
        <v>107</v>
      </c>
      <c r="BH10" s="274" t="s">
        <v>108</v>
      </c>
      <c r="BI10" s="275" t="s">
        <v>12</v>
      </c>
      <c r="BJ10" s="273" t="s">
        <v>107</v>
      </c>
      <c r="BK10" s="274" t="s">
        <v>108</v>
      </c>
      <c r="BL10" s="275" t="s">
        <v>12</v>
      </c>
      <c r="BM10" s="273" t="s">
        <v>107</v>
      </c>
      <c r="BN10" s="274" t="s">
        <v>108</v>
      </c>
      <c r="BO10" s="275" t="s">
        <v>12</v>
      </c>
      <c r="BP10" s="273" t="s">
        <v>107</v>
      </c>
      <c r="BQ10" s="274" t="s">
        <v>108</v>
      </c>
      <c r="BR10" s="275" t="s">
        <v>12</v>
      </c>
      <c r="BS10" s="273" t="s">
        <v>107</v>
      </c>
      <c r="BT10" s="274" t="s">
        <v>108</v>
      </c>
      <c r="BU10" s="275" t="s">
        <v>12</v>
      </c>
      <c r="BV10" s="273" t="s">
        <v>107</v>
      </c>
      <c r="BW10" s="274" t="s">
        <v>108</v>
      </c>
      <c r="BX10" s="275" t="s">
        <v>12</v>
      </c>
      <c r="BY10" s="273" t="s">
        <v>107</v>
      </c>
      <c r="BZ10" s="274" t="s">
        <v>108</v>
      </c>
      <c r="CA10" s="275" t="s">
        <v>12</v>
      </c>
      <c r="CB10" s="273" t="s">
        <v>107</v>
      </c>
      <c r="CC10" s="274" t="s">
        <v>108</v>
      </c>
      <c r="CD10" s="275" t="s">
        <v>12</v>
      </c>
      <c r="CE10" s="273" t="s">
        <v>107</v>
      </c>
      <c r="CF10" s="274" t="s">
        <v>108</v>
      </c>
      <c r="CG10" s="275" t="s">
        <v>12</v>
      </c>
      <c r="CH10" s="273" t="s">
        <v>107</v>
      </c>
      <c r="CI10" s="274" t="s">
        <v>108</v>
      </c>
      <c r="CJ10" s="275" t="s">
        <v>12</v>
      </c>
      <c r="CK10" s="273" t="s">
        <v>107</v>
      </c>
      <c r="CL10" s="274" t="s">
        <v>108</v>
      </c>
      <c r="CM10" s="275" t="s">
        <v>12</v>
      </c>
      <c r="CN10" s="273" t="s">
        <v>107</v>
      </c>
      <c r="CO10" s="274" t="s">
        <v>108</v>
      </c>
      <c r="CP10" s="275" t="s">
        <v>12</v>
      </c>
      <c r="CQ10" s="273" t="s">
        <v>107</v>
      </c>
      <c r="CR10" s="274" t="s">
        <v>108</v>
      </c>
      <c r="CS10" s="275" t="s">
        <v>12</v>
      </c>
      <c r="CT10" s="273" t="s">
        <v>107</v>
      </c>
      <c r="CU10" s="274" t="s">
        <v>108</v>
      </c>
      <c r="CV10" s="275" t="s">
        <v>12</v>
      </c>
      <c r="CW10" s="273" t="s">
        <v>107</v>
      </c>
      <c r="CX10" s="274" t="s">
        <v>108</v>
      </c>
      <c r="CY10" s="275" t="s">
        <v>12</v>
      </c>
      <c r="CZ10" s="273" t="s">
        <v>107</v>
      </c>
      <c r="DA10" s="274" t="s">
        <v>108</v>
      </c>
      <c r="DB10" s="275" t="s">
        <v>12</v>
      </c>
      <c r="DC10" s="273" t="s">
        <v>107</v>
      </c>
      <c r="DD10" s="274" t="s">
        <v>108</v>
      </c>
      <c r="DE10" s="275" t="s">
        <v>12</v>
      </c>
      <c r="DF10" s="273" t="s">
        <v>107</v>
      </c>
      <c r="DG10" s="274" t="s">
        <v>108</v>
      </c>
      <c r="DH10" s="275" t="s">
        <v>12</v>
      </c>
      <c r="DI10" s="273" t="s">
        <v>107</v>
      </c>
      <c r="DJ10" s="274" t="s">
        <v>108</v>
      </c>
      <c r="DK10" s="275" t="s">
        <v>12</v>
      </c>
      <c r="DL10" s="273" t="s">
        <v>107</v>
      </c>
      <c r="DM10" s="274" t="s">
        <v>108</v>
      </c>
      <c r="DN10" s="275" t="s">
        <v>12</v>
      </c>
      <c r="DO10" s="273" t="s">
        <v>107</v>
      </c>
      <c r="DP10" s="274" t="s">
        <v>108</v>
      </c>
      <c r="DQ10" s="275" t="s">
        <v>12</v>
      </c>
      <c r="DR10" s="273" t="s">
        <v>107</v>
      </c>
      <c r="DS10" s="274" t="s">
        <v>108</v>
      </c>
      <c r="DT10" s="275" t="s">
        <v>12</v>
      </c>
      <c r="DU10" s="273" t="s">
        <v>107</v>
      </c>
      <c r="DV10" s="274" t="s">
        <v>108</v>
      </c>
      <c r="DW10" s="275" t="s">
        <v>12</v>
      </c>
      <c r="DX10" s="273" t="s">
        <v>107</v>
      </c>
      <c r="DY10" s="274"/>
      <c r="DZ10" s="275"/>
      <c r="EA10" s="275"/>
      <c r="EB10" s="275" t="s">
        <v>109</v>
      </c>
      <c r="EC10" s="275" t="s">
        <v>109</v>
      </c>
      <c r="ED10" s="275" t="s">
        <v>12</v>
      </c>
      <c r="EE10" s="275" t="s">
        <v>108</v>
      </c>
      <c r="EG10" s="275" t="s">
        <v>109</v>
      </c>
      <c r="EH10" s="275" t="s">
        <v>12</v>
      </c>
      <c r="EI10" s="275" t="s">
        <v>108</v>
      </c>
      <c r="EJ10" s="275"/>
      <c r="EK10" s="275" t="s">
        <v>109</v>
      </c>
      <c r="EL10" s="275" t="s">
        <v>109</v>
      </c>
      <c r="EM10" s="275" t="s">
        <v>12</v>
      </c>
      <c r="EN10" s="275" t="s">
        <v>108</v>
      </c>
    </row>
    <row r="11" spans="1:147" x14ac:dyDescent="0.25">
      <c r="A11" s="255">
        <v>45839</v>
      </c>
      <c r="B11" s="241">
        <v>0</v>
      </c>
      <c r="C11" s="242">
        <v>4.6371219999999998E-2</v>
      </c>
      <c r="D11" s="241">
        <f>(B11*C11)/360</f>
        <v>0</v>
      </c>
      <c r="G11" s="241">
        <f>(E11*F11)/360</f>
        <v>0</v>
      </c>
      <c r="J11" s="241">
        <f>(H11*I11)/360</f>
        <v>0</v>
      </c>
      <c r="M11" s="241">
        <f>(K11*L11)/360</f>
        <v>0</v>
      </c>
      <c r="P11" s="241">
        <f>(N11*O11)/360</f>
        <v>0</v>
      </c>
      <c r="S11" s="241">
        <f>(Q11*R11)/360</f>
        <v>0</v>
      </c>
      <c r="V11" s="241">
        <f>(T11*U11)/360</f>
        <v>0</v>
      </c>
      <c r="Y11" s="241">
        <f>(W11*X11)/360</f>
        <v>0</v>
      </c>
      <c r="AB11" s="241">
        <f>(Z11*AA11)/360</f>
        <v>0</v>
      </c>
      <c r="AE11" s="241">
        <v>0</v>
      </c>
      <c r="AH11" s="241">
        <v>0</v>
      </c>
      <c r="AI11" s="256">
        <f>38375000</f>
        <v>38375000</v>
      </c>
      <c r="AJ11" s="257">
        <v>4.5100000000000001E-2</v>
      </c>
      <c r="AK11" s="241">
        <f>(AI11*AJ11)/360</f>
        <v>4807.5347222222226</v>
      </c>
      <c r="AL11" s="256">
        <f>35000000+40000000+40000000+30000000+20000000</f>
        <v>165000000</v>
      </c>
      <c r="AM11" s="257">
        <v>4.65E-2</v>
      </c>
      <c r="AN11" s="241">
        <f>(AL11*AM11)/360</f>
        <v>21312.5</v>
      </c>
      <c r="AO11" s="256">
        <f t="shared" ref="AO11:AO40" si="0">7129000+72871000</f>
        <v>80000000</v>
      </c>
      <c r="AP11" s="257">
        <v>4.6300000000000001E-2</v>
      </c>
      <c r="AQ11" s="241">
        <f>(AO11*AP11)/360</f>
        <v>10288.888888888889</v>
      </c>
      <c r="AR11" s="256">
        <f t="shared" ref="AR11:AR16" si="1">20000000+20000000</f>
        <v>40000000</v>
      </c>
      <c r="AS11" s="257">
        <v>4.6300000000000001E-2</v>
      </c>
      <c r="AT11" s="241">
        <f>(AR11*AS11)/360</f>
        <v>5144.4444444444443</v>
      </c>
      <c r="AW11" s="241">
        <f>(AU11*AV11)/360</f>
        <v>0</v>
      </c>
      <c r="AZ11" s="241">
        <f>(AX11*AY11)/360</f>
        <v>0</v>
      </c>
      <c r="BC11" s="241">
        <f>(BA11*BB11)/360</f>
        <v>0</v>
      </c>
      <c r="BF11" s="241">
        <f>(BD11*BE11)/360</f>
        <v>0</v>
      </c>
      <c r="BI11" s="241">
        <f>(BG11*BH11)/360</f>
        <v>0</v>
      </c>
      <c r="BL11" s="241">
        <f>(BJ11*BK11)/360</f>
        <v>0</v>
      </c>
      <c r="BO11" s="241">
        <f>(BM11*BN11)/360</f>
        <v>0</v>
      </c>
      <c r="BR11" s="241">
        <f>(BP11*BQ11)/360</f>
        <v>0</v>
      </c>
      <c r="BU11" s="241">
        <f>(BS11*BT11)/360</f>
        <v>0</v>
      </c>
      <c r="BX11" s="241">
        <f>(BV11*BW11)/360</f>
        <v>0</v>
      </c>
      <c r="CA11" s="241">
        <f>(BY11*BZ11)/360</f>
        <v>0</v>
      </c>
      <c r="CD11" s="241">
        <f>(CB11*CC11)/360</f>
        <v>0</v>
      </c>
      <c r="CG11" s="241">
        <f>(CE11*CF11)/360</f>
        <v>0</v>
      </c>
      <c r="CJ11" s="241">
        <f>(CH11*CI11)/360</f>
        <v>0</v>
      </c>
      <c r="CM11" s="241">
        <f>(CK11*CL11)/360</f>
        <v>0</v>
      </c>
      <c r="CP11" s="241">
        <f>(CN11*CO11)/360</f>
        <v>0</v>
      </c>
      <c r="CS11" s="241">
        <f>(CQ11*CR11)/360</f>
        <v>0</v>
      </c>
      <c r="CV11" s="241">
        <f>(CT11*CU11)/360</f>
        <v>0</v>
      </c>
      <c r="CY11" s="241">
        <f>(CW11*CX11)/360</f>
        <v>0</v>
      </c>
      <c r="DB11" s="241">
        <f>(CZ11*DA11)/360</f>
        <v>0</v>
      </c>
      <c r="DE11" s="241">
        <f>(DC11*DD11)/360</f>
        <v>0</v>
      </c>
      <c r="DH11" s="241">
        <f>(DF11*DG11)/360</f>
        <v>0</v>
      </c>
      <c r="DK11" s="241">
        <f>(DI11*DJ11)/360</f>
        <v>0</v>
      </c>
      <c r="DN11" s="241">
        <f>(DL11*DM11)/360</f>
        <v>0</v>
      </c>
      <c r="DQ11" s="241">
        <f>(DO11*DP11)/360</f>
        <v>0</v>
      </c>
      <c r="DT11" s="241">
        <f>(DR11*DS11)/360</f>
        <v>0</v>
      </c>
      <c r="DW11" s="241">
        <f>(DU11*DV11)/360</f>
        <v>0</v>
      </c>
      <c r="DZ11" s="241"/>
      <c r="EA11" s="241"/>
      <c r="EB11" s="261">
        <f>B11+E11+H11+K11+N11+Q11+T11+W11+Z11+AC11+AF11+AL11+AO11+AR11+AU11+AX11+BA11+BD11+BG11+DU11+AI11+DR11+DO11+DL11+DI11+DF11+DC11+CZ11+CW11+CT11+CQ11+CN11+CK11+CH11+CE11+CB11+BY11+BV11+BS11+BP11+BM11+BJ11</f>
        <v>323375000</v>
      </c>
      <c r="EC11" s="261">
        <f>EB11-EK11+EL11</f>
        <v>0</v>
      </c>
      <c r="ED11" s="241">
        <f>D11+G11+J11+M11+P11+S11+V11+Y11+AB11+AE11+AH11+AK11+AN11+AQ11+AT11+AW11+AZ11+BC11+BF11+BI11+DW11+DT11+DQ11+DN11+DK11+DH11+DE11+DB11+CY11+CV11+CS11+CP11+CM11+CJ11+CG11+CD11+CA11+BX11+BU11+BR11+BO11+BL11</f>
        <v>41553.368055555555</v>
      </c>
      <c r="EE11" s="242">
        <f>IF(EB11&lt;&gt;0,((ED11/EB11)*360),0)</f>
        <v>4.625964437572478E-2</v>
      </c>
      <c r="EG11" s="261">
        <f>Q11+T11+W11+Z11+AC11+AF11</f>
        <v>0</v>
      </c>
      <c r="EH11" s="241">
        <f>S11+V11+Y11+AB11+AE11+AH11</f>
        <v>0</v>
      </c>
      <c r="EI11" s="242">
        <f>IF(EG11&lt;&gt;0,((EH11/EG11)*360),0)</f>
        <v>0</v>
      </c>
      <c r="EJ11" s="242"/>
      <c r="EK11" s="261">
        <f>DR11+DL11+DI11+DF11+DC11+CZ11+CW11+CT11+CQ11+CN11+CK11+CH11+CE11+CB11+BY11+BV11+BS11+BP11+BM11+BJ11+BG11+BD11+BA11+AX11+AU11+AR11+AO11+AL11+AI11+DO11</f>
        <v>323375000</v>
      </c>
      <c r="EL11" s="261">
        <f>DX11</f>
        <v>0</v>
      </c>
      <c r="EM11" s="261">
        <f>DT11+DQ11+DN11+DK11+DH11+DE11+DB11+CY11+CV11+CS11+CP11+CM11+CJ11+CG11+CD11+CA11+BX11+BU11+BR11+BO11+BL11+BI11+BF11+BC11+AZ11+AW11+AT11+AQ11+AN11+AK11</f>
        <v>41553.368055555547</v>
      </c>
      <c r="EN11" s="242">
        <f>IF(EK11&lt;&gt;0,((EM11/EK11)*360),0)</f>
        <v>4.6259644375724766E-2</v>
      </c>
      <c r="EP11" s="241"/>
    </row>
    <row r="12" spans="1:147" x14ac:dyDescent="0.25">
      <c r="A12" s="255">
        <f>1+A11</f>
        <v>45840</v>
      </c>
      <c r="B12" s="241">
        <v>0</v>
      </c>
      <c r="C12" s="242">
        <v>4.6375159999999999E-2</v>
      </c>
      <c r="D12" s="241">
        <f t="shared" ref="D12:D41" si="2">(B12*C12)/360</f>
        <v>0</v>
      </c>
      <c r="G12" s="241">
        <f t="shared" ref="G12:G41" si="3">(E12*F12)/360</f>
        <v>0</v>
      </c>
      <c r="J12" s="241">
        <f t="shared" ref="J12:J41" si="4">(H12*I12)/360</f>
        <v>0</v>
      </c>
      <c r="M12" s="241">
        <f t="shared" ref="M12:M41" si="5">(K12*L12)/360</f>
        <v>0</v>
      </c>
      <c r="P12" s="241">
        <f t="shared" ref="P12:P41" si="6">(N12*O12)/360</f>
        <v>0</v>
      </c>
      <c r="S12" s="241">
        <f t="shared" ref="S12:S41" si="7">(Q12*R12)/360</f>
        <v>0</v>
      </c>
      <c r="V12" s="241">
        <f t="shared" ref="V12:V41" si="8">(T12*U12)/360</f>
        <v>0</v>
      </c>
      <c r="Y12" s="241">
        <f t="shared" ref="Y12:Y41" si="9">(W12*X12)/360</f>
        <v>0</v>
      </c>
      <c r="AB12" s="241">
        <f t="shared" ref="AB12:AB41" si="10">(Z12*AA12)/360</f>
        <v>0</v>
      </c>
      <c r="AE12" s="241">
        <v>0</v>
      </c>
      <c r="AH12" s="241">
        <v>0</v>
      </c>
      <c r="AI12" s="256">
        <f>84125000</f>
        <v>84125000</v>
      </c>
      <c r="AJ12" s="257">
        <v>4.5100000000000001E-2</v>
      </c>
      <c r="AK12" s="241">
        <f t="shared" ref="AK12:AK41" si="11">(AI12*AJ12)/360</f>
        <v>10538.993055555555</v>
      </c>
      <c r="AL12" s="256">
        <f>35000000+40000000+40000000</f>
        <v>115000000</v>
      </c>
      <c r="AM12" s="257">
        <v>4.65E-2</v>
      </c>
      <c r="AN12" s="241">
        <f t="shared" ref="AN12:AN41" si="12">(AL12*AM12)/360</f>
        <v>14854.166666666666</v>
      </c>
      <c r="AO12" s="256">
        <f t="shared" si="0"/>
        <v>80000000</v>
      </c>
      <c r="AP12" s="257">
        <v>4.6300000000000001E-2</v>
      </c>
      <c r="AQ12" s="241">
        <f t="shared" ref="AQ12:AQ41" si="13">(AO12*AP12)/360</f>
        <v>10288.888888888889</v>
      </c>
      <c r="AR12" s="256">
        <f t="shared" si="1"/>
        <v>40000000</v>
      </c>
      <c r="AS12" s="257">
        <v>4.6300000000000001E-2</v>
      </c>
      <c r="AT12" s="241">
        <f t="shared" ref="AT12:AT41" si="14">(AR12*AS12)/360</f>
        <v>5144.4444444444443</v>
      </c>
      <c r="AW12" s="241">
        <f t="shared" ref="AW12:AW41" si="15">(AU12*AV12)/360</f>
        <v>0</v>
      </c>
      <c r="AZ12" s="241">
        <f t="shared" ref="AZ12:AZ41" si="16">(AX12*AY12)/360</f>
        <v>0</v>
      </c>
      <c r="BC12" s="241">
        <f t="shared" ref="BC12:BC41" si="17">(BA12*BB12)/360</f>
        <v>0</v>
      </c>
      <c r="BF12" s="241">
        <f t="shared" ref="BF12:BF41" si="18">(BD12*BE12)/360</f>
        <v>0</v>
      </c>
      <c r="BI12" s="241">
        <f t="shared" ref="BI12:BI41" si="19">(BG12*BH12)/360</f>
        <v>0</v>
      </c>
      <c r="BL12" s="241">
        <f t="shared" ref="BL12:BL41" si="20">(BJ12*BK12)/360</f>
        <v>0</v>
      </c>
      <c r="BO12" s="241">
        <f t="shared" ref="BO12:BO41" si="21">(BM12*BN12)/360</f>
        <v>0</v>
      </c>
      <c r="BR12" s="241">
        <f t="shared" ref="BR12:BR41" si="22">(BP12*BQ12)/360</f>
        <v>0</v>
      </c>
      <c r="BU12" s="241">
        <f t="shared" ref="BU12:BU41" si="23">(BS12*BT12)/360</f>
        <v>0</v>
      </c>
      <c r="BX12" s="241">
        <f t="shared" ref="BX12:BX41" si="24">(BV12*BW12)/360</f>
        <v>0</v>
      </c>
      <c r="CA12" s="241">
        <f t="shared" ref="CA12:CA41" si="25">(BY12*BZ12)/360</f>
        <v>0</v>
      </c>
      <c r="CD12" s="241">
        <f t="shared" ref="CD12:CD41" si="26">(CB12*CC12)/360</f>
        <v>0</v>
      </c>
      <c r="CG12" s="241">
        <f t="shared" ref="CG12:CG41" si="27">(CE12*CF12)/360</f>
        <v>0</v>
      </c>
      <c r="CJ12" s="241">
        <f t="shared" ref="CJ12:CJ41" si="28">(CH12*CI12)/360</f>
        <v>0</v>
      </c>
      <c r="CM12" s="241">
        <f t="shared" ref="CM12:CM41" si="29">(CK12*CL12)/360</f>
        <v>0</v>
      </c>
      <c r="CP12" s="241">
        <f t="shared" ref="CP12:CP41" si="30">(CN12*CO12)/360</f>
        <v>0</v>
      </c>
      <c r="CS12" s="241">
        <f t="shared" ref="CS12:CS41" si="31">(CQ12*CR12)/360</f>
        <v>0</v>
      </c>
      <c r="CV12" s="241">
        <f t="shared" ref="CV12:CV41" si="32">(CT12*CU12)/360</f>
        <v>0</v>
      </c>
      <c r="CY12" s="241">
        <f t="shared" ref="CY12:CY41" si="33">(CW12*CX12)/360</f>
        <v>0</v>
      </c>
      <c r="DB12" s="241">
        <f t="shared" ref="DB12:DB41" si="34">(CZ12*DA12)/360</f>
        <v>0</v>
      </c>
      <c r="DE12" s="241">
        <f t="shared" ref="DE12:DE41" si="35">(DC12*DD12)/360</f>
        <v>0</v>
      </c>
      <c r="DH12" s="241">
        <f t="shared" ref="DH12:DH41" si="36">(DF12*DG12)/360</f>
        <v>0</v>
      </c>
      <c r="DK12" s="241">
        <f t="shared" ref="DK12:DK41" si="37">(DI12*DJ12)/360</f>
        <v>0</v>
      </c>
      <c r="DN12" s="241">
        <f t="shared" ref="DN12:DN41" si="38">(DL12*DM12)/360</f>
        <v>0</v>
      </c>
      <c r="DQ12" s="241">
        <f t="shared" ref="DQ12:DQ41" si="39">(DO12*DP12)/360</f>
        <v>0</v>
      </c>
      <c r="DT12" s="241">
        <f t="shared" ref="DT12:DT41" si="40">(DR12*DS12)/360</f>
        <v>0</v>
      </c>
      <c r="DW12" s="241">
        <f t="shared" ref="DW12:DW41" si="41">(DU12*DV12)/360</f>
        <v>0</v>
      </c>
      <c r="DZ12" s="241"/>
      <c r="EA12" s="241"/>
      <c r="EB12" s="261">
        <f t="shared" ref="EB12:EB41" si="42">B12+E12+H12+K12+N12+Q12+T12+W12+Z12+AC12+AF12+AL12+AO12+AR12+AU12+AX12+BA12+BD12+BG12+DU12+AI12+DR12+DO12+DL12+DI12+DF12+DC12+CZ12+CW12+CT12+CQ12+CN12+CK12+CH12+CE12+CB12+BY12+BV12+BS12+BP12+BM12+BJ12</f>
        <v>319125000</v>
      </c>
      <c r="EC12" s="261">
        <f t="shared" ref="EC12:EC41" si="43">EB12-EK12+EL12</f>
        <v>0</v>
      </c>
      <c r="ED12" s="241">
        <f t="shared" ref="ED12:ED41" si="44">D12+G12+J12+M12+P12+S12+V12+Y12+AB12+AE12+AH12+AK12+AN12+AQ12+AT12+AW12+AZ12+BC12+BF12+BI12+DW12+DT12+DQ12+DN12+DK12+DH12+DE12+DB12+CY12+CV12+CS12+CP12+CM12+CJ12+CG12+CD12+CA12+BX12+BU12+BR12+BO12+BL12</f>
        <v>40826.493055555555</v>
      </c>
      <c r="EE12" s="242">
        <f t="shared" ref="EE12:EE41" si="45">IF(EB12&lt;&gt;0,((ED12/EB12)*360),0)</f>
        <v>4.6055738347042692E-2</v>
      </c>
      <c r="EG12" s="261">
        <f t="shared" ref="EG12:EG41" si="46">Q12+T12+W12+Z12+AC12+AF12</f>
        <v>0</v>
      </c>
      <c r="EH12" s="241">
        <f t="shared" ref="EH12:EH41" si="47">S12+V12+Y12+AB12+AE12+AH12</f>
        <v>0</v>
      </c>
      <c r="EI12" s="242">
        <f t="shared" ref="EI12:EI41" si="48">IF(EG12&lt;&gt;0,((EH12/EG12)*360),0)</f>
        <v>0</v>
      </c>
      <c r="EJ12" s="242"/>
      <c r="EK12" s="261">
        <f t="shared" ref="EK12:EK41" si="49">DR12+DL12+DI12+DF12+DC12+CZ12+CW12+CT12+CQ12+CN12+CK12+CH12+CE12+CB12+BY12+BV12+BS12+BP12+BM12+BJ12+BG12+BD12+BA12+AX12+AU12+AR12+AO12+AL12+AI12+DO12</f>
        <v>319125000</v>
      </c>
      <c r="EL12" s="261">
        <f t="shared" ref="EL12:EL41" si="50">DX12</f>
        <v>0</v>
      </c>
      <c r="EM12" s="261">
        <f t="shared" ref="EM12:EM41" si="51">DT12+DQ12+DN12+DK12+DH12+DE12+DB12+CY12+CV12+CS12+CP12+CM12+CJ12+CG12+CD12+CA12+BX12+BU12+BR12+BO12+BL12+BI12+BF12+BC12+AZ12+AW12+AT12+AQ12+AN12+AK12</f>
        <v>40826.493055555555</v>
      </c>
      <c r="EN12" s="242">
        <f t="shared" ref="EN12:EN41" si="52">IF(EK12&lt;&gt;0,((EM12/EK12)*360),0)</f>
        <v>4.6055738347042692E-2</v>
      </c>
      <c r="EP12" s="241"/>
    </row>
    <row r="13" spans="1:147" x14ac:dyDescent="0.25">
      <c r="A13" s="255">
        <f t="shared" ref="A13:A41" si="53">1+A12</f>
        <v>45841</v>
      </c>
      <c r="B13" s="241">
        <v>0</v>
      </c>
      <c r="C13" s="242">
        <v>4.6364450000000001E-2</v>
      </c>
      <c r="D13" s="241">
        <f t="shared" si="2"/>
        <v>0</v>
      </c>
      <c r="G13" s="241">
        <f t="shared" si="3"/>
        <v>0</v>
      </c>
      <c r="J13" s="241">
        <f t="shared" si="4"/>
        <v>0</v>
      </c>
      <c r="M13" s="241">
        <f t="shared" si="5"/>
        <v>0</v>
      </c>
      <c r="P13" s="241">
        <f t="shared" si="6"/>
        <v>0</v>
      </c>
      <c r="S13" s="241">
        <f t="shared" si="7"/>
        <v>0</v>
      </c>
      <c r="V13" s="241">
        <f t="shared" si="8"/>
        <v>0</v>
      </c>
      <c r="Y13" s="241">
        <f t="shared" si="9"/>
        <v>0</v>
      </c>
      <c r="AB13" s="241">
        <f t="shared" si="10"/>
        <v>0</v>
      </c>
      <c r="AE13" s="241">
        <v>0</v>
      </c>
      <c r="AH13" s="241">
        <v>0</v>
      </c>
      <c r="AI13" s="256">
        <f>17400000+80000000</f>
        <v>97400000</v>
      </c>
      <c r="AJ13" s="257">
        <v>4.5100000000000001E-2</v>
      </c>
      <c r="AK13" s="241">
        <f t="shared" si="11"/>
        <v>12202.055555555555</v>
      </c>
      <c r="AL13" s="256">
        <f>35000000+40000000+40000000</f>
        <v>115000000</v>
      </c>
      <c r="AM13" s="257">
        <v>4.65E-2</v>
      </c>
      <c r="AN13" s="241">
        <f t="shared" si="12"/>
        <v>14854.166666666666</v>
      </c>
      <c r="AO13" s="256">
        <f t="shared" si="0"/>
        <v>80000000</v>
      </c>
      <c r="AP13" s="257">
        <v>4.6300000000000001E-2</v>
      </c>
      <c r="AQ13" s="241">
        <f t="shared" si="13"/>
        <v>10288.888888888889</v>
      </c>
      <c r="AR13" s="256">
        <f t="shared" si="1"/>
        <v>40000000</v>
      </c>
      <c r="AS13" s="257">
        <v>4.6300000000000001E-2</v>
      </c>
      <c r="AT13" s="241">
        <f t="shared" si="14"/>
        <v>5144.4444444444443</v>
      </c>
      <c r="AW13" s="241">
        <f t="shared" si="15"/>
        <v>0</v>
      </c>
      <c r="AZ13" s="241">
        <f t="shared" si="16"/>
        <v>0</v>
      </c>
      <c r="BC13" s="241">
        <f t="shared" si="17"/>
        <v>0</v>
      </c>
      <c r="BF13" s="241">
        <f t="shared" si="18"/>
        <v>0</v>
      </c>
      <c r="BI13" s="241">
        <f t="shared" si="19"/>
        <v>0</v>
      </c>
      <c r="BL13" s="241">
        <f t="shared" si="20"/>
        <v>0</v>
      </c>
      <c r="BO13" s="241">
        <f t="shared" si="21"/>
        <v>0</v>
      </c>
      <c r="BR13" s="241">
        <f t="shared" si="22"/>
        <v>0</v>
      </c>
      <c r="BU13" s="241">
        <f t="shared" si="23"/>
        <v>0</v>
      </c>
      <c r="BX13" s="241">
        <f t="shared" si="24"/>
        <v>0</v>
      </c>
      <c r="CA13" s="241">
        <f t="shared" si="25"/>
        <v>0</v>
      </c>
      <c r="CD13" s="241">
        <f t="shared" si="26"/>
        <v>0</v>
      </c>
      <c r="CG13" s="241">
        <f t="shared" si="27"/>
        <v>0</v>
      </c>
      <c r="CJ13" s="241">
        <f t="shared" si="28"/>
        <v>0</v>
      </c>
      <c r="CM13" s="241">
        <f t="shared" si="29"/>
        <v>0</v>
      </c>
      <c r="CP13" s="241">
        <f t="shared" si="30"/>
        <v>0</v>
      </c>
      <c r="CS13" s="241">
        <f t="shared" si="31"/>
        <v>0</v>
      </c>
      <c r="CV13" s="241">
        <f t="shared" si="32"/>
        <v>0</v>
      </c>
      <c r="CY13" s="241">
        <f t="shared" si="33"/>
        <v>0</v>
      </c>
      <c r="DB13" s="241">
        <f t="shared" si="34"/>
        <v>0</v>
      </c>
      <c r="DE13" s="241">
        <f t="shared" si="35"/>
        <v>0</v>
      </c>
      <c r="DH13" s="241">
        <f t="shared" si="36"/>
        <v>0</v>
      </c>
      <c r="DK13" s="241">
        <f t="shared" si="37"/>
        <v>0</v>
      </c>
      <c r="DN13" s="241">
        <f t="shared" si="38"/>
        <v>0</v>
      </c>
      <c r="DQ13" s="241">
        <f t="shared" si="39"/>
        <v>0</v>
      </c>
      <c r="DT13" s="241">
        <f t="shared" si="40"/>
        <v>0</v>
      </c>
      <c r="DW13" s="241">
        <f t="shared" si="41"/>
        <v>0</v>
      </c>
      <c r="DZ13" s="241"/>
      <c r="EA13" s="241"/>
      <c r="EB13" s="261">
        <f t="shared" si="42"/>
        <v>332400000</v>
      </c>
      <c r="EC13" s="261">
        <f t="shared" si="43"/>
        <v>0</v>
      </c>
      <c r="ED13" s="241">
        <f t="shared" si="44"/>
        <v>42489.555555555555</v>
      </c>
      <c r="EE13" s="242">
        <f t="shared" si="45"/>
        <v>4.6017569193742482E-2</v>
      </c>
      <c r="EG13" s="261">
        <f t="shared" si="46"/>
        <v>0</v>
      </c>
      <c r="EH13" s="241">
        <f t="shared" si="47"/>
        <v>0</v>
      </c>
      <c r="EI13" s="242">
        <f t="shared" si="48"/>
        <v>0</v>
      </c>
      <c r="EJ13" s="242"/>
      <c r="EK13" s="261">
        <f t="shared" si="49"/>
        <v>332400000</v>
      </c>
      <c r="EL13" s="261">
        <f t="shared" si="50"/>
        <v>0</v>
      </c>
      <c r="EM13" s="261">
        <f t="shared" si="51"/>
        <v>42489.555555555555</v>
      </c>
      <c r="EN13" s="242">
        <f t="shared" si="52"/>
        <v>4.6017569193742482E-2</v>
      </c>
      <c r="EP13" s="241"/>
    </row>
    <row r="14" spans="1:147" x14ac:dyDescent="0.25">
      <c r="A14" s="255">
        <f t="shared" si="53"/>
        <v>45842</v>
      </c>
      <c r="B14" s="241">
        <v>0</v>
      </c>
      <c r="C14" s="242">
        <v>4.6364450000000001E-2</v>
      </c>
      <c r="D14" s="241">
        <f t="shared" si="2"/>
        <v>0</v>
      </c>
      <c r="G14" s="241">
        <f t="shared" si="3"/>
        <v>0</v>
      </c>
      <c r="J14" s="241">
        <f t="shared" si="4"/>
        <v>0</v>
      </c>
      <c r="M14" s="241">
        <f t="shared" si="5"/>
        <v>0</v>
      </c>
      <c r="P14" s="241">
        <f t="shared" si="6"/>
        <v>0</v>
      </c>
      <c r="S14" s="241">
        <f t="shared" si="7"/>
        <v>0</v>
      </c>
      <c r="V14" s="241">
        <f t="shared" si="8"/>
        <v>0</v>
      </c>
      <c r="Y14" s="241">
        <f t="shared" si="9"/>
        <v>0</v>
      </c>
      <c r="AB14" s="241">
        <f t="shared" si="10"/>
        <v>0</v>
      </c>
      <c r="AE14" s="241">
        <v>0</v>
      </c>
      <c r="AH14" s="241">
        <v>0</v>
      </c>
      <c r="AI14" s="256">
        <f>17400000+80000000</f>
        <v>97400000</v>
      </c>
      <c r="AJ14" s="257">
        <v>4.5100000000000001E-2</v>
      </c>
      <c r="AK14" s="241">
        <f t="shared" si="11"/>
        <v>12202.055555555555</v>
      </c>
      <c r="AL14" s="256">
        <f>35000000+40000000+40000000</f>
        <v>115000000</v>
      </c>
      <c r="AM14" s="257">
        <v>4.65E-2</v>
      </c>
      <c r="AN14" s="241">
        <f t="shared" si="12"/>
        <v>14854.166666666666</v>
      </c>
      <c r="AO14" s="256">
        <f t="shared" si="0"/>
        <v>80000000</v>
      </c>
      <c r="AP14" s="257">
        <v>4.6300000000000001E-2</v>
      </c>
      <c r="AQ14" s="241">
        <f t="shared" si="13"/>
        <v>10288.888888888889</v>
      </c>
      <c r="AR14" s="256">
        <f t="shared" si="1"/>
        <v>40000000</v>
      </c>
      <c r="AS14" s="257">
        <v>4.6300000000000001E-2</v>
      </c>
      <c r="AT14" s="241">
        <f t="shared" si="14"/>
        <v>5144.4444444444443</v>
      </c>
      <c r="AW14" s="241">
        <f t="shared" si="15"/>
        <v>0</v>
      </c>
      <c r="AZ14" s="241">
        <f t="shared" si="16"/>
        <v>0</v>
      </c>
      <c r="BC14" s="241">
        <f t="shared" si="17"/>
        <v>0</v>
      </c>
      <c r="BF14" s="241">
        <f t="shared" si="18"/>
        <v>0</v>
      </c>
      <c r="BI14" s="241">
        <f t="shared" si="19"/>
        <v>0</v>
      </c>
      <c r="BL14" s="241">
        <f t="shared" si="20"/>
        <v>0</v>
      </c>
      <c r="BO14" s="241">
        <f t="shared" si="21"/>
        <v>0</v>
      </c>
      <c r="BR14" s="241">
        <f t="shared" si="22"/>
        <v>0</v>
      </c>
      <c r="BU14" s="241">
        <f t="shared" si="23"/>
        <v>0</v>
      </c>
      <c r="BX14" s="241">
        <f t="shared" si="24"/>
        <v>0</v>
      </c>
      <c r="CA14" s="241">
        <f t="shared" si="25"/>
        <v>0</v>
      </c>
      <c r="CD14" s="241">
        <f t="shared" si="26"/>
        <v>0</v>
      </c>
      <c r="CG14" s="241">
        <f t="shared" si="27"/>
        <v>0</v>
      </c>
      <c r="CJ14" s="241">
        <f t="shared" si="28"/>
        <v>0</v>
      </c>
      <c r="CM14" s="241">
        <f t="shared" si="29"/>
        <v>0</v>
      </c>
      <c r="CP14" s="241">
        <f t="shared" si="30"/>
        <v>0</v>
      </c>
      <c r="CS14" s="241">
        <f t="shared" si="31"/>
        <v>0</v>
      </c>
      <c r="CV14" s="241">
        <f t="shared" si="32"/>
        <v>0</v>
      </c>
      <c r="CY14" s="241">
        <f t="shared" si="33"/>
        <v>0</v>
      </c>
      <c r="DB14" s="241">
        <f t="shared" si="34"/>
        <v>0</v>
      </c>
      <c r="DE14" s="241">
        <f t="shared" si="35"/>
        <v>0</v>
      </c>
      <c r="DH14" s="241">
        <f t="shared" si="36"/>
        <v>0</v>
      </c>
      <c r="DK14" s="241">
        <f t="shared" si="37"/>
        <v>0</v>
      </c>
      <c r="DN14" s="241">
        <f t="shared" si="38"/>
        <v>0</v>
      </c>
      <c r="DQ14" s="241">
        <f t="shared" si="39"/>
        <v>0</v>
      </c>
      <c r="DT14" s="241">
        <f t="shared" si="40"/>
        <v>0</v>
      </c>
      <c r="DW14" s="241">
        <f t="shared" si="41"/>
        <v>0</v>
      </c>
      <c r="DZ14" s="241"/>
      <c r="EA14" s="241"/>
      <c r="EB14" s="261">
        <f t="shared" si="42"/>
        <v>332400000</v>
      </c>
      <c r="EC14" s="261">
        <f t="shared" si="43"/>
        <v>0</v>
      </c>
      <c r="ED14" s="241">
        <f t="shared" si="44"/>
        <v>42489.555555555555</v>
      </c>
      <c r="EE14" s="242">
        <f t="shared" si="45"/>
        <v>4.6017569193742482E-2</v>
      </c>
      <c r="EG14" s="261">
        <f t="shared" si="46"/>
        <v>0</v>
      </c>
      <c r="EH14" s="241">
        <f t="shared" si="47"/>
        <v>0</v>
      </c>
      <c r="EI14" s="242">
        <f t="shared" si="48"/>
        <v>0</v>
      </c>
      <c r="EJ14" s="242"/>
      <c r="EK14" s="261">
        <f t="shared" si="49"/>
        <v>332400000</v>
      </c>
      <c r="EL14" s="261">
        <f t="shared" si="50"/>
        <v>0</v>
      </c>
      <c r="EM14" s="261">
        <f t="shared" si="51"/>
        <v>42489.555555555555</v>
      </c>
      <c r="EN14" s="242">
        <f t="shared" si="52"/>
        <v>4.6017569193742482E-2</v>
      </c>
      <c r="EP14" s="241"/>
    </row>
    <row r="15" spans="1:147" x14ac:dyDescent="0.25">
      <c r="A15" s="255">
        <f t="shared" si="53"/>
        <v>45843</v>
      </c>
      <c r="B15" s="241">
        <v>0</v>
      </c>
      <c r="C15" s="242">
        <v>4.6364450000000001E-2</v>
      </c>
      <c r="D15" s="241">
        <f t="shared" si="2"/>
        <v>0</v>
      </c>
      <c r="G15" s="241">
        <f t="shared" si="3"/>
        <v>0</v>
      </c>
      <c r="J15" s="241">
        <f t="shared" si="4"/>
        <v>0</v>
      </c>
      <c r="M15" s="241">
        <f t="shared" si="5"/>
        <v>0</v>
      </c>
      <c r="P15" s="241">
        <f t="shared" si="6"/>
        <v>0</v>
      </c>
      <c r="S15" s="241">
        <f t="shared" si="7"/>
        <v>0</v>
      </c>
      <c r="V15" s="241">
        <f t="shared" si="8"/>
        <v>0</v>
      </c>
      <c r="Y15" s="241">
        <f t="shared" si="9"/>
        <v>0</v>
      </c>
      <c r="AB15" s="241">
        <f t="shared" si="10"/>
        <v>0</v>
      </c>
      <c r="AE15" s="241">
        <v>0</v>
      </c>
      <c r="AH15" s="241">
        <v>0</v>
      </c>
      <c r="AI15" s="256">
        <f>17400000+80000000</f>
        <v>97400000</v>
      </c>
      <c r="AJ15" s="257">
        <v>4.5100000000000001E-2</v>
      </c>
      <c r="AK15" s="241">
        <f t="shared" si="11"/>
        <v>12202.055555555555</v>
      </c>
      <c r="AL15" s="256">
        <f>35000000+40000000+40000000</f>
        <v>115000000</v>
      </c>
      <c r="AM15" s="257">
        <v>4.65E-2</v>
      </c>
      <c r="AN15" s="241">
        <f t="shared" si="12"/>
        <v>14854.166666666666</v>
      </c>
      <c r="AO15" s="256">
        <f t="shared" si="0"/>
        <v>80000000</v>
      </c>
      <c r="AP15" s="257">
        <v>4.6300000000000001E-2</v>
      </c>
      <c r="AQ15" s="241">
        <f t="shared" si="13"/>
        <v>10288.888888888889</v>
      </c>
      <c r="AR15" s="256">
        <f t="shared" si="1"/>
        <v>40000000</v>
      </c>
      <c r="AS15" s="257">
        <v>4.6300000000000001E-2</v>
      </c>
      <c r="AT15" s="241">
        <f t="shared" si="14"/>
        <v>5144.4444444444443</v>
      </c>
      <c r="AW15" s="241">
        <f t="shared" si="15"/>
        <v>0</v>
      </c>
      <c r="AZ15" s="241">
        <f t="shared" si="16"/>
        <v>0</v>
      </c>
      <c r="BC15" s="241">
        <f t="shared" si="17"/>
        <v>0</v>
      </c>
      <c r="BF15" s="241">
        <f t="shared" si="18"/>
        <v>0</v>
      </c>
      <c r="BI15" s="241">
        <f t="shared" si="19"/>
        <v>0</v>
      </c>
      <c r="BL15" s="241">
        <f t="shared" si="20"/>
        <v>0</v>
      </c>
      <c r="BO15" s="241">
        <f t="shared" si="21"/>
        <v>0</v>
      </c>
      <c r="BR15" s="241">
        <f t="shared" si="22"/>
        <v>0</v>
      </c>
      <c r="BU15" s="241">
        <f t="shared" si="23"/>
        <v>0</v>
      </c>
      <c r="BX15" s="241">
        <f t="shared" si="24"/>
        <v>0</v>
      </c>
      <c r="CA15" s="241">
        <f t="shared" si="25"/>
        <v>0</v>
      </c>
      <c r="CD15" s="241">
        <f t="shared" si="26"/>
        <v>0</v>
      </c>
      <c r="CG15" s="241">
        <f t="shared" si="27"/>
        <v>0</v>
      </c>
      <c r="CJ15" s="241">
        <f t="shared" si="28"/>
        <v>0</v>
      </c>
      <c r="CM15" s="241">
        <f t="shared" si="29"/>
        <v>0</v>
      </c>
      <c r="CP15" s="241">
        <f t="shared" si="30"/>
        <v>0</v>
      </c>
      <c r="CS15" s="241">
        <f t="shared" si="31"/>
        <v>0</v>
      </c>
      <c r="CV15" s="241">
        <f t="shared" si="32"/>
        <v>0</v>
      </c>
      <c r="CY15" s="241">
        <f t="shared" si="33"/>
        <v>0</v>
      </c>
      <c r="DB15" s="241">
        <f t="shared" si="34"/>
        <v>0</v>
      </c>
      <c r="DE15" s="241">
        <f t="shared" si="35"/>
        <v>0</v>
      </c>
      <c r="DH15" s="241">
        <f t="shared" si="36"/>
        <v>0</v>
      </c>
      <c r="DK15" s="241">
        <f t="shared" si="37"/>
        <v>0</v>
      </c>
      <c r="DN15" s="241">
        <f t="shared" si="38"/>
        <v>0</v>
      </c>
      <c r="DQ15" s="241">
        <f t="shared" si="39"/>
        <v>0</v>
      </c>
      <c r="DT15" s="241">
        <f t="shared" si="40"/>
        <v>0</v>
      </c>
      <c r="DW15" s="241">
        <f t="shared" si="41"/>
        <v>0</v>
      </c>
      <c r="DZ15" s="241"/>
      <c r="EA15" s="241"/>
      <c r="EB15" s="261">
        <f t="shared" si="42"/>
        <v>332400000</v>
      </c>
      <c r="EC15" s="261">
        <f t="shared" si="43"/>
        <v>0</v>
      </c>
      <c r="ED15" s="241">
        <f t="shared" si="44"/>
        <v>42489.555555555555</v>
      </c>
      <c r="EE15" s="242">
        <f t="shared" si="45"/>
        <v>4.6017569193742482E-2</v>
      </c>
      <c r="EG15" s="261">
        <f t="shared" si="46"/>
        <v>0</v>
      </c>
      <c r="EH15" s="241">
        <f t="shared" si="47"/>
        <v>0</v>
      </c>
      <c r="EI15" s="242">
        <f t="shared" si="48"/>
        <v>0</v>
      </c>
      <c r="EJ15" s="242"/>
      <c r="EK15" s="261">
        <f t="shared" si="49"/>
        <v>332400000</v>
      </c>
      <c r="EL15" s="261">
        <f t="shared" si="50"/>
        <v>0</v>
      </c>
      <c r="EM15" s="261">
        <f t="shared" si="51"/>
        <v>42489.555555555555</v>
      </c>
      <c r="EN15" s="242">
        <f t="shared" si="52"/>
        <v>4.6017569193742482E-2</v>
      </c>
      <c r="EP15" s="241"/>
    </row>
    <row r="16" spans="1:147" x14ac:dyDescent="0.25">
      <c r="A16" s="255">
        <f t="shared" si="53"/>
        <v>45844</v>
      </c>
      <c r="B16" s="241">
        <v>0</v>
      </c>
      <c r="C16" s="242">
        <v>4.6364450000000001E-2</v>
      </c>
      <c r="D16" s="241">
        <f t="shared" si="2"/>
        <v>0</v>
      </c>
      <c r="G16" s="241">
        <f t="shared" si="3"/>
        <v>0</v>
      </c>
      <c r="J16" s="241">
        <f t="shared" si="4"/>
        <v>0</v>
      </c>
      <c r="M16" s="241">
        <f t="shared" si="5"/>
        <v>0</v>
      </c>
      <c r="P16" s="241">
        <f t="shared" si="6"/>
        <v>0</v>
      </c>
      <c r="S16" s="241">
        <f t="shared" si="7"/>
        <v>0</v>
      </c>
      <c r="V16" s="241">
        <f t="shared" si="8"/>
        <v>0</v>
      </c>
      <c r="Y16" s="241">
        <f t="shared" si="9"/>
        <v>0</v>
      </c>
      <c r="AB16" s="241">
        <f t="shared" si="10"/>
        <v>0</v>
      </c>
      <c r="AE16" s="241">
        <v>0</v>
      </c>
      <c r="AH16" s="241">
        <v>0</v>
      </c>
      <c r="AI16" s="256">
        <f>17400000+80000000</f>
        <v>97400000</v>
      </c>
      <c r="AJ16" s="257">
        <v>4.5100000000000001E-2</v>
      </c>
      <c r="AK16" s="241">
        <f t="shared" si="11"/>
        <v>12202.055555555555</v>
      </c>
      <c r="AL16" s="256">
        <f>35000000+40000000+40000000</f>
        <v>115000000</v>
      </c>
      <c r="AM16" s="257">
        <v>4.65E-2</v>
      </c>
      <c r="AN16" s="241">
        <f t="shared" si="12"/>
        <v>14854.166666666666</v>
      </c>
      <c r="AO16" s="256">
        <f t="shared" si="0"/>
        <v>80000000</v>
      </c>
      <c r="AP16" s="257">
        <v>4.6300000000000001E-2</v>
      </c>
      <c r="AQ16" s="241">
        <f t="shared" si="13"/>
        <v>10288.888888888889</v>
      </c>
      <c r="AR16" s="256">
        <f t="shared" si="1"/>
        <v>40000000</v>
      </c>
      <c r="AS16" s="257">
        <v>4.6300000000000001E-2</v>
      </c>
      <c r="AT16" s="241">
        <f t="shared" si="14"/>
        <v>5144.4444444444443</v>
      </c>
      <c r="AW16" s="241">
        <f t="shared" si="15"/>
        <v>0</v>
      </c>
      <c r="AZ16" s="241">
        <f t="shared" si="16"/>
        <v>0</v>
      </c>
      <c r="BC16" s="241">
        <f t="shared" si="17"/>
        <v>0</v>
      </c>
      <c r="BF16" s="241">
        <f t="shared" si="18"/>
        <v>0</v>
      </c>
      <c r="BI16" s="241">
        <f t="shared" si="19"/>
        <v>0</v>
      </c>
      <c r="BL16" s="241">
        <f t="shared" si="20"/>
        <v>0</v>
      </c>
      <c r="BO16" s="241">
        <f t="shared" si="21"/>
        <v>0</v>
      </c>
      <c r="BR16" s="241">
        <f t="shared" si="22"/>
        <v>0</v>
      </c>
      <c r="BU16" s="241">
        <f t="shared" si="23"/>
        <v>0</v>
      </c>
      <c r="BX16" s="241">
        <f t="shared" si="24"/>
        <v>0</v>
      </c>
      <c r="CA16" s="241">
        <f t="shared" si="25"/>
        <v>0</v>
      </c>
      <c r="CD16" s="241">
        <f t="shared" si="26"/>
        <v>0</v>
      </c>
      <c r="CG16" s="241">
        <f t="shared" si="27"/>
        <v>0</v>
      </c>
      <c r="CJ16" s="241">
        <f t="shared" si="28"/>
        <v>0</v>
      </c>
      <c r="CM16" s="241">
        <f t="shared" si="29"/>
        <v>0</v>
      </c>
      <c r="CP16" s="241">
        <f t="shared" si="30"/>
        <v>0</v>
      </c>
      <c r="CS16" s="241">
        <f t="shared" si="31"/>
        <v>0</v>
      </c>
      <c r="CV16" s="241">
        <f t="shared" si="32"/>
        <v>0</v>
      </c>
      <c r="CY16" s="241">
        <f t="shared" si="33"/>
        <v>0</v>
      </c>
      <c r="DB16" s="241">
        <f t="shared" si="34"/>
        <v>0</v>
      </c>
      <c r="DE16" s="241">
        <f t="shared" si="35"/>
        <v>0</v>
      </c>
      <c r="DH16" s="241">
        <f t="shared" si="36"/>
        <v>0</v>
      </c>
      <c r="DK16" s="241">
        <f t="shared" si="37"/>
        <v>0</v>
      </c>
      <c r="DN16" s="241">
        <f t="shared" si="38"/>
        <v>0</v>
      </c>
      <c r="DQ16" s="241">
        <f t="shared" si="39"/>
        <v>0</v>
      </c>
      <c r="DT16" s="241">
        <f t="shared" si="40"/>
        <v>0</v>
      </c>
      <c r="DW16" s="241">
        <f t="shared" si="41"/>
        <v>0</v>
      </c>
      <c r="DZ16" s="241"/>
      <c r="EA16" s="241"/>
      <c r="EB16" s="261">
        <f t="shared" si="42"/>
        <v>332400000</v>
      </c>
      <c r="EC16" s="261">
        <f t="shared" si="43"/>
        <v>0</v>
      </c>
      <c r="ED16" s="241">
        <f t="shared" si="44"/>
        <v>42489.555555555555</v>
      </c>
      <c r="EE16" s="242">
        <f t="shared" si="45"/>
        <v>4.6017569193742482E-2</v>
      </c>
      <c r="EG16" s="261">
        <f t="shared" si="46"/>
        <v>0</v>
      </c>
      <c r="EH16" s="241">
        <f t="shared" si="47"/>
        <v>0</v>
      </c>
      <c r="EI16" s="242">
        <f t="shared" si="48"/>
        <v>0</v>
      </c>
      <c r="EJ16" s="242"/>
      <c r="EK16" s="261">
        <f t="shared" si="49"/>
        <v>332400000</v>
      </c>
      <c r="EL16" s="261">
        <f t="shared" si="50"/>
        <v>0</v>
      </c>
      <c r="EM16" s="261">
        <f t="shared" si="51"/>
        <v>42489.555555555555</v>
      </c>
      <c r="EN16" s="242">
        <f t="shared" si="52"/>
        <v>4.6017569193742482E-2</v>
      </c>
      <c r="EP16" s="241"/>
    </row>
    <row r="17" spans="1:146" x14ac:dyDescent="0.25">
      <c r="A17" s="255">
        <f t="shared" si="53"/>
        <v>45845</v>
      </c>
      <c r="B17" s="241">
        <v>0</v>
      </c>
      <c r="C17" s="242">
        <v>4.6338709999999998E-2</v>
      </c>
      <c r="D17" s="241">
        <f t="shared" si="2"/>
        <v>0</v>
      </c>
      <c r="G17" s="241">
        <f t="shared" si="3"/>
        <v>0</v>
      </c>
      <c r="J17" s="241">
        <f t="shared" si="4"/>
        <v>0</v>
      </c>
      <c r="M17" s="241">
        <f t="shared" si="5"/>
        <v>0</v>
      </c>
      <c r="P17" s="241">
        <f t="shared" si="6"/>
        <v>0</v>
      </c>
      <c r="S17" s="241">
        <f t="shared" si="7"/>
        <v>0</v>
      </c>
      <c r="V17" s="241">
        <f t="shared" si="8"/>
        <v>0</v>
      </c>
      <c r="Y17" s="241">
        <f t="shared" si="9"/>
        <v>0</v>
      </c>
      <c r="AB17" s="241">
        <f t="shared" si="10"/>
        <v>0</v>
      </c>
      <c r="AE17" s="241">
        <v>0</v>
      </c>
      <c r="AH17" s="241">
        <v>0</v>
      </c>
      <c r="AI17" s="256">
        <f>40000000+45000000+26975000</f>
        <v>111975000</v>
      </c>
      <c r="AJ17" s="257">
        <v>4.5100000000000001E-2</v>
      </c>
      <c r="AK17" s="241">
        <f t="shared" si="11"/>
        <v>14027.979166666666</v>
      </c>
      <c r="AL17" s="256">
        <f>35000000+40000000</f>
        <v>75000000</v>
      </c>
      <c r="AM17" s="257">
        <v>4.65E-2</v>
      </c>
      <c r="AN17" s="241">
        <f t="shared" si="12"/>
        <v>9687.5</v>
      </c>
      <c r="AO17" s="256">
        <f t="shared" si="0"/>
        <v>80000000</v>
      </c>
      <c r="AP17" s="257">
        <v>4.6300000000000001E-2</v>
      </c>
      <c r="AQ17" s="241">
        <f t="shared" si="13"/>
        <v>10288.888888888889</v>
      </c>
      <c r="AR17" s="256">
        <f>20000000+20000000+40000000</f>
        <v>80000000</v>
      </c>
      <c r="AS17" s="257">
        <v>4.6300000000000001E-2</v>
      </c>
      <c r="AT17" s="241">
        <f t="shared" si="14"/>
        <v>10288.888888888889</v>
      </c>
      <c r="AW17" s="241">
        <f t="shared" si="15"/>
        <v>0</v>
      </c>
      <c r="AZ17" s="241">
        <f t="shared" si="16"/>
        <v>0</v>
      </c>
      <c r="BC17" s="241">
        <f t="shared" si="17"/>
        <v>0</v>
      </c>
      <c r="BF17" s="241">
        <f t="shared" si="18"/>
        <v>0</v>
      </c>
      <c r="BI17" s="241">
        <f t="shared" si="19"/>
        <v>0</v>
      </c>
      <c r="BL17" s="241">
        <f t="shared" si="20"/>
        <v>0</v>
      </c>
      <c r="BO17" s="241">
        <f t="shared" si="21"/>
        <v>0</v>
      </c>
      <c r="BR17" s="241">
        <f t="shared" si="22"/>
        <v>0</v>
      </c>
      <c r="BU17" s="241">
        <f t="shared" si="23"/>
        <v>0</v>
      </c>
      <c r="BX17" s="241">
        <f t="shared" si="24"/>
        <v>0</v>
      </c>
      <c r="CA17" s="241">
        <f t="shared" si="25"/>
        <v>0</v>
      </c>
      <c r="CD17" s="241">
        <f t="shared" si="26"/>
        <v>0</v>
      </c>
      <c r="CG17" s="241">
        <f t="shared" si="27"/>
        <v>0</v>
      </c>
      <c r="CJ17" s="241">
        <f t="shared" si="28"/>
        <v>0</v>
      </c>
      <c r="CM17" s="241">
        <f t="shared" si="29"/>
        <v>0</v>
      </c>
      <c r="CP17" s="241">
        <f t="shared" si="30"/>
        <v>0</v>
      </c>
      <c r="CS17" s="241">
        <f t="shared" si="31"/>
        <v>0</v>
      </c>
      <c r="CV17" s="241">
        <f t="shared" si="32"/>
        <v>0</v>
      </c>
      <c r="CY17" s="241">
        <f t="shared" si="33"/>
        <v>0</v>
      </c>
      <c r="DB17" s="241">
        <f t="shared" si="34"/>
        <v>0</v>
      </c>
      <c r="DE17" s="241">
        <f t="shared" si="35"/>
        <v>0</v>
      </c>
      <c r="DH17" s="241">
        <f t="shared" si="36"/>
        <v>0</v>
      </c>
      <c r="DK17" s="241">
        <f t="shared" si="37"/>
        <v>0</v>
      </c>
      <c r="DN17" s="241">
        <f t="shared" si="38"/>
        <v>0</v>
      </c>
      <c r="DQ17" s="241">
        <f t="shared" si="39"/>
        <v>0</v>
      </c>
      <c r="DT17" s="241">
        <f t="shared" si="40"/>
        <v>0</v>
      </c>
      <c r="DW17" s="241">
        <f t="shared" si="41"/>
        <v>0</v>
      </c>
      <c r="DZ17" s="241"/>
      <c r="EA17" s="241"/>
      <c r="EB17" s="261">
        <f t="shared" si="42"/>
        <v>346975000</v>
      </c>
      <c r="EC17" s="261">
        <f t="shared" si="43"/>
        <v>0</v>
      </c>
      <c r="ED17" s="241">
        <f t="shared" si="44"/>
        <v>44293.256944444445</v>
      </c>
      <c r="EE17" s="242">
        <f t="shared" si="45"/>
        <v>4.5955969450248581E-2</v>
      </c>
      <c r="EG17" s="261">
        <f t="shared" si="46"/>
        <v>0</v>
      </c>
      <c r="EH17" s="241">
        <f t="shared" si="47"/>
        <v>0</v>
      </c>
      <c r="EI17" s="242">
        <f t="shared" si="48"/>
        <v>0</v>
      </c>
      <c r="EJ17" s="242"/>
      <c r="EK17" s="261">
        <f t="shared" si="49"/>
        <v>346975000</v>
      </c>
      <c r="EL17" s="261">
        <f t="shared" si="50"/>
        <v>0</v>
      </c>
      <c r="EM17" s="261">
        <f t="shared" si="51"/>
        <v>44293.256944444445</v>
      </c>
      <c r="EN17" s="242">
        <f t="shared" si="52"/>
        <v>4.5955969450248581E-2</v>
      </c>
      <c r="EP17" s="241"/>
    </row>
    <row r="18" spans="1:146" x14ac:dyDescent="0.25">
      <c r="A18" s="255">
        <f t="shared" si="53"/>
        <v>45846</v>
      </c>
      <c r="B18" s="241">
        <v>0</v>
      </c>
      <c r="C18" s="242">
        <v>4.6170679999999999E-2</v>
      </c>
      <c r="D18" s="241">
        <f t="shared" si="2"/>
        <v>0</v>
      </c>
      <c r="G18" s="241">
        <f t="shared" si="3"/>
        <v>0</v>
      </c>
      <c r="J18" s="241">
        <f t="shared" si="4"/>
        <v>0</v>
      </c>
      <c r="M18" s="241">
        <f t="shared" si="5"/>
        <v>0</v>
      </c>
      <c r="P18" s="241">
        <f t="shared" si="6"/>
        <v>0</v>
      </c>
      <c r="S18" s="241">
        <f t="shared" si="7"/>
        <v>0</v>
      </c>
      <c r="V18" s="241">
        <f t="shared" si="8"/>
        <v>0</v>
      </c>
      <c r="Y18" s="241">
        <f t="shared" si="9"/>
        <v>0</v>
      </c>
      <c r="AB18" s="241">
        <f t="shared" si="10"/>
        <v>0</v>
      </c>
      <c r="AE18" s="241">
        <v>0</v>
      </c>
      <c r="AH18" s="241">
        <v>0</v>
      </c>
      <c r="AI18" s="256">
        <f>43550000+45000000</f>
        <v>88550000</v>
      </c>
      <c r="AJ18" s="257">
        <v>4.5100000000000001E-2</v>
      </c>
      <c r="AK18" s="241">
        <f t="shared" si="11"/>
        <v>11093.347222222223</v>
      </c>
      <c r="AL18" s="256">
        <f t="shared" ref="AL18:AL32" si="54">35000000</f>
        <v>35000000</v>
      </c>
      <c r="AM18" s="257">
        <v>4.65E-2</v>
      </c>
      <c r="AN18" s="241">
        <f t="shared" si="12"/>
        <v>4520.833333333333</v>
      </c>
      <c r="AO18" s="256">
        <f t="shared" si="0"/>
        <v>80000000</v>
      </c>
      <c r="AP18" s="257">
        <v>4.6300000000000001E-2</v>
      </c>
      <c r="AQ18" s="241">
        <f t="shared" si="13"/>
        <v>10288.888888888889</v>
      </c>
      <c r="AR18" s="256">
        <f t="shared" ref="AR18:AR41" si="55">20000000+20000000+40000000+50000000</f>
        <v>130000000</v>
      </c>
      <c r="AS18" s="257">
        <v>4.6300000000000001E-2</v>
      </c>
      <c r="AT18" s="241">
        <f t="shared" si="14"/>
        <v>16719.444444444445</v>
      </c>
      <c r="AW18" s="241">
        <f t="shared" si="15"/>
        <v>0</v>
      </c>
      <c r="AZ18" s="241">
        <f t="shared" si="16"/>
        <v>0</v>
      </c>
      <c r="BC18" s="241">
        <f t="shared" si="17"/>
        <v>0</v>
      </c>
      <c r="BF18" s="241">
        <f t="shared" si="18"/>
        <v>0</v>
      </c>
      <c r="BI18" s="241">
        <f t="shared" si="19"/>
        <v>0</v>
      </c>
      <c r="BL18" s="241">
        <f t="shared" si="20"/>
        <v>0</v>
      </c>
      <c r="BO18" s="241">
        <f t="shared" si="21"/>
        <v>0</v>
      </c>
      <c r="BR18" s="241">
        <f t="shared" si="22"/>
        <v>0</v>
      </c>
      <c r="BU18" s="241">
        <f t="shared" si="23"/>
        <v>0</v>
      </c>
      <c r="BX18" s="241">
        <f t="shared" si="24"/>
        <v>0</v>
      </c>
      <c r="CA18" s="241">
        <f t="shared" si="25"/>
        <v>0</v>
      </c>
      <c r="CD18" s="241">
        <f t="shared" si="26"/>
        <v>0</v>
      </c>
      <c r="CG18" s="241">
        <f t="shared" si="27"/>
        <v>0</v>
      </c>
      <c r="CJ18" s="241">
        <f t="shared" si="28"/>
        <v>0</v>
      </c>
      <c r="CM18" s="241">
        <f t="shared" si="29"/>
        <v>0</v>
      </c>
      <c r="CP18" s="241">
        <f t="shared" si="30"/>
        <v>0</v>
      </c>
      <c r="CS18" s="241">
        <f t="shared" si="31"/>
        <v>0</v>
      </c>
      <c r="CV18" s="241">
        <f t="shared" si="32"/>
        <v>0</v>
      </c>
      <c r="CY18" s="241">
        <f t="shared" si="33"/>
        <v>0</v>
      </c>
      <c r="DB18" s="241">
        <f t="shared" si="34"/>
        <v>0</v>
      </c>
      <c r="DE18" s="241">
        <f t="shared" si="35"/>
        <v>0</v>
      </c>
      <c r="DH18" s="241">
        <f t="shared" si="36"/>
        <v>0</v>
      </c>
      <c r="DK18" s="241">
        <f t="shared" si="37"/>
        <v>0</v>
      </c>
      <c r="DN18" s="241">
        <f t="shared" si="38"/>
        <v>0</v>
      </c>
      <c r="DQ18" s="241">
        <f t="shared" si="39"/>
        <v>0</v>
      </c>
      <c r="DT18" s="241">
        <f t="shared" si="40"/>
        <v>0</v>
      </c>
      <c r="DW18" s="241">
        <f t="shared" si="41"/>
        <v>0</v>
      </c>
      <c r="DZ18" s="241"/>
      <c r="EA18" s="241"/>
      <c r="EB18" s="261">
        <f t="shared" si="42"/>
        <v>333550000</v>
      </c>
      <c r="EC18" s="261">
        <f t="shared" si="43"/>
        <v>0</v>
      </c>
      <c r="ED18" s="241">
        <f t="shared" si="44"/>
        <v>42622.513888888891</v>
      </c>
      <c r="EE18" s="242">
        <f t="shared" si="45"/>
        <v>4.6002413431269679E-2</v>
      </c>
      <c r="EG18" s="261">
        <f t="shared" si="46"/>
        <v>0</v>
      </c>
      <c r="EH18" s="241">
        <f t="shared" si="47"/>
        <v>0</v>
      </c>
      <c r="EI18" s="242">
        <f t="shared" si="48"/>
        <v>0</v>
      </c>
      <c r="EJ18" s="242"/>
      <c r="EK18" s="261">
        <f t="shared" si="49"/>
        <v>333550000</v>
      </c>
      <c r="EL18" s="261">
        <f t="shared" si="50"/>
        <v>0</v>
      </c>
      <c r="EM18" s="261">
        <f t="shared" si="51"/>
        <v>42622.513888888891</v>
      </c>
      <c r="EN18" s="242">
        <f t="shared" si="52"/>
        <v>4.6002413431269679E-2</v>
      </c>
      <c r="EP18" s="241"/>
    </row>
    <row r="19" spans="1:146" x14ac:dyDescent="0.25">
      <c r="A19" s="255">
        <f t="shared" si="53"/>
        <v>45847</v>
      </c>
      <c r="B19" s="241">
        <v>0</v>
      </c>
      <c r="C19" s="242">
        <v>4.6072050000000003E-2</v>
      </c>
      <c r="D19" s="241">
        <f t="shared" si="2"/>
        <v>0</v>
      </c>
      <c r="G19" s="241">
        <f t="shared" si="3"/>
        <v>0</v>
      </c>
      <c r="J19" s="241">
        <f t="shared" si="4"/>
        <v>0</v>
      </c>
      <c r="M19" s="241">
        <f t="shared" si="5"/>
        <v>0</v>
      </c>
      <c r="P19" s="241">
        <f t="shared" si="6"/>
        <v>0</v>
      </c>
      <c r="S19" s="241">
        <f t="shared" si="7"/>
        <v>0</v>
      </c>
      <c r="V19" s="241">
        <f t="shared" si="8"/>
        <v>0</v>
      </c>
      <c r="Y19" s="241">
        <f t="shared" si="9"/>
        <v>0</v>
      </c>
      <c r="AB19" s="241">
        <f t="shared" si="10"/>
        <v>0</v>
      </c>
      <c r="AE19" s="241">
        <v>0</v>
      </c>
      <c r="AH19" s="241">
        <v>0</v>
      </c>
      <c r="AI19" s="256">
        <f>50000000+45025000</f>
        <v>95025000</v>
      </c>
      <c r="AJ19" s="257">
        <v>4.5100000000000001E-2</v>
      </c>
      <c r="AK19" s="241">
        <f t="shared" si="11"/>
        <v>11904.520833333334</v>
      </c>
      <c r="AL19" s="256">
        <f t="shared" si="54"/>
        <v>35000000</v>
      </c>
      <c r="AM19" s="257">
        <v>4.65E-2</v>
      </c>
      <c r="AN19" s="241">
        <f t="shared" si="12"/>
        <v>4520.833333333333</v>
      </c>
      <c r="AO19" s="256">
        <f t="shared" si="0"/>
        <v>80000000</v>
      </c>
      <c r="AP19" s="257">
        <v>4.6300000000000001E-2</v>
      </c>
      <c r="AQ19" s="241">
        <f t="shared" si="13"/>
        <v>10288.888888888889</v>
      </c>
      <c r="AR19" s="256">
        <f t="shared" si="55"/>
        <v>130000000</v>
      </c>
      <c r="AS19" s="257">
        <v>4.6300000000000001E-2</v>
      </c>
      <c r="AT19" s="241">
        <f t="shared" si="14"/>
        <v>16719.444444444445</v>
      </c>
      <c r="AW19" s="241">
        <f t="shared" si="15"/>
        <v>0</v>
      </c>
      <c r="AZ19" s="241">
        <f t="shared" si="16"/>
        <v>0</v>
      </c>
      <c r="BC19" s="241">
        <f t="shared" si="17"/>
        <v>0</v>
      </c>
      <c r="BF19" s="241">
        <f t="shared" si="18"/>
        <v>0</v>
      </c>
      <c r="BI19" s="241">
        <f t="shared" si="19"/>
        <v>0</v>
      </c>
      <c r="BL19" s="241">
        <f t="shared" si="20"/>
        <v>0</v>
      </c>
      <c r="BO19" s="241">
        <f t="shared" si="21"/>
        <v>0</v>
      </c>
      <c r="BR19" s="241">
        <f t="shared" si="22"/>
        <v>0</v>
      </c>
      <c r="BU19" s="241">
        <f t="shared" si="23"/>
        <v>0</v>
      </c>
      <c r="BX19" s="241">
        <f t="shared" si="24"/>
        <v>0</v>
      </c>
      <c r="CA19" s="241">
        <f t="shared" si="25"/>
        <v>0</v>
      </c>
      <c r="CD19" s="241">
        <f t="shared" si="26"/>
        <v>0</v>
      </c>
      <c r="CG19" s="241">
        <f t="shared" si="27"/>
        <v>0</v>
      </c>
      <c r="CJ19" s="241">
        <f t="shared" si="28"/>
        <v>0</v>
      </c>
      <c r="CM19" s="241">
        <f t="shared" si="29"/>
        <v>0</v>
      </c>
      <c r="CP19" s="241">
        <f t="shared" si="30"/>
        <v>0</v>
      </c>
      <c r="CS19" s="241">
        <f t="shared" si="31"/>
        <v>0</v>
      </c>
      <c r="CV19" s="241">
        <f t="shared" si="32"/>
        <v>0</v>
      </c>
      <c r="CY19" s="241">
        <f t="shared" si="33"/>
        <v>0</v>
      </c>
      <c r="DB19" s="241">
        <f t="shared" si="34"/>
        <v>0</v>
      </c>
      <c r="DE19" s="241">
        <f t="shared" si="35"/>
        <v>0</v>
      </c>
      <c r="DH19" s="241">
        <f t="shared" si="36"/>
        <v>0</v>
      </c>
      <c r="DK19" s="241">
        <f t="shared" si="37"/>
        <v>0</v>
      </c>
      <c r="DN19" s="241">
        <f t="shared" si="38"/>
        <v>0</v>
      </c>
      <c r="DQ19" s="241">
        <f t="shared" si="39"/>
        <v>0</v>
      </c>
      <c r="DT19" s="241">
        <f t="shared" si="40"/>
        <v>0</v>
      </c>
      <c r="DW19" s="241">
        <f t="shared" si="41"/>
        <v>0</v>
      </c>
      <c r="DZ19" s="241"/>
      <c r="EA19" s="241"/>
      <c r="EB19" s="261">
        <f t="shared" si="42"/>
        <v>340025000</v>
      </c>
      <c r="EC19" s="261">
        <f t="shared" si="43"/>
        <v>0</v>
      </c>
      <c r="ED19" s="241">
        <f t="shared" si="44"/>
        <v>43433.6875</v>
      </c>
      <c r="EE19" s="242">
        <f t="shared" si="45"/>
        <v>4.5985229027277405E-2</v>
      </c>
      <c r="EG19" s="261">
        <f t="shared" si="46"/>
        <v>0</v>
      </c>
      <c r="EH19" s="241">
        <f t="shared" si="47"/>
        <v>0</v>
      </c>
      <c r="EI19" s="242">
        <f t="shared" si="48"/>
        <v>0</v>
      </c>
      <c r="EJ19" s="242"/>
      <c r="EK19" s="261">
        <f t="shared" si="49"/>
        <v>340025000</v>
      </c>
      <c r="EL19" s="261">
        <f t="shared" si="50"/>
        <v>0</v>
      </c>
      <c r="EM19" s="261">
        <f t="shared" si="51"/>
        <v>43433.6875</v>
      </c>
      <c r="EN19" s="242">
        <f t="shared" si="52"/>
        <v>4.5985229027277405E-2</v>
      </c>
      <c r="EP19" s="241"/>
    </row>
    <row r="20" spans="1:146" x14ac:dyDescent="0.25">
      <c r="A20" s="255">
        <f t="shared" si="53"/>
        <v>45848</v>
      </c>
      <c r="B20" s="241">
        <v>0</v>
      </c>
      <c r="C20" s="242">
        <v>4.6129939999999994E-2</v>
      </c>
      <c r="D20" s="241">
        <f t="shared" si="2"/>
        <v>0</v>
      </c>
      <c r="G20" s="241">
        <f t="shared" si="3"/>
        <v>0</v>
      </c>
      <c r="J20" s="241">
        <f t="shared" si="4"/>
        <v>0</v>
      </c>
      <c r="M20" s="241">
        <f t="shared" si="5"/>
        <v>0</v>
      </c>
      <c r="P20" s="241">
        <f t="shared" si="6"/>
        <v>0</v>
      </c>
      <c r="S20" s="241">
        <f t="shared" si="7"/>
        <v>0</v>
      </c>
      <c r="V20" s="241">
        <f t="shared" si="8"/>
        <v>0</v>
      </c>
      <c r="Y20" s="241">
        <f t="shared" si="9"/>
        <v>0</v>
      </c>
      <c r="AB20" s="241">
        <f t="shared" si="10"/>
        <v>0</v>
      </c>
      <c r="AE20" s="241">
        <v>0</v>
      </c>
      <c r="AH20" s="241">
        <v>0</v>
      </c>
      <c r="AI20" s="256">
        <f>45000000+47025000</f>
        <v>92025000</v>
      </c>
      <c r="AJ20" s="257">
        <v>4.5100000000000001E-2</v>
      </c>
      <c r="AK20" s="241">
        <f t="shared" si="11"/>
        <v>11528.6875</v>
      </c>
      <c r="AL20" s="256">
        <f t="shared" si="54"/>
        <v>35000000</v>
      </c>
      <c r="AM20" s="257">
        <v>4.65E-2</v>
      </c>
      <c r="AN20" s="241">
        <f t="shared" si="12"/>
        <v>4520.833333333333</v>
      </c>
      <c r="AO20" s="256">
        <f t="shared" si="0"/>
        <v>80000000</v>
      </c>
      <c r="AP20" s="257">
        <v>4.6300000000000001E-2</v>
      </c>
      <c r="AQ20" s="241">
        <f t="shared" si="13"/>
        <v>10288.888888888889</v>
      </c>
      <c r="AR20" s="256">
        <f t="shared" si="55"/>
        <v>130000000</v>
      </c>
      <c r="AS20" s="257">
        <v>4.6300000000000001E-2</v>
      </c>
      <c r="AT20" s="241">
        <f t="shared" si="14"/>
        <v>16719.444444444445</v>
      </c>
      <c r="AW20" s="241">
        <f t="shared" si="15"/>
        <v>0</v>
      </c>
      <c r="AZ20" s="241">
        <f t="shared" si="16"/>
        <v>0</v>
      </c>
      <c r="BC20" s="241">
        <f t="shared" si="17"/>
        <v>0</v>
      </c>
      <c r="BF20" s="241">
        <f t="shared" si="18"/>
        <v>0</v>
      </c>
      <c r="BI20" s="241">
        <f t="shared" si="19"/>
        <v>0</v>
      </c>
      <c r="BL20" s="241">
        <f t="shared" si="20"/>
        <v>0</v>
      </c>
      <c r="BO20" s="241">
        <f t="shared" si="21"/>
        <v>0</v>
      </c>
      <c r="BR20" s="241">
        <f t="shared" si="22"/>
        <v>0</v>
      </c>
      <c r="BU20" s="241">
        <f t="shared" si="23"/>
        <v>0</v>
      </c>
      <c r="BX20" s="241">
        <f t="shared" si="24"/>
        <v>0</v>
      </c>
      <c r="CA20" s="241">
        <f t="shared" si="25"/>
        <v>0</v>
      </c>
      <c r="CD20" s="241">
        <f t="shared" si="26"/>
        <v>0</v>
      </c>
      <c r="CG20" s="241">
        <f t="shared" si="27"/>
        <v>0</v>
      </c>
      <c r="CJ20" s="241">
        <f t="shared" si="28"/>
        <v>0</v>
      </c>
      <c r="CM20" s="241">
        <f t="shared" si="29"/>
        <v>0</v>
      </c>
      <c r="CP20" s="241">
        <f t="shared" si="30"/>
        <v>0</v>
      </c>
      <c r="CS20" s="241">
        <f t="shared" si="31"/>
        <v>0</v>
      </c>
      <c r="CV20" s="241">
        <f t="shared" si="32"/>
        <v>0</v>
      </c>
      <c r="CY20" s="241">
        <f t="shared" si="33"/>
        <v>0</v>
      </c>
      <c r="DB20" s="241">
        <f t="shared" si="34"/>
        <v>0</v>
      </c>
      <c r="DE20" s="241">
        <f t="shared" si="35"/>
        <v>0</v>
      </c>
      <c r="DH20" s="241">
        <f t="shared" si="36"/>
        <v>0</v>
      </c>
      <c r="DK20" s="241">
        <f t="shared" si="37"/>
        <v>0</v>
      </c>
      <c r="DN20" s="241">
        <f t="shared" si="38"/>
        <v>0</v>
      </c>
      <c r="DQ20" s="241">
        <f t="shared" si="39"/>
        <v>0</v>
      </c>
      <c r="DT20" s="241">
        <f t="shared" si="40"/>
        <v>0</v>
      </c>
      <c r="DW20" s="241">
        <f t="shared" si="41"/>
        <v>0</v>
      </c>
      <c r="DZ20" s="241"/>
      <c r="EA20" s="241"/>
      <c r="EB20" s="261">
        <f t="shared" si="42"/>
        <v>337025000</v>
      </c>
      <c r="EC20" s="261">
        <f t="shared" si="43"/>
        <v>0</v>
      </c>
      <c r="ED20" s="241">
        <f t="shared" si="44"/>
        <v>43057.854166666664</v>
      </c>
      <c r="EE20" s="242">
        <f t="shared" si="45"/>
        <v>4.5993108819820487E-2</v>
      </c>
      <c r="EG20" s="261">
        <f t="shared" si="46"/>
        <v>0</v>
      </c>
      <c r="EH20" s="241">
        <f t="shared" si="47"/>
        <v>0</v>
      </c>
      <c r="EI20" s="242">
        <f t="shared" si="48"/>
        <v>0</v>
      </c>
      <c r="EJ20" s="242"/>
      <c r="EK20" s="261">
        <f t="shared" si="49"/>
        <v>337025000</v>
      </c>
      <c r="EL20" s="261">
        <f t="shared" si="50"/>
        <v>0</v>
      </c>
      <c r="EM20" s="261">
        <f t="shared" si="51"/>
        <v>43057.854166666672</v>
      </c>
      <c r="EN20" s="242">
        <f t="shared" si="52"/>
        <v>4.5993108819820494E-2</v>
      </c>
      <c r="EP20" s="241"/>
    </row>
    <row r="21" spans="1:146" x14ac:dyDescent="0.25">
      <c r="A21" s="255">
        <f t="shared" si="53"/>
        <v>45849</v>
      </c>
      <c r="B21" s="241">
        <v>0</v>
      </c>
      <c r="C21" s="242">
        <v>4.6105539999999993E-2</v>
      </c>
      <c r="D21" s="241">
        <f t="shared" si="2"/>
        <v>0</v>
      </c>
      <c r="G21" s="241">
        <f t="shared" si="3"/>
        <v>0</v>
      </c>
      <c r="J21" s="241">
        <f t="shared" si="4"/>
        <v>0</v>
      </c>
      <c r="M21" s="241">
        <f t="shared" si="5"/>
        <v>0</v>
      </c>
      <c r="P21" s="241">
        <f t="shared" si="6"/>
        <v>0</v>
      </c>
      <c r="S21" s="241">
        <f t="shared" si="7"/>
        <v>0</v>
      </c>
      <c r="V21" s="241">
        <f t="shared" si="8"/>
        <v>0</v>
      </c>
      <c r="Y21" s="241">
        <f t="shared" si="9"/>
        <v>0</v>
      </c>
      <c r="AB21" s="241">
        <f t="shared" si="10"/>
        <v>0</v>
      </c>
      <c r="AE21" s="241">
        <v>0</v>
      </c>
      <c r="AH21" s="241">
        <v>0</v>
      </c>
      <c r="AI21" s="256">
        <v>94975000</v>
      </c>
      <c r="AJ21" s="257">
        <v>4.5100000000000001E-2</v>
      </c>
      <c r="AK21" s="241">
        <f t="shared" si="11"/>
        <v>11898.256944444445</v>
      </c>
      <c r="AL21" s="256">
        <f t="shared" si="54"/>
        <v>35000000</v>
      </c>
      <c r="AM21" s="257">
        <v>4.65E-2</v>
      </c>
      <c r="AN21" s="241">
        <f t="shared" si="12"/>
        <v>4520.833333333333</v>
      </c>
      <c r="AO21" s="256">
        <f t="shared" si="0"/>
        <v>80000000</v>
      </c>
      <c r="AP21" s="257">
        <v>4.6300000000000001E-2</v>
      </c>
      <c r="AQ21" s="241">
        <f t="shared" si="13"/>
        <v>10288.888888888889</v>
      </c>
      <c r="AR21" s="256">
        <f t="shared" si="55"/>
        <v>130000000</v>
      </c>
      <c r="AS21" s="257">
        <v>4.6300000000000001E-2</v>
      </c>
      <c r="AT21" s="241">
        <f t="shared" si="14"/>
        <v>16719.444444444445</v>
      </c>
      <c r="AW21" s="241">
        <f t="shared" si="15"/>
        <v>0</v>
      </c>
      <c r="AZ21" s="241">
        <f t="shared" si="16"/>
        <v>0</v>
      </c>
      <c r="BC21" s="241">
        <f t="shared" si="17"/>
        <v>0</v>
      </c>
      <c r="BF21" s="241">
        <f t="shared" si="18"/>
        <v>0</v>
      </c>
      <c r="BI21" s="241">
        <f t="shared" si="19"/>
        <v>0</v>
      </c>
      <c r="BL21" s="241">
        <f t="shared" si="20"/>
        <v>0</v>
      </c>
      <c r="BO21" s="241">
        <f t="shared" si="21"/>
        <v>0</v>
      </c>
      <c r="BR21" s="241">
        <f t="shared" si="22"/>
        <v>0</v>
      </c>
      <c r="BU21" s="241">
        <f t="shared" si="23"/>
        <v>0</v>
      </c>
      <c r="BX21" s="241">
        <f t="shared" si="24"/>
        <v>0</v>
      </c>
      <c r="CA21" s="241">
        <f t="shared" si="25"/>
        <v>0</v>
      </c>
      <c r="CD21" s="241">
        <f t="shared" si="26"/>
        <v>0</v>
      </c>
      <c r="CG21" s="241">
        <f t="shared" si="27"/>
        <v>0</v>
      </c>
      <c r="CJ21" s="241">
        <f t="shared" si="28"/>
        <v>0</v>
      </c>
      <c r="CM21" s="241">
        <f t="shared" si="29"/>
        <v>0</v>
      </c>
      <c r="CP21" s="241">
        <f t="shared" si="30"/>
        <v>0</v>
      </c>
      <c r="CS21" s="241">
        <f t="shared" si="31"/>
        <v>0</v>
      </c>
      <c r="CV21" s="241">
        <f t="shared" si="32"/>
        <v>0</v>
      </c>
      <c r="CY21" s="241">
        <f t="shared" si="33"/>
        <v>0</v>
      </c>
      <c r="DB21" s="241">
        <f t="shared" si="34"/>
        <v>0</v>
      </c>
      <c r="DE21" s="241">
        <f t="shared" si="35"/>
        <v>0</v>
      </c>
      <c r="DH21" s="241">
        <f t="shared" si="36"/>
        <v>0</v>
      </c>
      <c r="DK21" s="241">
        <f t="shared" si="37"/>
        <v>0</v>
      </c>
      <c r="DN21" s="241">
        <f t="shared" si="38"/>
        <v>0</v>
      </c>
      <c r="DQ21" s="241">
        <f t="shared" si="39"/>
        <v>0</v>
      </c>
      <c r="DT21" s="241">
        <f t="shared" si="40"/>
        <v>0</v>
      </c>
      <c r="DW21" s="241">
        <f t="shared" si="41"/>
        <v>0</v>
      </c>
      <c r="DZ21" s="241"/>
      <c r="EA21" s="241"/>
      <c r="EB21" s="261">
        <f t="shared" si="42"/>
        <v>339975000</v>
      </c>
      <c r="EC21" s="261">
        <f t="shared" si="43"/>
        <v>0</v>
      </c>
      <c r="ED21" s="241">
        <f t="shared" si="44"/>
        <v>43427.423611111109</v>
      </c>
      <c r="EE21" s="242">
        <f t="shared" si="45"/>
        <v>4.5985359217589526E-2</v>
      </c>
      <c r="EG21" s="261">
        <f t="shared" si="46"/>
        <v>0</v>
      </c>
      <c r="EH21" s="241">
        <f t="shared" si="47"/>
        <v>0</v>
      </c>
      <c r="EI21" s="242">
        <f t="shared" si="48"/>
        <v>0</v>
      </c>
      <c r="EJ21" s="242"/>
      <c r="EK21" s="261">
        <f t="shared" si="49"/>
        <v>339975000</v>
      </c>
      <c r="EL21" s="261">
        <f t="shared" si="50"/>
        <v>0</v>
      </c>
      <c r="EM21" s="261">
        <f t="shared" si="51"/>
        <v>43427.423611111109</v>
      </c>
      <c r="EN21" s="242">
        <f t="shared" si="52"/>
        <v>4.5985359217589526E-2</v>
      </c>
      <c r="EP21" s="241"/>
    </row>
    <row r="22" spans="1:146" x14ac:dyDescent="0.25">
      <c r="A22" s="255">
        <f t="shared" si="53"/>
        <v>45850</v>
      </c>
      <c r="B22" s="241">
        <v>0</v>
      </c>
      <c r="C22" s="242">
        <v>4.6105539999999993E-2</v>
      </c>
      <c r="D22" s="241">
        <f t="shared" si="2"/>
        <v>0</v>
      </c>
      <c r="G22" s="241">
        <f t="shared" si="3"/>
        <v>0</v>
      </c>
      <c r="J22" s="241">
        <f t="shared" si="4"/>
        <v>0</v>
      </c>
      <c r="M22" s="241">
        <f t="shared" si="5"/>
        <v>0</v>
      </c>
      <c r="P22" s="241">
        <f t="shared" si="6"/>
        <v>0</v>
      </c>
      <c r="S22" s="241">
        <f t="shared" si="7"/>
        <v>0</v>
      </c>
      <c r="V22" s="241">
        <f t="shared" si="8"/>
        <v>0</v>
      </c>
      <c r="Y22" s="241">
        <f t="shared" si="9"/>
        <v>0</v>
      </c>
      <c r="AB22" s="241">
        <f t="shared" si="10"/>
        <v>0</v>
      </c>
      <c r="AE22" s="241">
        <v>0</v>
      </c>
      <c r="AH22" s="241">
        <v>0</v>
      </c>
      <c r="AI22" s="256">
        <v>94975000</v>
      </c>
      <c r="AJ22" s="257">
        <v>4.5100000000000001E-2</v>
      </c>
      <c r="AK22" s="241">
        <f t="shared" si="11"/>
        <v>11898.256944444445</v>
      </c>
      <c r="AL22" s="256">
        <f t="shared" si="54"/>
        <v>35000000</v>
      </c>
      <c r="AM22" s="257">
        <v>4.65E-2</v>
      </c>
      <c r="AN22" s="241">
        <f t="shared" si="12"/>
        <v>4520.833333333333</v>
      </c>
      <c r="AO22" s="256">
        <f t="shared" si="0"/>
        <v>80000000</v>
      </c>
      <c r="AP22" s="257">
        <v>4.6300000000000001E-2</v>
      </c>
      <c r="AQ22" s="241">
        <f t="shared" si="13"/>
        <v>10288.888888888889</v>
      </c>
      <c r="AR22" s="256">
        <f t="shared" si="55"/>
        <v>130000000</v>
      </c>
      <c r="AS22" s="257">
        <v>4.6300000000000001E-2</v>
      </c>
      <c r="AT22" s="241">
        <f t="shared" si="14"/>
        <v>16719.444444444445</v>
      </c>
      <c r="AW22" s="241">
        <f t="shared" si="15"/>
        <v>0</v>
      </c>
      <c r="AZ22" s="241">
        <f t="shared" si="16"/>
        <v>0</v>
      </c>
      <c r="BC22" s="241">
        <f t="shared" si="17"/>
        <v>0</v>
      </c>
      <c r="BF22" s="241">
        <f t="shared" si="18"/>
        <v>0</v>
      </c>
      <c r="BI22" s="241">
        <f t="shared" si="19"/>
        <v>0</v>
      </c>
      <c r="BL22" s="241">
        <f t="shared" si="20"/>
        <v>0</v>
      </c>
      <c r="BO22" s="241">
        <f t="shared" si="21"/>
        <v>0</v>
      </c>
      <c r="BR22" s="241">
        <f t="shared" si="22"/>
        <v>0</v>
      </c>
      <c r="BU22" s="241">
        <f t="shared" si="23"/>
        <v>0</v>
      </c>
      <c r="BX22" s="241">
        <f t="shared" si="24"/>
        <v>0</v>
      </c>
      <c r="CA22" s="241">
        <f t="shared" si="25"/>
        <v>0</v>
      </c>
      <c r="CD22" s="241">
        <f t="shared" si="26"/>
        <v>0</v>
      </c>
      <c r="CG22" s="241">
        <f t="shared" si="27"/>
        <v>0</v>
      </c>
      <c r="CJ22" s="241">
        <f t="shared" si="28"/>
        <v>0</v>
      </c>
      <c r="CM22" s="241">
        <f t="shared" si="29"/>
        <v>0</v>
      </c>
      <c r="CP22" s="241">
        <f t="shared" si="30"/>
        <v>0</v>
      </c>
      <c r="CS22" s="241">
        <f t="shared" si="31"/>
        <v>0</v>
      </c>
      <c r="CV22" s="241">
        <f t="shared" si="32"/>
        <v>0</v>
      </c>
      <c r="CY22" s="241">
        <f t="shared" si="33"/>
        <v>0</v>
      </c>
      <c r="DB22" s="241">
        <f t="shared" si="34"/>
        <v>0</v>
      </c>
      <c r="DE22" s="241">
        <f t="shared" si="35"/>
        <v>0</v>
      </c>
      <c r="DH22" s="241">
        <f t="shared" si="36"/>
        <v>0</v>
      </c>
      <c r="DK22" s="241">
        <f t="shared" si="37"/>
        <v>0</v>
      </c>
      <c r="DN22" s="241">
        <f t="shared" si="38"/>
        <v>0</v>
      </c>
      <c r="DQ22" s="241">
        <f t="shared" si="39"/>
        <v>0</v>
      </c>
      <c r="DT22" s="241">
        <f t="shared" si="40"/>
        <v>0</v>
      </c>
      <c r="DW22" s="241">
        <f t="shared" si="41"/>
        <v>0</v>
      </c>
      <c r="DZ22" s="241"/>
      <c r="EA22" s="241"/>
      <c r="EB22" s="261">
        <f t="shared" si="42"/>
        <v>339975000</v>
      </c>
      <c r="EC22" s="261">
        <f t="shared" si="43"/>
        <v>0</v>
      </c>
      <c r="ED22" s="241">
        <f t="shared" si="44"/>
        <v>43427.423611111109</v>
      </c>
      <c r="EE22" s="242">
        <f t="shared" si="45"/>
        <v>4.5985359217589526E-2</v>
      </c>
      <c r="EG22" s="261">
        <f t="shared" si="46"/>
        <v>0</v>
      </c>
      <c r="EH22" s="241">
        <f t="shared" si="47"/>
        <v>0</v>
      </c>
      <c r="EI22" s="242">
        <f t="shared" si="48"/>
        <v>0</v>
      </c>
      <c r="EJ22" s="242"/>
      <c r="EK22" s="261">
        <f t="shared" si="49"/>
        <v>339975000</v>
      </c>
      <c r="EL22" s="261">
        <f t="shared" si="50"/>
        <v>0</v>
      </c>
      <c r="EM22" s="261">
        <f t="shared" si="51"/>
        <v>43427.423611111109</v>
      </c>
      <c r="EN22" s="242">
        <f t="shared" si="52"/>
        <v>4.5985359217589526E-2</v>
      </c>
      <c r="EP22" s="241"/>
    </row>
    <row r="23" spans="1:146" x14ac:dyDescent="0.25">
      <c r="A23" s="255">
        <f t="shared" si="53"/>
        <v>45851</v>
      </c>
      <c r="B23" s="241">
        <v>0</v>
      </c>
      <c r="C23" s="242">
        <v>4.6105539999999993E-2</v>
      </c>
      <c r="D23" s="241">
        <f t="shared" si="2"/>
        <v>0</v>
      </c>
      <c r="G23" s="241">
        <f t="shared" si="3"/>
        <v>0</v>
      </c>
      <c r="J23" s="241">
        <f t="shared" si="4"/>
        <v>0</v>
      </c>
      <c r="M23" s="241">
        <f t="shared" si="5"/>
        <v>0</v>
      </c>
      <c r="P23" s="241">
        <f t="shared" si="6"/>
        <v>0</v>
      </c>
      <c r="S23" s="241">
        <f t="shared" si="7"/>
        <v>0</v>
      </c>
      <c r="V23" s="241">
        <f t="shared" si="8"/>
        <v>0</v>
      </c>
      <c r="Y23" s="241">
        <f t="shared" si="9"/>
        <v>0</v>
      </c>
      <c r="AB23" s="241">
        <f t="shared" si="10"/>
        <v>0</v>
      </c>
      <c r="AE23" s="241">
        <v>0</v>
      </c>
      <c r="AH23" s="241">
        <v>0</v>
      </c>
      <c r="AI23" s="256">
        <v>94975000</v>
      </c>
      <c r="AJ23" s="257">
        <v>4.5100000000000001E-2</v>
      </c>
      <c r="AK23" s="241">
        <f t="shared" si="11"/>
        <v>11898.256944444445</v>
      </c>
      <c r="AL23" s="256">
        <f t="shared" si="54"/>
        <v>35000000</v>
      </c>
      <c r="AM23" s="257">
        <v>4.65E-2</v>
      </c>
      <c r="AN23" s="241">
        <f t="shared" si="12"/>
        <v>4520.833333333333</v>
      </c>
      <c r="AO23" s="256">
        <f t="shared" si="0"/>
        <v>80000000</v>
      </c>
      <c r="AP23" s="257">
        <v>4.6300000000000001E-2</v>
      </c>
      <c r="AQ23" s="241">
        <f t="shared" si="13"/>
        <v>10288.888888888889</v>
      </c>
      <c r="AR23" s="256">
        <f t="shared" si="55"/>
        <v>130000000</v>
      </c>
      <c r="AS23" s="257">
        <v>4.6300000000000001E-2</v>
      </c>
      <c r="AT23" s="241">
        <f t="shared" si="14"/>
        <v>16719.444444444445</v>
      </c>
      <c r="AW23" s="241">
        <f t="shared" si="15"/>
        <v>0</v>
      </c>
      <c r="AZ23" s="241">
        <f t="shared" si="16"/>
        <v>0</v>
      </c>
      <c r="BC23" s="241">
        <f t="shared" si="17"/>
        <v>0</v>
      </c>
      <c r="BF23" s="241">
        <f t="shared" si="18"/>
        <v>0</v>
      </c>
      <c r="BI23" s="241">
        <f t="shared" si="19"/>
        <v>0</v>
      </c>
      <c r="BL23" s="241">
        <f t="shared" si="20"/>
        <v>0</v>
      </c>
      <c r="BO23" s="241">
        <f t="shared" si="21"/>
        <v>0</v>
      </c>
      <c r="BR23" s="241">
        <f t="shared" si="22"/>
        <v>0</v>
      </c>
      <c r="BU23" s="241">
        <f t="shared" si="23"/>
        <v>0</v>
      </c>
      <c r="BX23" s="241">
        <f t="shared" si="24"/>
        <v>0</v>
      </c>
      <c r="CA23" s="241">
        <f t="shared" si="25"/>
        <v>0</v>
      </c>
      <c r="CD23" s="241">
        <f t="shared" si="26"/>
        <v>0</v>
      </c>
      <c r="CG23" s="241">
        <f t="shared" si="27"/>
        <v>0</v>
      </c>
      <c r="CJ23" s="241">
        <f t="shared" si="28"/>
        <v>0</v>
      </c>
      <c r="CM23" s="241">
        <f t="shared" si="29"/>
        <v>0</v>
      </c>
      <c r="CP23" s="241">
        <f t="shared" si="30"/>
        <v>0</v>
      </c>
      <c r="CS23" s="241">
        <f t="shared" si="31"/>
        <v>0</v>
      </c>
      <c r="CV23" s="241">
        <f t="shared" si="32"/>
        <v>0</v>
      </c>
      <c r="CY23" s="241">
        <f t="shared" si="33"/>
        <v>0</v>
      </c>
      <c r="DB23" s="241">
        <f t="shared" si="34"/>
        <v>0</v>
      </c>
      <c r="DE23" s="241">
        <f t="shared" si="35"/>
        <v>0</v>
      </c>
      <c r="DH23" s="241">
        <f t="shared" si="36"/>
        <v>0</v>
      </c>
      <c r="DK23" s="241">
        <f t="shared" si="37"/>
        <v>0</v>
      </c>
      <c r="DN23" s="241">
        <f t="shared" si="38"/>
        <v>0</v>
      </c>
      <c r="DQ23" s="241">
        <f t="shared" si="39"/>
        <v>0</v>
      </c>
      <c r="DT23" s="241">
        <f t="shared" si="40"/>
        <v>0</v>
      </c>
      <c r="DW23" s="241">
        <f t="shared" si="41"/>
        <v>0</v>
      </c>
      <c r="DZ23" s="241"/>
      <c r="EA23" s="241"/>
      <c r="EB23" s="261">
        <f t="shared" si="42"/>
        <v>339975000</v>
      </c>
      <c r="EC23" s="261">
        <f t="shared" si="43"/>
        <v>0</v>
      </c>
      <c r="ED23" s="241">
        <f t="shared" si="44"/>
        <v>43427.423611111109</v>
      </c>
      <c r="EE23" s="242">
        <f t="shared" si="45"/>
        <v>4.5985359217589526E-2</v>
      </c>
      <c r="EG23" s="261">
        <f t="shared" si="46"/>
        <v>0</v>
      </c>
      <c r="EH23" s="241">
        <f t="shared" si="47"/>
        <v>0</v>
      </c>
      <c r="EI23" s="242">
        <f t="shared" si="48"/>
        <v>0</v>
      </c>
      <c r="EJ23" s="242"/>
      <c r="EK23" s="261">
        <f t="shared" si="49"/>
        <v>339975000</v>
      </c>
      <c r="EL23" s="261">
        <f t="shared" si="50"/>
        <v>0</v>
      </c>
      <c r="EM23" s="261">
        <f t="shared" si="51"/>
        <v>43427.423611111109</v>
      </c>
      <c r="EN23" s="242">
        <f t="shared" si="52"/>
        <v>4.5985359217589526E-2</v>
      </c>
      <c r="EP23" s="241"/>
    </row>
    <row r="24" spans="1:146" x14ac:dyDescent="0.25">
      <c r="A24" s="255">
        <f t="shared" si="53"/>
        <v>45852</v>
      </c>
      <c r="B24" s="241">
        <v>0</v>
      </c>
      <c r="C24" s="242">
        <v>4.6103180000000001E-2</v>
      </c>
      <c r="D24" s="241">
        <f t="shared" si="2"/>
        <v>0</v>
      </c>
      <c r="G24" s="241">
        <f t="shared" si="3"/>
        <v>0</v>
      </c>
      <c r="J24" s="241">
        <f t="shared" si="4"/>
        <v>0</v>
      </c>
      <c r="M24" s="241">
        <f t="shared" si="5"/>
        <v>0</v>
      </c>
      <c r="P24" s="241">
        <f t="shared" si="6"/>
        <v>0</v>
      </c>
      <c r="S24" s="241">
        <f t="shared" si="7"/>
        <v>0</v>
      </c>
      <c r="V24" s="241">
        <f t="shared" si="8"/>
        <v>0</v>
      </c>
      <c r="Y24" s="241">
        <f t="shared" si="9"/>
        <v>0</v>
      </c>
      <c r="AB24" s="241">
        <f t="shared" si="10"/>
        <v>0</v>
      </c>
      <c r="AE24" s="241">
        <v>0</v>
      </c>
      <c r="AH24" s="241">
        <v>0</v>
      </c>
      <c r="AI24" s="256">
        <f>18900000+110000000</f>
        <v>128900000</v>
      </c>
      <c r="AJ24" s="257">
        <v>4.5100000000000001E-2</v>
      </c>
      <c r="AK24" s="241">
        <f t="shared" si="11"/>
        <v>16148.305555555555</v>
      </c>
      <c r="AL24" s="256">
        <f t="shared" si="54"/>
        <v>35000000</v>
      </c>
      <c r="AM24" s="257">
        <v>4.65E-2</v>
      </c>
      <c r="AN24" s="241">
        <f t="shared" si="12"/>
        <v>4520.833333333333</v>
      </c>
      <c r="AO24" s="256">
        <f t="shared" si="0"/>
        <v>80000000</v>
      </c>
      <c r="AP24" s="257">
        <v>4.6300000000000001E-2</v>
      </c>
      <c r="AQ24" s="241">
        <f t="shared" si="13"/>
        <v>10288.888888888889</v>
      </c>
      <c r="AR24" s="256">
        <f t="shared" si="55"/>
        <v>130000000</v>
      </c>
      <c r="AS24" s="257">
        <v>4.6300000000000001E-2</v>
      </c>
      <c r="AT24" s="241">
        <f t="shared" si="14"/>
        <v>16719.444444444445</v>
      </c>
      <c r="AW24" s="241">
        <f t="shared" si="15"/>
        <v>0</v>
      </c>
      <c r="AZ24" s="241">
        <f t="shared" si="16"/>
        <v>0</v>
      </c>
      <c r="BC24" s="241">
        <f t="shared" si="17"/>
        <v>0</v>
      </c>
      <c r="BF24" s="241">
        <f t="shared" si="18"/>
        <v>0</v>
      </c>
      <c r="BI24" s="241">
        <f t="shared" si="19"/>
        <v>0</v>
      </c>
      <c r="BL24" s="241">
        <f t="shared" si="20"/>
        <v>0</v>
      </c>
      <c r="BO24" s="241">
        <f t="shared" si="21"/>
        <v>0</v>
      </c>
      <c r="BR24" s="241">
        <f t="shared" si="22"/>
        <v>0</v>
      </c>
      <c r="BU24" s="241">
        <f t="shared" si="23"/>
        <v>0</v>
      </c>
      <c r="BX24" s="241">
        <f t="shared" si="24"/>
        <v>0</v>
      </c>
      <c r="CA24" s="241">
        <f t="shared" si="25"/>
        <v>0</v>
      </c>
      <c r="CD24" s="241">
        <f t="shared" si="26"/>
        <v>0</v>
      </c>
      <c r="CG24" s="241">
        <f t="shared" si="27"/>
        <v>0</v>
      </c>
      <c r="CJ24" s="241">
        <f t="shared" si="28"/>
        <v>0</v>
      </c>
      <c r="CM24" s="241">
        <f t="shared" si="29"/>
        <v>0</v>
      </c>
      <c r="CP24" s="241">
        <f t="shared" si="30"/>
        <v>0</v>
      </c>
      <c r="CS24" s="241">
        <f t="shared" si="31"/>
        <v>0</v>
      </c>
      <c r="CV24" s="241">
        <f t="shared" si="32"/>
        <v>0</v>
      </c>
      <c r="CY24" s="241">
        <f t="shared" si="33"/>
        <v>0</v>
      </c>
      <c r="DB24" s="241">
        <f t="shared" si="34"/>
        <v>0</v>
      </c>
      <c r="DE24" s="241">
        <f t="shared" si="35"/>
        <v>0</v>
      </c>
      <c r="DH24" s="241">
        <f t="shared" si="36"/>
        <v>0</v>
      </c>
      <c r="DK24" s="241">
        <f t="shared" si="37"/>
        <v>0</v>
      </c>
      <c r="DN24" s="241">
        <f t="shared" si="38"/>
        <v>0</v>
      </c>
      <c r="DQ24" s="241">
        <f t="shared" si="39"/>
        <v>0</v>
      </c>
      <c r="DT24" s="241">
        <f t="shared" si="40"/>
        <v>0</v>
      </c>
      <c r="DW24" s="241">
        <f t="shared" si="41"/>
        <v>0</v>
      </c>
      <c r="DZ24" s="241"/>
      <c r="EA24" s="241"/>
      <c r="EB24" s="261">
        <f t="shared" si="42"/>
        <v>373900000</v>
      </c>
      <c r="EC24" s="261">
        <f t="shared" si="43"/>
        <v>0</v>
      </c>
      <c r="ED24" s="241">
        <f t="shared" si="44"/>
        <v>47677.472222222219</v>
      </c>
      <c r="EE24" s="242">
        <f t="shared" si="45"/>
        <v>4.5905028082374962E-2</v>
      </c>
      <c r="EG24" s="261">
        <f t="shared" si="46"/>
        <v>0</v>
      </c>
      <c r="EH24" s="241">
        <f t="shared" si="47"/>
        <v>0</v>
      </c>
      <c r="EI24" s="242">
        <f t="shared" si="48"/>
        <v>0</v>
      </c>
      <c r="EJ24" s="242"/>
      <c r="EK24" s="261">
        <f t="shared" si="49"/>
        <v>373900000</v>
      </c>
      <c r="EL24" s="261">
        <f t="shared" si="50"/>
        <v>0</v>
      </c>
      <c r="EM24" s="261">
        <f t="shared" si="51"/>
        <v>47677.472222222219</v>
      </c>
      <c r="EN24" s="242">
        <f t="shared" si="52"/>
        <v>4.5905028082374962E-2</v>
      </c>
      <c r="EP24" s="241"/>
    </row>
    <row r="25" spans="1:146" x14ac:dyDescent="0.25">
      <c r="A25" s="255">
        <f t="shared" si="53"/>
        <v>45853</v>
      </c>
      <c r="B25" s="241">
        <v>0</v>
      </c>
      <c r="C25" s="242">
        <v>4.6043079999999993E-2</v>
      </c>
      <c r="D25" s="241">
        <f t="shared" si="2"/>
        <v>0</v>
      </c>
      <c r="G25" s="241">
        <f t="shared" si="3"/>
        <v>0</v>
      </c>
      <c r="J25" s="241">
        <f t="shared" si="4"/>
        <v>0</v>
      </c>
      <c r="M25" s="241">
        <f t="shared" si="5"/>
        <v>0</v>
      </c>
      <c r="P25" s="241">
        <f t="shared" si="6"/>
        <v>0</v>
      </c>
      <c r="S25" s="241">
        <f t="shared" si="7"/>
        <v>0</v>
      </c>
      <c r="V25" s="241">
        <f t="shared" si="8"/>
        <v>0</v>
      </c>
      <c r="Y25" s="241">
        <f t="shared" si="9"/>
        <v>0</v>
      </c>
      <c r="AB25" s="241">
        <f t="shared" si="10"/>
        <v>0</v>
      </c>
      <c r="AE25" s="241">
        <v>0</v>
      </c>
      <c r="AH25" s="241">
        <v>0</v>
      </c>
      <c r="AI25" s="256">
        <f>77100000</f>
        <v>77100000</v>
      </c>
      <c r="AJ25" s="257">
        <v>4.5100000000000001E-2</v>
      </c>
      <c r="AK25" s="241">
        <f t="shared" si="11"/>
        <v>9658.9166666666661</v>
      </c>
      <c r="AL25" s="256">
        <f t="shared" si="54"/>
        <v>35000000</v>
      </c>
      <c r="AM25" s="257">
        <v>4.65E-2</v>
      </c>
      <c r="AN25" s="241">
        <f t="shared" si="12"/>
        <v>4520.833333333333</v>
      </c>
      <c r="AO25" s="256">
        <f t="shared" si="0"/>
        <v>80000000</v>
      </c>
      <c r="AP25" s="257">
        <v>4.6300000000000001E-2</v>
      </c>
      <c r="AQ25" s="241">
        <f t="shared" si="13"/>
        <v>10288.888888888889</v>
      </c>
      <c r="AR25" s="256">
        <f t="shared" si="55"/>
        <v>130000000</v>
      </c>
      <c r="AS25" s="257">
        <v>4.6300000000000001E-2</v>
      </c>
      <c r="AT25" s="241">
        <f t="shared" si="14"/>
        <v>16719.444444444445</v>
      </c>
      <c r="AU25" s="241">
        <f t="shared" ref="AU25:AU40" si="56">40000000</f>
        <v>40000000</v>
      </c>
      <c r="AV25" s="242">
        <v>4.5999999999999999E-2</v>
      </c>
      <c r="AW25" s="241">
        <f t="shared" si="15"/>
        <v>5111.1111111111113</v>
      </c>
      <c r="AZ25" s="241">
        <f t="shared" si="16"/>
        <v>0</v>
      </c>
      <c r="BC25" s="241">
        <f t="shared" si="17"/>
        <v>0</v>
      </c>
      <c r="BF25" s="241">
        <f t="shared" si="18"/>
        <v>0</v>
      </c>
      <c r="BI25" s="241">
        <f t="shared" si="19"/>
        <v>0</v>
      </c>
      <c r="BL25" s="241">
        <f t="shared" si="20"/>
        <v>0</v>
      </c>
      <c r="BO25" s="241">
        <f t="shared" si="21"/>
        <v>0</v>
      </c>
      <c r="BR25" s="241">
        <f t="shared" si="22"/>
        <v>0</v>
      </c>
      <c r="BU25" s="241">
        <f t="shared" si="23"/>
        <v>0</v>
      </c>
      <c r="BX25" s="241">
        <f t="shared" si="24"/>
        <v>0</v>
      </c>
      <c r="CA25" s="241">
        <f t="shared" si="25"/>
        <v>0</v>
      </c>
      <c r="CD25" s="241">
        <f t="shared" si="26"/>
        <v>0</v>
      </c>
      <c r="CG25" s="241">
        <f t="shared" si="27"/>
        <v>0</v>
      </c>
      <c r="CJ25" s="241">
        <f t="shared" si="28"/>
        <v>0</v>
      </c>
      <c r="CM25" s="241">
        <f t="shared" si="29"/>
        <v>0</v>
      </c>
      <c r="CP25" s="241">
        <f t="shared" si="30"/>
        <v>0</v>
      </c>
      <c r="CS25" s="241">
        <f t="shared" si="31"/>
        <v>0</v>
      </c>
      <c r="CV25" s="241">
        <f t="shared" si="32"/>
        <v>0</v>
      </c>
      <c r="CY25" s="241">
        <f t="shared" si="33"/>
        <v>0</v>
      </c>
      <c r="DB25" s="241">
        <f t="shared" si="34"/>
        <v>0</v>
      </c>
      <c r="DE25" s="241">
        <f t="shared" si="35"/>
        <v>0</v>
      </c>
      <c r="DH25" s="241">
        <f t="shared" si="36"/>
        <v>0</v>
      </c>
      <c r="DK25" s="241">
        <f t="shared" si="37"/>
        <v>0</v>
      </c>
      <c r="DN25" s="241">
        <f t="shared" si="38"/>
        <v>0</v>
      </c>
      <c r="DQ25" s="241">
        <f t="shared" si="39"/>
        <v>0</v>
      </c>
      <c r="DT25" s="241">
        <f t="shared" si="40"/>
        <v>0</v>
      </c>
      <c r="DW25" s="241">
        <f t="shared" si="41"/>
        <v>0</v>
      </c>
      <c r="DZ25" s="241"/>
      <c r="EA25" s="241"/>
      <c r="EB25" s="261">
        <f t="shared" si="42"/>
        <v>362100000</v>
      </c>
      <c r="EC25" s="261">
        <f t="shared" si="43"/>
        <v>0</v>
      </c>
      <c r="ED25" s="241">
        <f t="shared" si="44"/>
        <v>46299.194444444445</v>
      </c>
      <c r="EE25" s="242">
        <f t="shared" si="45"/>
        <v>4.6030682132007734E-2</v>
      </c>
      <c r="EG25" s="261">
        <f t="shared" si="46"/>
        <v>0</v>
      </c>
      <c r="EH25" s="241">
        <f t="shared" si="47"/>
        <v>0</v>
      </c>
      <c r="EI25" s="242">
        <f t="shared" si="48"/>
        <v>0</v>
      </c>
      <c r="EJ25" s="242"/>
      <c r="EK25" s="261">
        <f t="shared" si="49"/>
        <v>362100000</v>
      </c>
      <c r="EL25" s="261">
        <f t="shared" si="50"/>
        <v>0</v>
      </c>
      <c r="EM25" s="261">
        <f t="shared" si="51"/>
        <v>46299.194444444445</v>
      </c>
      <c r="EN25" s="242">
        <f t="shared" si="52"/>
        <v>4.6030682132007734E-2</v>
      </c>
      <c r="EP25" s="241"/>
    </row>
    <row r="26" spans="1:146" x14ac:dyDescent="0.25">
      <c r="A26" s="255">
        <f t="shared" si="53"/>
        <v>45854</v>
      </c>
      <c r="B26" s="241">
        <v>0</v>
      </c>
      <c r="C26" s="242">
        <v>4.6030430000000004E-2</v>
      </c>
      <c r="D26" s="241">
        <f t="shared" si="2"/>
        <v>0</v>
      </c>
      <c r="G26" s="241">
        <f t="shared" si="3"/>
        <v>0</v>
      </c>
      <c r="J26" s="241">
        <f t="shared" si="4"/>
        <v>0</v>
      </c>
      <c r="M26" s="241">
        <f t="shared" si="5"/>
        <v>0</v>
      </c>
      <c r="P26" s="241">
        <f t="shared" si="6"/>
        <v>0</v>
      </c>
      <c r="S26" s="241">
        <f t="shared" si="7"/>
        <v>0</v>
      </c>
      <c r="V26" s="241">
        <f t="shared" si="8"/>
        <v>0</v>
      </c>
      <c r="Y26" s="241">
        <f t="shared" si="9"/>
        <v>0</v>
      </c>
      <c r="AB26" s="241">
        <f t="shared" si="10"/>
        <v>0</v>
      </c>
      <c r="AE26" s="241">
        <v>0</v>
      </c>
      <c r="AH26" s="241">
        <v>0</v>
      </c>
      <c r="AI26" s="256"/>
      <c r="AJ26" s="257"/>
      <c r="AK26" s="241">
        <f t="shared" si="11"/>
        <v>0</v>
      </c>
      <c r="AL26" s="256">
        <f t="shared" si="54"/>
        <v>35000000</v>
      </c>
      <c r="AM26" s="257">
        <v>4.65E-2</v>
      </c>
      <c r="AN26" s="241">
        <f t="shared" si="12"/>
        <v>4520.833333333333</v>
      </c>
      <c r="AO26" s="256">
        <f t="shared" si="0"/>
        <v>80000000</v>
      </c>
      <c r="AP26" s="257">
        <v>4.6300000000000001E-2</v>
      </c>
      <c r="AQ26" s="241">
        <f t="shared" si="13"/>
        <v>10288.888888888889</v>
      </c>
      <c r="AR26" s="256">
        <f t="shared" si="55"/>
        <v>130000000</v>
      </c>
      <c r="AS26" s="257">
        <v>4.6300000000000001E-2</v>
      </c>
      <c r="AT26" s="241">
        <f t="shared" si="14"/>
        <v>16719.444444444445</v>
      </c>
      <c r="AU26" s="241">
        <f t="shared" si="56"/>
        <v>40000000</v>
      </c>
      <c r="AV26" s="242">
        <v>4.5999999999999999E-2</v>
      </c>
      <c r="AW26" s="241">
        <f t="shared" si="15"/>
        <v>5111.1111111111113</v>
      </c>
      <c r="AZ26" s="241">
        <f t="shared" si="16"/>
        <v>0</v>
      </c>
      <c r="BC26" s="241">
        <f t="shared" si="17"/>
        <v>0</v>
      </c>
      <c r="BF26" s="241">
        <f t="shared" si="18"/>
        <v>0</v>
      </c>
      <c r="BI26" s="241">
        <f t="shared" si="19"/>
        <v>0</v>
      </c>
      <c r="BL26" s="241">
        <f t="shared" si="20"/>
        <v>0</v>
      </c>
      <c r="BO26" s="241">
        <f t="shared" si="21"/>
        <v>0</v>
      </c>
      <c r="BR26" s="241">
        <f t="shared" si="22"/>
        <v>0</v>
      </c>
      <c r="BU26" s="241">
        <f t="shared" si="23"/>
        <v>0</v>
      </c>
      <c r="BX26" s="241">
        <f t="shared" si="24"/>
        <v>0</v>
      </c>
      <c r="CA26" s="241">
        <f t="shared" si="25"/>
        <v>0</v>
      </c>
      <c r="CD26" s="241">
        <f t="shared" si="26"/>
        <v>0</v>
      </c>
      <c r="CG26" s="241">
        <f t="shared" si="27"/>
        <v>0</v>
      </c>
      <c r="CJ26" s="241">
        <f t="shared" si="28"/>
        <v>0</v>
      </c>
      <c r="CM26" s="241">
        <f t="shared" si="29"/>
        <v>0</v>
      </c>
      <c r="CP26" s="241">
        <f t="shared" si="30"/>
        <v>0</v>
      </c>
      <c r="CS26" s="241">
        <f t="shared" si="31"/>
        <v>0</v>
      </c>
      <c r="CV26" s="241">
        <f t="shared" si="32"/>
        <v>0</v>
      </c>
      <c r="CY26" s="241">
        <f t="shared" si="33"/>
        <v>0</v>
      </c>
      <c r="DB26" s="241">
        <f t="shared" si="34"/>
        <v>0</v>
      </c>
      <c r="DE26" s="241">
        <f t="shared" si="35"/>
        <v>0</v>
      </c>
      <c r="DH26" s="241">
        <f t="shared" si="36"/>
        <v>0</v>
      </c>
      <c r="DK26" s="241">
        <f t="shared" si="37"/>
        <v>0</v>
      </c>
      <c r="DN26" s="241">
        <f t="shared" si="38"/>
        <v>0</v>
      </c>
      <c r="DQ26" s="241">
        <f t="shared" si="39"/>
        <v>0</v>
      </c>
      <c r="DT26" s="241">
        <f t="shared" si="40"/>
        <v>0</v>
      </c>
      <c r="DW26" s="241">
        <f t="shared" si="41"/>
        <v>0</v>
      </c>
      <c r="DZ26" s="241"/>
      <c r="EA26" s="241"/>
      <c r="EB26" s="261">
        <f t="shared" si="42"/>
        <v>285000000</v>
      </c>
      <c r="EC26" s="261">
        <f t="shared" si="43"/>
        <v>0</v>
      </c>
      <c r="ED26" s="241">
        <f t="shared" si="44"/>
        <v>36640.277777777781</v>
      </c>
      <c r="EE26" s="242">
        <f t="shared" si="45"/>
        <v>4.6282456140350883E-2</v>
      </c>
      <c r="EG26" s="261">
        <f t="shared" si="46"/>
        <v>0</v>
      </c>
      <c r="EH26" s="241">
        <f t="shared" si="47"/>
        <v>0</v>
      </c>
      <c r="EI26" s="242">
        <f t="shared" si="48"/>
        <v>0</v>
      </c>
      <c r="EJ26" s="242"/>
      <c r="EK26" s="261">
        <f t="shared" si="49"/>
        <v>285000000</v>
      </c>
      <c r="EL26" s="261">
        <f t="shared" si="50"/>
        <v>0</v>
      </c>
      <c r="EM26" s="261">
        <f t="shared" si="51"/>
        <v>36640.277777777781</v>
      </c>
      <c r="EN26" s="242">
        <f t="shared" si="52"/>
        <v>4.6282456140350883E-2</v>
      </c>
      <c r="EP26" s="241"/>
    </row>
    <row r="27" spans="1:146" x14ac:dyDescent="0.25">
      <c r="A27" s="255">
        <f t="shared" si="53"/>
        <v>45855</v>
      </c>
      <c r="B27" s="241">
        <v>22375000</v>
      </c>
      <c r="C27" s="242">
        <v>4.6195440000000004E-2</v>
      </c>
      <c r="D27" s="241">
        <f t="shared" si="2"/>
        <v>2871.1749166666668</v>
      </c>
      <c r="G27" s="241">
        <f t="shared" si="3"/>
        <v>0</v>
      </c>
      <c r="J27" s="241">
        <f t="shared" si="4"/>
        <v>0</v>
      </c>
      <c r="M27" s="241">
        <f t="shared" si="5"/>
        <v>0</v>
      </c>
      <c r="P27" s="241">
        <f t="shared" si="6"/>
        <v>0</v>
      </c>
      <c r="S27" s="241">
        <f t="shared" si="7"/>
        <v>0</v>
      </c>
      <c r="V27" s="241">
        <f t="shared" si="8"/>
        <v>0</v>
      </c>
      <c r="Y27" s="241">
        <f t="shared" si="9"/>
        <v>0</v>
      </c>
      <c r="AB27" s="241">
        <f t="shared" si="10"/>
        <v>0</v>
      </c>
      <c r="AE27" s="241">
        <v>0</v>
      </c>
      <c r="AH27" s="241">
        <v>0</v>
      </c>
      <c r="AI27" s="256">
        <f>28550000</f>
        <v>28550000</v>
      </c>
      <c r="AJ27" s="257">
        <v>4.5100000000000001E-2</v>
      </c>
      <c r="AK27" s="241">
        <f t="shared" si="11"/>
        <v>3576.6805555555557</v>
      </c>
      <c r="AL27" s="256">
        <f t="shared" si="54"/>
        <v>35000000</v>
      </c>
      <c r="AM27" s="257">
        <v>4.65E-2</v>
      </c>
      <c r="AN27" s="241">
        <f t="shared" si="12"/>
        <v>4520.833333333333</v>
      </c>
      <c r="AO27" s="256">
        <f t="shared" si="0"/>
        <v>80000000</v>
      </c>
      <c r="AP27" s="257">
        <v>4.6300000000000001E-2</v>
      </c>
      <c r="AQ27" s="241">
        <f t="shared" si="13"/>
        <v>10288.888888888889</v>
      </c>
      <c r="AR27" s="256">
        <f t="shared" si="55"/>
        <v>130000000</v>
      </c>
      <c r="AS27" s="257">
        <v>4.6300000000000001E-2</v>
      </c>
      <c r="AT27" s="241">
        <f t="shared" si="14"/>
        <v>16719.444444444445</v>
      </c>
      <c r="AU27" s="241">
        <f t="shared" si="56"/>
        <v>40000000</v>
      </c>
      <c r="AV27" s="242">
        <v>4.5999999999999999E-2</v>
      </c>
      <c r="AW27" s="241">
        <f t="shared" si="15"/>
        <v>5111.1111111111113</v>
      </c>
      <c r="AZ27" s="241">
        <f t="shared" si="16"/>
        <v>0</v>
      </c>
      <c r="BC27" s="241">
        <f t="shared" si="17"/>
        <v>0</v>
      </c>
      <c r="BF27" s="241">
        <f t="shared" si="18"/>
        <v>0</v>
      </c>
      <c r="BI27" s="241">
        <f t="shared" si="19"/>
        <v>0</v>
      </c>
      <c r="BL27" s="241">
        <f t="shared" si="20"/>
        <v>0</v>
      </c>
      <c r="BO27" s="241">
        <f t="shared" si="21"/>
        <v>0</v>
      </c>
      <c r="BR27" s="241">
        <f t="shared" si="22"/>
        <v>0</v>
      </c>
      <c r="BU27" s="241">
        <f t="shared" si="23"/>
        <v>0</v>
      </c>
      <c r="BX27" s="241">
        <f t="shared" si="24"/>
        <v>0</v>
      </c>
      <c r="CA27" s="241">
        <f t="shared" si="25"/>
        <v>0</v>
      </c>
      <c r="CD27" s="241">
        <f t="shared" si="26"/>
        <v>0</v>
      </c>
      <c r="CG27" s="241">
        <f t="shared" si="27"/>
        <v>0</v>
      </c>
      <c r="CJ27" s="241">
        <f t="shared" si="28"/>
        <v>0</v>
      </c>
      <c r="CM27" s="241">
        <f t="shared" si="29"/>
        <v>0</v>
      </c>
      <c r="CP27" s="241">
        <f t="shared" si="30"/>
        <v>0</v>
      </c>
      <c r="CS27" s="241">
        <f t="shared" si="31"/>
        <v>0</v>
      </c>
      <c r="CV27" s="241">
        <f t="shared" si="32"/>
        <v>0</v>
      </c>
      <c r="CY27" s="241">
        <f t="shared" si="33"/>
        <v>0</v>
      </c>
      <c r="DB27" s="241">
        <f t="shared" si="34"/>
        <v>0</v>
      </c>
      <c r="DE27" s="241">
        <f t="shared" si="35"/>
        <v>0</v>
      </c>
      <c r="DH27" s="241">
        <f t="shared" si="36"/>
        <v>0</v>
      </c>
      <c r="DK27" s="241">
        <f t="shared" si="37"/>
        <v>0</v>
      </c>
      <c r="DN27" s="241">
        <f t="shared" si="38"/>
        <v>0</v>
      </c>
      <c r="DQ27" s="241">
        <f t="shared" si="39"/>
        <v>0</v>
      </c>
      <c r="DT27" s="241">
        <f t="shared" si="40"/>
        <v>0</v>
      </c>
      <c r="DW27" s="241">
        <f t="shared" si="41"/>
        <v>0</v>
      </c>
      <c r="DZ27" s="241"/>
      <c r="EA27" s="241"/>
      <c r="EB27" s="261">
        <f t="shared" si="42"/>
        <v>335925000</v>
      </c>
      <c r="EC27" s="261">
        <f t="shared" si="43"/>
        <v>22375000</v>
      </c>
      <c r="ED27" s="241">
        <f t="shared" si="44"/>
        <v>43088.133249999999</v>
      </c>
      <c r="EE27" s="242">
        <f t="shared" si="45"/>
        <v>4.6176164233087735E-2</v>
      </c>
      <c r="EG27" s="261">
        <f t="shared" si="46"/>
        <v>0</v>
      </c>
      <c r="EH27" s="241">
        <f t="shared" si="47"/>
        <v>0</v>
      </c>
      <c r="EI27" s="242">
        <f t="shared" si="48"/>
        <v>0</v>
      </c>
      <c r="EJ27" s="242"/>
      <c r="EK27" s="261">
        <f t="shared" si="49"/>
        <v>313550000</v>
      </c>
      <c r="EL27" s="261">
        <f t="shared" si="50"/>
        <v>0</v>
      </c>
      <c r="EM27" s="261">
        <f t="shared" si="51"/>
        <v>40216.958333333336</v>
      </c>
      <c r="EN27" s="242">
        <f t="shared" si="52"/>
        <v>4.6174788709934626E-2</v>
      </c>
      <c r="EP27" s="241"/>
    </row>
    <row r="28" spans="1:146" x14ac:dyDescent="0.25">
      <c r="A28" s="255">
        <f t="shared" si="53"/>
        <v>45856</v>
      </c>
      <c r="B28" s="241">
        <v>7950000</v>
      </c>
      <c r="C28" s="242">
        <v>4.61441E-2</v>
      </c>
      <c r="D28" s="241">
        <f t="shared" si="2"/>
        <v>1019.0155416666668</v>
      </c>
      <c r="G28" s="241">
        <f t="shared" si="3"/>
        <v>0</v>
      </c>
      <c r="J28" s="241">
        <f t="shared" si="4"/>
        <v>0</v>
      </c>
      <c r="M28" s="241">
        <f t="shared" si="5"/>
        <v>0</v>
      </c>
      <c r="P28" s="241">
        <f t="shared" si="6"/>
        <v>0</v>
      </c>
      <c r="S28" s="241">
        <f t="shared" si="7"/>
        <v>0</v>
      </c>
      <c r="V28" s="241">
        <f t="shared" si="8"/>
        <v>0</v>
      </c>
      <c r="Y28" s="241">
        <f t="shared" si="9"/>
        <v>0</v>
      </c>
      <c r="AB28" s="241">
        <f t="shared" si="10"/>
        <v>0</v>
      </c>
      <c r="AE28" s="241">
        <v>0</v>
      </c>
      <c r="AH28" s="241">
        <v>0</v>
      </c>
      <c r="AI28" s="256">
        <f>56975000</f>
        <v>56975000</v>
      </c>
      <c r="AJ28" s="257">
        <v>4.5100000000000001E-2</v>
      </c>
      <c r="AK28" s="241">
        <f t="shared" si="11"/>
        <v>7137.7013888888887</v>
      </c>
      <c r="AL28" s="256">
        <f t="shared" si="54"/>
        <v>35000000</v>
      </c>
      <c r="AM28" s="257">
        <v>4.65E-2</v>
      </c>
      <c r="AN28" s="241">
        <f t="shared" si="12"/>
        <v>4520.833333333333</v>
      </c>
      <c r="AO28" s="256">
        <f t="shared" si="0"/>
        <v>80000000</v>
      </c>
      <c r="AP28" s="257">
        <v>4.6300000000000001E-2</v>
      </c>
      <c r="AQ28" s="241">
        <f t="shared" si="13"/>
        <v>10288.888888888889</v>
      </c>
      <c r="AR28" s="256">
        <f t="shared" si="55"/>
        <v>130000000</v>
      </c>
      <c r="AS28" s="257">
        <v>4.6300000000000001E-2</v>
      </c>
      <c r="AT28" s="241">
        <f t="shared" si="14"/>
        <v>16719.444444444445</v>
      </c>
      <c r="AU28" s="241">
        <f t="shared" si="56"/>
        <v>40000000</v>
      </c>
      <c r="AV28" s="242">
        <v>4.5999999999999999E-2</v>
      </c>
      <c r="AW28" s="241">
        <f t="shared" si="15"/>
        <v>5111.1111111111113</v>
      </c>
      <c r="AZ28" s="241">
        <f t="shared" si="16"/>
        <v>0</v>
      </c>
      <c r="BC28" s="241">
        <f t="shared" si="17"/>
        <v>0</v>
      </c>
      <c r="BF28" s="241">
        <f t="shared" si="18"/>
        <v>0</v>
      </c>
      <c r="BI28" s="241">
        <f t="shared" si="19"/>
        <v>0</v>
      </c>
      <c r="BL28" s="241">
        <f t="shared" si="20"/>
        <v>0</v>
      </c>
      <c r="BO28" s="241">
        <f t="shared" si="21"/>
        <v>0</v>
      </c>
      <c r="BR28" s="241">
        <f t="shared" si="22"/>
        <v>0</v>
      </c>
      <c r="BU28" s="241">
        <f t="shared" si="23"/>
        <v>0</v>
      </c>
      <c r="BX28" s="241">
        <f t="shared" si="24"/>
        <v>0</v>
      </c>
      <c r="CA28" s="241">
        <f t="shared" si="25"/>
        <v>0</v>
      </c>
      <c r="CD28" s="241">
        <f t="shared" si="26"/>
        <v>0</v>
      </c>
      <c r="CG28" s="241">
        <f t="shared" si="27"/>
        <v>0</v>
      </c>
      <c r="CJ28" s="241">
        <f t="shared" si="28"/>
        <v>0</v>
      </c>
      <c r="CM28" s="241">
        <f t="shared" si="29"/>
        <v>0</v>
      </c>
      <c r="CP28" s="241">
        <f t="shared" si="30"/>
        <v>0</v>
      </c>
      <c r="CS28" s="241">
        <f t="shared" si="31"/>
        <v>0</v>
      </c>
      <c r="CV28" s="241">
        <f t="shared" si="32"/>
        <v>0</v>
      </c>
      <c r="CY28" s="241">
        <f t="shared" si="33"/>
        <v>0</v>
      </c>
      <c r="DB28" s="241">
        <f t="shared" si="34"/>
        <v>0</v>
      </c>
      <c r="DE28" s="241">
        <f t="shared" si="35"/>
        <v>0</v>
      </c>
      <c r="DH28" s="241">
        <f t="shared" si="36"/>
        <v>0</v>
      </c>
      <c r="DK28" s="241">
        <f t="shared" si="37"/>
        <v>0</v>
      </c>
      <c r="DN28" s="241">
        <f t="shared" si="38"/>
        <v>0</v>
      </c>
      <c r="DQ28" s="241">
        <f t="shared" si="39"/>
        <v>0</v>
      </c>
      <c r="DT28" s="241">
        <f t="shared" si="40"/>
        <v>0</v>
      </c>
      <c r="DW28" s="241">
        <f t="shared" si="41"/>
        <v>0</v>
      </c>
      <c r="DZ28" s="241"/>
      <c r="EA28" s="241"/>
      <c r="EB28" s="261">
        <f t="shared" si="42"/>
        <v>349925000</v>
      </c>
      <c r="EC28" s="261">
        <f t="shared" si="43"/>
        <v>7950000</v>
      </c>
      <c r="ED28" s="241">
        <f t="shared" si="44"/>
        <v>44796.994708333332</v>
      </c>
      <c r="EE28" s="242">
        <f t="shared" si="45"/>
        <v>4.6086784582410514E-2</v>
      </c>
      <c r="EG28" s="261">
        <f t="shared" si="46"/>
        <v>0</v>
      </c>
      <c r="EH28" s="241">
        <f t="shared" si="47"/>
        <v>0</v>
      </c>
      <c r="EI28" s="242">
        <f t="shared" si="48"/>
        <v>0</v>
      </c>
      <c r="EJ28" s="242"/>
      <c r="EK28" s="261">
        <f t="shared" si="49"/>
        <v>341975000</v>
      </c>
      <c r="EL28" s="261">
        <f t="shared" si="50"/>
        <v>0</v>
      </c>
      <c r="EM28" s="261">
        <f t="shared" si="51"/>
        <v>43777.979166666672</v>
      </c>
      <c r="EN28" s="242">
        <f t="shared" si="52"/>
        <v>4.6085452152935157E-2</v>
      </c>
      <c r="EP28" s="241"/>
    </row>
    <row r="29" spans="1:146" x14ac:dyDescent="0.25">
      <c r="A29" s="255">
        <f t="shared" si="53"/>
        <v>45857</v>
      </c>
      <c r="B29" s="241">
        <v>7950000</v>
      </c>
      <c r="C29" s="242">
        <v>4.61441E-2</v>
      </c>
      <c r="D29" s="241">
        <f t="shared" si="2"/>
        <v>1019.0155416666668</v>
      </c>
      <c r="G29" s="241">
        <f t="shared" si="3"/>
        <v>0</v>
      </c>
      <c r="J29" s="241">
        <f t="shared" si="4"/>
        <v>0</v>
      </c>
      <c r="M29" s="241">
        <f t="shared" si="5"/>
        <v>0</v>
      </c>
      <c r="P29" s="241">
        <f t="shared" si="6"/>
        <v>0</v>
      </c>
      <c r="S29" s="241">
        <f t="shared" si="7"/>
        <v>0</v>
      </c>
      <c r="V29" s="241">
        <f t="shared" si="8"/>
        <v>0</v>
      </c>
      <c r="Y29" s="241">
        <f t="shared" si="9"/>
        <v>0</v>
      </c>
      <c r="AB29" s="241">
        <f t="shared" si="10"/>
        <v>0</v>
      </c>
      <c r="AE29" s="241">
        <v>0</v>
      </c>
      <c r="AH29" s="241">
        <v>0</v>
      </c>
      <c r="AI29" s="256">
        <f>56975000</f>
        <v>56975000</v>
      </c>
      <c r="AJ29" s="257">
        <v>4.5100000000000001E-2</v>
      </c>
      <c r="AK29" s="241">
        <f t="shared" si="11"/>
        <v>7137.7013888888887</v>
      </c>
      <c r="AL29" s="256">
        <f t="shared" si="54"/>
        <v>35000000</v>
      </c>
      <c r="AM29" s="257">
        <v>4.65E-2</v>
      </c>
      <c r="AN29" s="241">
        <f t="shared" si="12"/>
        <v>4520.833333333333</v>
      </c>
      <c r="AO29" s="256">
        <f t="shared" si="0"/>
        <v>80000000</v>
      </c>
      <c r="AP29" s="257">
        <v>4.6300000000000001E-2</v>
      </c>
      <c r="AQ29" s="241">
        <f t="shared" si="13"/>
        <v>10288.888888888889</v>
      </c>
      <c r="AR29" s="256">
        <f t="shared" si="55"/>
        <v>130000000</v>
      </c>
      <c r="AS29" s="257">
        <v>4.6300000000000001E-2</v>
      </c>
      <c r="AT29" s="241">
        <f t="shared" si="14"/>
        <v>16719.444444444445</v>
      </c>
      <c r="AU29" s="241">
        <f t="shared" si="56"/>
        <v>40000000</v>
      </c>
      <c r="AV29" s="242">
        <v>4.5999999999999999E-2</v>
      </c>
      <c r="AW29" s="241">
        <f t="shared" si="15"/>
        <v>5111.1111111111113</v>
      </c>
      <c r="AZ29" s="241">
        <f t="shared" si="16"/>
        <v>0</v>
      </c>
      <c r="BC29" s="241">
        <f t="shared" si="17"/>
        <v>0</v>
      </c>
      <c r="BF29" s="241">
        <f t="shared" si="18"/>
        <v>0</v>
      </c>
      <c r="BI29" s="241">
        <f t="shared" si="19"/>
        <v>0</v>
      </c>
      <c r="BL29" s="241">
        <f t="shared" si="20"/>
        <v>0</v>
      </c>
      <c r="BO29" s="241">
        <f t="shared" si="21"/>
        <v>0</v>
      </c>
      <c r="BR29" s="241">
        <f t="shared" si="22"/>
        <v>0</v>
      </c>
      <c r="BU29" s="241">
        <f t="shared" si="23"/>
        <v>0</v>
      </c>
      <c r="BX29" s="241">
        <f t="shared" si="24"/>
        <v>0</v>
      </c>
      <c r="CA29" s="241">
        <f t="shared" si="25"/>
        <v>0</v>
      </c>
      <c r="CD29" s="241">
        <f t="shared" si="26"/>
        <v>0</v>
      </c>
      <c r="CG29" s="241">
        <f t="shared" si="27"/>
        <v>0</v>
      </c>
      <c r="CJ29" s="241">
        <f t="shared" si="28"/>
        <v>0</v>
      </c>
      <c r="CM29" s="241">
        <f t="shared" si="29"/>
        <v>0</v>
      </c>
      <c r="CP29" s="241">
        <f t="shared" si="30"/>
        <v>0</v>
      </c>
      <c r="CS29" s="241">
        <f t="shared" si="31"/>
        <v>0</v>
      </c>
      <c r="CV29" s="241">
        <f t="shared" si="32"/>
        <v>0</v>
      </c>
      <c r="CY29" s="241">
        <f t="shared" si="33"/>
        <v>0</v>
      </c>
      <c r="DB29" s="241">
        <f t="shared" si="34"/>
        <v>0</v>
      </c>
      <c r="DE29" s="241">
        <f t="shared" si="35"/>
        <v>0</v>
      </c>
      <c r="DH29" s="241">
        <f t="shared" si="36"/>
        <v>0</v>
      </c>
      <c r="DK29" s="241">
        <f t="shared" si="37"/>
        <v>0</v>
      </c>
      <c r="DN29" s="241">
        <f t="shared" si="38"/>
        <v>0</v>
      </c>
      <c r="DQ29" s="241">
        <f t="shared" si="39"/>
        <v>0</v>
      </c>
      <c r="DT29" s="241">
        <f t="shared" si="40"/>
        <v>0</v>
      </c>
      <c r="DW29" s="241">
        <f t="shared" si="41"/>
        <v>0</v>
      </c>
      <c r="DZ29" s="241"/>
      <c r="EA29" s="241"/>
      <c r="EB29" s="261">
        <f t="shared" si="42"/>
        <v>349925000</v>
      </c>
      <c r="EC29" s="261">
        <f t="shared" si="43"/>
        <v>7950000</v>
      </c>
      <c r="ED29" s="241">
        <f t="shared" si="44"/>
        <v>44796.994708333332</v>
      </c>
      <c r="EE29" s="242">
        <f t="shared" si="45"/>
        <v>4.6086784582410514E-2</v>
      </c>
      <c r="EG29" s="261">
        <f t="shared" si="46"/>
        <v>0</v>
      </c>
      <c r="EH29" s="241">
        <f t="shared" si="47"/>
        <v>0</v>
      </c>
      <c r="EI29" s="242">
        <f t="shared" si="48"/>
        <v>0</v>
      </c>
      <c r="EJ29" s="242"/>
      <c r="EK29" s="261">
        <f t="shared" si="49"/>
        <v>341975000</v>
      </c>
      <c r="EL29" s="261">
        <f t="shared" si="50"/>
        <v>0</v>
      </c>
      <c r="EM29" s="261">
        <f t="shared" si="51"/>
        <v>43777.979166666672</v>
      </c>
      <c r="EN29" s="242">
        <f t="shared" si="52"/>
        <v>4.6085452152935157E-2</v>
      </c>
      <c r="EP29" s="241"/>
    </row>
    <row r="30" spans="1:146" x14ac:dyDescent="0.25">
      <c r="A30" s="255">
        <f t="shared" si="53"/>
        <v>45858</v>
      </c>
      <c r="B30" s="241">
        <v>7950000</v>
      </c>
      <c r="C30" s="242">
        <v>4.61441E-2</v>
      </c>
      <c r="D30" s="241">
        <f t="shared" si="2"/>
        <v>1019.0155416666668</v>
      </c>
      <c r="G30" s="241">
        <f t="shared" si="3"/>
        <v>0</v>
      </c>
      <c r="J30" s="241">
        <f t="shared" si="4"/>
        <v>0</v>
      </c>
      <c r="M30" s="241">
        <f t="shared" si="5"/>
        <v>0</v>
      </c>
      <c r="P30" s="241">
        <f t="shared" si="6"/>
        <v>0</v>
      </c>
      <c r="S30" s="241">
        <f t="shared" si="7"/>
        <v>0</v>
      </c>
      <c r="V30" s="241">
        <f t="shared" si="8"/>
        <v>0</v>
      </c>
      <c r="Y30" s="241">
        <f t="shared" si="9"/>
        <v>0</v>
      </c>
      <c r="AB30" s="241">
        <f t="shared" si="10"/>
        <v>0</v>
      </c>
      <c r="AE30" s="241">
        <v>0</v>
      </c>
      <c r="AH30" s="241">
        <v>0</v>
      </c>
      <c r="AI30" s="256">
        <f>56975000</f>
        <v>56975000</v>
      </c>
      <c r="AJ30" s="257">
        <v>4.5100000000000001E-2</v>
      </c>
      <c r="AK30" s="241">
        <f t="shared" si="11"/>
        <v>7137.7013888888887</v>
      </c>
      <c r="AL30" s="256">
        <f t="shared" si="54"/>
        <v>35000000</v>
      </c>
      <c r="AM30" s="257">
        <v>4.65E-2</v>
      </c>
      <c r="AN30" s="241">
        <f t="shared" si="12"/>
        <v>4520.833333333333</v>
      </c>
      <c r="AO30" s="256">
        <f t="shared" si="0"/>
        <v>80000000</v>
      </c>
      <c r="AP30" s="257">
        <v>4.6300000000000001E-2</v>
      </c>
      <c r="AQ30" s="241">
        <f t="shared" si="13"/>
        <v>10288.888888888889</v>
      </c>
      <c r="AR30" s="256">
        <f t="shared" si="55"/>
        <v>130000000</v>
      </c>
      <c r="AS30" s="257">
        <v>4.6300000000000001E-2</v>
      </c>
      <c r="AT30" s="241">
        <f t="shared" si="14"/>
        <v>16719.444444444445</v>
      </c>
      <c r="AU30" s="241">
        <f t="shared" si="56"/>
        <v>40000000</v>
      </c>
      <c r="AV30" s="242">
        <v>4.5999999999999999E-2</v>
      </c>
      <c r="AW30" s="241">
        <f t="shared" si="15"/>
        <v>5111.1111111111113</v>
      </c>
      <c r="AZ30" s="241">
        <f t="shared" si="16"/>
        <v>0</v>
      </c>
      <c r="BC30" s="241">
        <f t="shared" si="17"/>
        <v>0</v>
      </c>
      <c r="BF30" s="241">
        <f t="shared" si="18"/>
        <v>0</v>
      </c>
      <c r="BI30" s="241">
        <f t="shared" si="19"/>
        <v>0</v>
      </c>
      <c r="BL30" s="241">
        <f t="shared" si="20"/>
        <v>0</v>
      </c>
      <c r="BO30" s="241">
        <f t="shared" si="21"/>
        <v>0</v>
      </c>
      <c r="BR30" s="241">
        <f t="shared" si="22"/>
        <v>0</v>
      </c>
      <c r="BU30" s="241">
        <f t="shared" si="23"/>
        <v>0</v>
      </c>
      <c r="BX30" s="241">
        <f t="shared" si="24"/>
        <v>0</v>
      </c>
      <c r="CA30" s="241">
        <f t="shared" si="25"/>
        <v>0</v>
      </c>
      <c r="CD30" s="241">
        <f t="shared" si="26"/>
        <v>0</v>
      </c>
      <c r="CG30" s="241">
        <f t="shared" si="27"/>
        <v>0</v>
      </c>
      <c r="CJ30" s="241">
        <f t="shared" si="28"/>
        <v>0</v>
      </c>
      <c r="CM30" s="241">
        <f t="shared" si="29"/>
        <v>0</v>
      </c>
      <c r="CP30" s="241">
        <f t="shared" si="30"/>
        <v>0</v>
      </c>
      <c r="CS30" s="241">
        <f t="shared" si="31"/>
        <v>0</v>
      </c>
      <c r="CV30" s="241">
        <f t="shared" si="32"/>
        <v>0</v>
      </c>
      <c r="CY30" s="241">
        <f t="shared" si="33"/>
        <v>0</v>
      </c>
      <c r="DB30" s="241">
        <f t="shared" si="34"/>
        <v>0</v>
      </c>
      <c r="DE30" s="241">
        <f t="shared" si="35"/>
        <v>0</v>
      </c>
      <c r="DH30" s="241">
        <f t="shared" si="36"/>
        <v>0</v>
      </c>
      <c r="DK30" s="241">
        <f t="shared" si="37"/>
        <v>0</v>
      </c>
      <c r="DN30" s="241">
        <f t="shared" si="38"/>
        <v>0</v>
      </c>
      <c r="DQ30" s="241">
        <f t="shared" si="39"/>
        <v>0</v>
      </c>
      <c r="DT30" s="241">
        <f t="shared" si="40"/>
        <v>0</v>
      </c>
      <c r="DW30" s="241">
        <f t="shared" si="41"/>
        <v>0</v>
      </c>
      <c r="DZ30" s="241"/>
      <c r="EA30" s="241"/>
      <c r="EB30" s="261">
        <f t="shared" si="42"/>
        <v>349925000</v>
      </c>
      <c r="EC30" s="261">
        <f t="shared" si="43"/>
        <v>7950000</v>
      </c>
      <c r="ED30" s="241">
        <f t="shared" si="44"/>
        <v>44796.994708333332</v>
      </c>
      <c r="EE30" s="242">
        <f t="shared" si="45"/>
        <v>4.6086784582410514E-2</v>
      </c>
      <c r="EG30" s="261">
        <f t="shared" si="46"/>
        <v>0</v>
      </c>
      <c r="EH30" s="241">
        <f t="shared" si="47"/>
        <v>0</v>
      </c>
      <c r="EI30" s="242">
        <f t="shared" si="48"/>
        <v>0</v>
      </c>
      <c r="EJ30" s="242"/>
      <c r="EK30" s="261">
        <f t="shared" si="49"/>
        <v>341975000</v>
      </c>
      <c r="EL30" s="261">
        <f t="shared" si="50"/>
        <v>0</v>
      </c>
      <c r="EM30" s="261">
        <f t="shared" si="51"/>
        <v>43777.979166666672</v>
      </c>
      <c r="EN30" s="242">
        <f t="shared" si="52"/>
        <v>4.6085452152935157E-2</v>
      </c>
      <c r="EP30" s="241"/>
    </row>
    <row r="31" spans="1:146" x14ac:dyDescent="0.25">
      <c r="A31" s="255">
        <f t="shared" si="53"/>
        <v>45859</v>
      </c>
      <c r="B31" s="241">
        <v>7950000</v>
      </c>
      <c r="C31" s="242">
        <v>4.603641E-2</v>
      </c>
      <c r="D31" s="241">
        <f t="shared" si="2"/>
        <v>1016.6373875</v>
      </c>
      <c r="G31" s="241">
        <f t="shared" si="3"/>
        <v>0</v>
      </c>
      <c r="J31" s="241">
        <f t="shared" si="4"/>
        <v>0</v>
      </c>
      <c r="M31" s="241">
        <f t="shared" si="5"/>
        <v>0</v>
      </c>
      <c r="P31" s="241">
        <f t="shared" si="6"/>
        <v>0</v>
      </c>
      <c r="S31" s="241">
        <f t="shared" si="7"/>
        <v>0</v>
      </c>
      <c r="V31" s="241">
        <f t="shared" si="8"/>
        <v>0</v>
      </c>
      <c r="Y31" s="241">
        <f t="shared" si="9"/>
        <v>0</v>
      </c>
      <c r="AB31" s="241">
        <f t="shared" si="10"/>
        <v>0</v>
      </c>
      <c r="AE31" s="241">
        <v>0</v>
      </c>
      <c r="AH31" s="241">
        <v>0</v>
      </c>
      <c r="AI31" s="256">
        <v>56275000</v>
      </c>
      <c r="AJ31" s="257">
        <v>4.5100000000000001E-2</v>
      </c>
      <c r="AK31" s="241">
        <f t="shared" si="11"/>
        <v>7050.0069444444443</v>
      </c>
      <c r="AL31" s="256">
        <f t="shared" si="54"/>
        <v>35000000</v>
      </c>
      <c r="AM31" s="257">
        <v>4.65E-2</v>
      </c>
      <c r="AN31" s="241">
        <f t="shared" si="12"/>
        <v>4520.833333333333</v>
      </c>
      <c r="AO31" s="256">
        <f t="shared" si="0"/>
        <v>80000000</v>
      </c>
      <c r="AP31" s="257">
        <v>4.6300000000000001E-2</v>
      </c>
      <c r="AQ31" s="241">
        <f t="shared" si="13"/>
        <v>10288.888888888889</v>
      </c>
      <c r="AR31" s="256">
        <f t="shared" si="55"/>
        <v>130000000</v>
      </c>
      <c r="AS31" s="257">
        <v>4.6300000000000001E-2</v>
      </c>
      <c r="AT31" s="241">
        <f t="shared" si="14"/>
        <v>16719.444444444445</v>
      </c>
      <c r="AU31" s="241">
        <f t="shared" si="56"/>
        <v>40000000</v>
      </c>
      <c r="AV31" s="242">
        <v>4.5999999999999999E-2</v>
      </c>
      <c r="AW31" s="241">
        <f t="shared" si="15"/>
        <v>5111.1111111111113</v>
      </c>
      <c r="AZ31" s="241">
        <f t="shared" si="16"/>
        <v>0</v>
      </c>
      <c r="BC31" s="241">
        <f t="shared" si="17"/>
        <v>0</v>
      </c>
      <c r="BF31" s="241">
        <f t="shared" si="18"/>
        <v>0</v>
      </c>
      <c r="BI31" s="241">
        <f t="shared" si="19"/>
        <v>0</v>
      </c>
      <c r="BL31" s="241">
        <f t="shared" si="20"/>
        <v>0</v>
      </c>
      <c r="BO31" s="241">
        <f t="shared" si="21"/>
        <v>0</v>
      </c>
      <c r="BR31" s="241">
        <f t="shared" si="22"/>
        <v>0</v>
      </c>
      <c r="BU31" s="241">
        <f t="shared" si="23"/>
        <v>0</v>
      </c>
      <c r="BX31" s="241">
        <f t="shared" si="24"/>
        <v>0</v>
      </c>
      <c r="CA31" s="241">
        <f t="shared" si="25"/>
        <v>0</v>
      </c>
      <c r="CD31" s="241">
        <f t="shared" si="26"/>
        <v>0</v>
      </c>
      <c r="CG31" s="241">
        <f t="shared" si="27"/>
        <v>0</v>
      </c>
      <c r="CJ31" s="241">
        <f t="shared" si="28"/>
        <v>0</v>
      </c>
      <c r="CM31" s="241">
        <f t="shared" si="29"/>
        <v>0</v>
      </c>
      <c r="CP31" s="241">
        <f t="shared" si="30"/>
        <v>0</v>
      </c>
      <c r="CS31" s="241">
        <f t="shared" si="31"/>
        <v>0</v>
      </c>
      <c r="CV31" s="241">
        <f t="shared" si="32"/>
        <v>0</v>
      </c>
      <c r="CY31" s="241">
        <f t="shared" si="33"/>
        <v>0</v>
      </c>
      <c r="DB31" s="241">
        <f t="shared" si="34"/>
        <v>0</v>
      </c>
      <c r="DE31" s="241">
        <f t="shared" si="35"/>
        <v>0</v>
      </c>
      <c r="DH31" s="241">
        <f t="shared" si="36"/>
        <v>0</v>
      </c>
      <c r="DK31" s="241">
        <f t="shared" si="37"/>
        <v>0</v>
      </c>
      <c r="DN31" s="241">
        <f t="shared" si="38"/>
        <v>0</v>
      </c>
      <c r="DQ31" s="241">
        <f t="shared" si="39"/>
        <v>0</v>
      </c>
      <c r="DT31" s="241">
        <f t="shared" si="40"/>
        <v>0</v>
      </c>
      <c r="DW31" s="241">
        <f t="shared" si="41"/>
        <v>0</v>
      </c>
      <c r="DZ31" s="241"/>
      <c r="EA31" s="241"/>
      <c r="EB31" s="261">
        <f t="shared" si="42"/>
        <v>349225000</v>
      </c>
      <c r="EC31" s="261">
        <f t="shared" si="43"/>
        <v>7950000</v>
      </c>
      <c r="ED31" s="241">
        <f t="shared" si="44"/>
        <v>44706.922109722218</v>
      </c>
      <c r="EE31" s="242">
        <f t="shared" si="45"/>
        <v>4.6086311001503323E-2</v>
      </c>
      <c r="EG31" s="261">
        <f t="shared" si="46"/>
        <v>0</v>
      </c>
      <c r="EH31" s="241">
        <f t="shared" si="47"/>
        <v>0</v>
      </c>
      <c r="EI31" s="242">
        <f t="shared" si="48"/>
        <v>0</v>
      </c>
      <c r="EJ31" s="242"/>
      <c r="EK31" s="261">
        <f t="shared" si="49"/>
        <v>341275000</v>
      </c>
      <c r="EL31" s="261">
        <f t="shared" si="50"/>
        <v>0</v>
      </c>
      <c r="EM31" s="261">
        <f t="shared" si="51"/>
        <v>43690.284722222226</v>
      </c>
      <c r="EN31" s="242">
        <f t="shared" si="52"/>
        <v>4.6087473445168857E-2</v>
      </c>
      <c r="EP31" s="241"/>
    </row>
    <row r="32" spans="1:146" x14ac:dyDescent="0.25">
      <c r="A32" s="255">
        <f t="shared" si="53"/>
        <v>45860</v>
      </c>
      <c r="B32" s="241">
        <v>0</v>
      </c>
      <c r="C32" s="242">
        <v>4.5995559999999998E-2</v>
      </c>
      <c r="D32" s="241">
        <f t="shared" si="2"/>
        <v>0</v>
      </c>
      <c r="G32" s="241">
        <f t="shared" si="3"/>
        <v>0</v>
      </c>
      <c r="J32" s="241">
        <f t="shared" si="4"/>
        <v>0</v>
      </c>
      <c r="M32" s="241">
        <f t="shared" si="5"/>
        <v>0</v>
      </c>
      <c r="P32" s="241">
        <f t="shared" si="6"/>
        <v>0</v>
      </c>
      <c r="S32" s="241">
        <f t="shared" si="7"/>
        <v>0</v>
      </c>
      <c r="V32" s="241">
        <f t="shared" si="8"/>
        <v>0</v>
      </c>
      <c r="Y32" s="241">
        <f t="shared" si="9"/>
        <v>0</v>
      </c>
      <c r="AB32" s="241">
        <f t="shared" si="10"/>
        <v>0</v>
      </c>
      <c r="AE32" s="241">
        <v>0</v>
      </c>
      <c r="AH32" s="241">
        <v>0</v>
      </c>
      <c r="AI32" s="256">
        <f>46450000</f>
        <v>46450000</v>
      </c>
      <c r="AJ32" s="257">
        <v>4.5100000000000001E-2</v>
      </c>
      <c r="AK32" s="241">
        <f t="shared" si="11"/>
        <v>5819.1527777777774</v>
      </c>
      <c r="AL32" s="256">
        <f t="shared" si="54"/>
        <v>35000000</v>
      </c>
      <c r="AM32" s="257">
        <v>4.65E-2</v>
      </c>
      <c r="AN32" s="241">
        <f t="shared" si="12"/>
        <v>4520.833333333333</v>
      </c>
      <c r="AO32" s="256">
        <f t="shared" si="0"/>
        <v>80000000</v>
      </c>
      <c r="AP32" s="257">
        <v>4.6300000000000001E-2</v>
      </c>
      <c r="AQ32" s="241">
        <f t="shared" si="13"/>
        <v>10288.888888888889</v>
      </c>
      <c r="AR32" s="256">
        <f t="shared" si="55"/>
        <v>130000000</v>
      </c>
      <c r="AS32" s="257">
        <v>4.6300000000000001E-2</v>
      </c>
      <c r="AT32" s="241">
        <f t="shared" si="14"/>
        <v>16719.444444444445</v>
      </c>
      <c r="AU32" s="241">
        <f t="shared" si="56"/>
        <v>40000000</v>
      </c>
      <c r="AV32" s="242">
        <v>4.5999999999999999E-2</v>
      </c>
      <c r="AW32" s="241">
        <f t="shared" si="15"/>
        <v>5111.1111111111113</v>
      </c>
      <c r="AZ32" s="241">
        <f t="shared" si="16"/>
        <v>0</v>
      </c>
      <c r="BC32" s="241">
        <f t="shared" si="17"/>
        <v>0</v>
      </c>
      <c r="BF32" s="241">
        <f t="shared" si="18"/>
        <v>0</v>
      </c>
      <c r="BI32" s="241">
        <f t="shared" si="19"/>
        <v>0</v>
      </c>
      <c r="BL32" s="241">
        <f t="shared" si="20"/>
        <v>0</v>
      </c>
      <c r="BO32" s="241">
        <f t="shared" si="21"/>
        <v>0</v>
      </c>
      <c r="BR32" s="241">
        <f t="shared" si="22"/>
        <v>0</v>
      </c>
      <c r="BU32" s="241">
        <f t="shared" si="23"/>
        <v>0</v>
      </c>
      <c r="BX32" s="241">
        <f t="shared" si="24"/>
        <v>0</v>
      </c>
      <c r="CA32" s="241">
        <f t="shared" si="25"/>
        <v>0</v>
      </c>
      <c r="CD32" s="241">
        <f t="shared" si="26"/>
        <v>0</v>
      </c>
      <c r="CG32" s="241">
        <f t="shared" si="27"/>
        <v>0</v>
      </c>
      <c r="CJ32" s="241">
        <f t="shared" si="28"/>
        <v>0</v>
      </c>
      <c r="CM32" s="241">
        <f t="shared" si="29"/>
        <v>0</v>
      </c>
      <c r="CP32" s="241">
        <f t="shared" si="30"/>
        <v>0</v>
      </c>
      <c r="CS32" s="241">
        <f t="shared" si="31"/>
        <v>0</v>
      </c>
      <c r="CV32" s="241">
        <f t="shared" si="32"/>
        <v>0</v>
      </c>
      <c r="CY32" s="241">
        <f t="shared" si="33"/>
        <v>0</v>
      </c>
      <c r="DB32" s="241">
        <f t="shared" si="34"/>
        <v>0</v>
      </c>
      <c r="DE32" s="241">
        <f t="shared" si="35"/>
        <v>0</v>
      </c>
      <c r="DH32" s="241">
        <f t="shared" si="36"/>
        <v>0</v>
      </c>
      <c r="DK32" s="241">
        <f t="shared" si="37"/>
        <v>0</v>
      </c>
      <c r="DN32" s="241">
        <f t="shared" si="38"/>
        <v>0</v>
      </c>
      <c r="DQ32" s="241">
        <f t="shared" si="39"/>
        <v>0</v>
      </c>
      <c r="DT32" s="241">
        <f t="shared" si="40"/>
        <v>0</v>
      </c>
      <c r="DW32" s="241">
        <f t="shared" si="41"/>
        <v>0</v>
      </c>
      <c r="DZ32" s="241"/>
      <c r="EA32" s="241"/>
      <c r="EB32" s="261">
        <f t="shared" si="42"/>
        <v>331450000</v>
      </c>
      <c r="EC32" s="261">
        <f t="shared" si="43"/>
        <v>0</v>
      </c>
      <c r="ED32" s="241">
        <f t="shared" si="44"/>
        <v>42459.430555555555</v>
      </c>
      <c r="EE32" s="242">
        <f t="shared" si="45"/>
        <v>4.6116744607029712E-2</v>
      </c>
      <c r="EG32" s="261">
        <f t="shared" si="46"/>
        <v>0</v>
      </c>
      <c r="EH32" s="241">
        <f t="shared" si="47"/>
        <v>0</v>
      </c>
      <c r="EI32" s="242">
        <f t="shared" si="48"/>
        <v>0</v>
      </c>
      <c r="EJ32" s="242"/>
      <c r="EK32" s="261">
        <f t="shared" si="49"/>
        <v>331450000</v>
      </c>
      <c r="EL32" s="261">
        <f t="shared" si="50"/>
        <v>0</v>
      </c>
      <c r="EM32" s="261">
        <f t="shared" si="51"/>
        <v>42459.430555555562</v>
      </c>
      <c r="EN32" s="242">
        <f t="shared" si="52"/>
        <v>4.6116744607029726E-2</v>
      </c>
      <c r="EP32" s="241"/>
    </row>
    <row r="33" spans="1:146" x14ac:dyDescent="0.25">
      <c r="A33" s="255">
        <f t="shared" si="53"/>
        <v>45861</v>
      </c>
      <c r="B33" s="241">
        <v>14075000</v>
      </c>
      <c r="C33" s="242">
        <v>4.6120409999999994E-2</v>
      </c>
      <c r="D33" s="241">
        <f t="shared" si="2"/>
        <v>1803.1799187499998</v>
      </c>
      <c r="G33" s="241">
        <f t="shared" si="3"/>
        <v>0</v>
      </c>
      <c r="J33" s="241">
        <f t="shared" si="4"/>
        <v>0</v>
      </c>
      <c r="M33" s="241">
        <f t="shared" si="5"/>
        <v>0</v>
      </c>
      <c r="P33" s="241">
        <f t="shared" si="6"/>
        <v>0</v>
      </c>
      <c r="S33" s="241">
        <f t="shared" si="7"/>
        <v>0</v>
      </c>
      <c r="V33" s="241">
        <f t="shared" si="8"/>
        <v>0</v>
      </c>
      <c r="Y33" s="241">
        <f t="shared" si="9"/>
        <v>0</v>
      </c>
      <c r="AB33" s="241">
        <f t="shared" si="10"/>
        <v>0</v>
      </c>
      <c r="AE33" s="241">
        <v>0</v>
      </c>
      <c r="AH33" s="241">
        <v>0</v>
      </c>
      <c r="AI33" s="256">
        <f>16075000</f>
        <v>16075000</v>
      </c>
      <c r="AJ33" s="257">
        <v>4.5100000000000001E-2</v>
      </c>
      <c r="AK33" s="241">
        <f t="shared" si="11"/>
        <v>2013.8402777777778</v>
      </c>
      <c r="AL33" s="256">
        <f>35000000</f>
        <v>35000000</v>
      </c>
      <c r="AM33" s="257">
        <v>4.65E-2</v>
      </c>
      <c r="AN33" s="241">
        <f t="shared" si="12"/>
        <v>4520.833333333333</v>
      </c>
      <c r="AO33" s="256">
        <f t="shared" si="0"/>
        <v>80000000</v>
      </c>
      <c r="AP33" s="257">
        <v>4.6300000000000001E-2</v>
      </c>
      <c r="AQ33" s="241">
        <f t="shared" si="13"/>
        <v>10288.888888888889</v>
      </c>
      <c r="AR33" s="256">
        <f t="shared" si="55"/>
        <v>130000000</v>
      </c>
      <c r="AS33" s="257">
        <v>4.6300000000000001E-2</v>
      </c>
      <c r="AT33" s="241">
        <f t="shared" si="14"/>
        <v>16719.444444444445</v>
      </c>
      <c r="AU33" s="241">
        <f t="shared" si="56"/>
        <v>40000000</v>
      </c>
      <c r="AV33" s="242">
        <v>4.5999999999999999E-2</v>
      </c>
      <c r="AW33" s="241">
        <f t="shared" si="15"/>
        <v>5111.1111111111113</v>
      </c>
      <c r="AZ33" s="241">
        <f t="shared" si="16"/>
        <v>0</v>
      </c>
      <c r="BC33" s="241">
        <f t="shared" si="17"/>
        <v>0</v>
      </c>
      <c r="BF33" s="241">
        <f t="shared" si="18"/>
        <v>0</v>
      </c>
      <c r="BI33" s="241">
        <f t="shared" si="19"/>
        <v>0</v>
      </c>
      <c r="BL33" s="241">
        <f t="shared" si="20"/>
        <v>0</v>
      </c>
      <c r="BO33" s="241">
        <f t="shared" si="21"/>
        <v>0</v>
      </c>
      <c r="BR33" s="241">
        <f t="shared" si="22"/>
        <v>0</v>
      </c>
      <c r="BU33" s="241">
        <f t="shared" si="23"/>
        <v>0</v>
      </c>
      <c r="BX33" s="241">
        <f t="shared" si="24"/>
        <v>0</v>
      </c>
      <c r="CA33" s="241">
        <f t="shared" si="25"/>
        <v>0</v>
      </c>
      <c r="CD33" s="241">
        <f t="shared" si="26"/>
        <v>0</v>
      </c>
      <c r="CG33" s="241">
        <f t="shared" si="27"/>
        <v>0</v>
      </c>
      <c r="CJ33" s="241">
        <f t="shared" si="28"/>
        <v>0</v>
      </c>
      <c r="CM33" s="241">
        <f t="shared" si="29"/>
        <v>0</v>
      </c>
      <c r="CP33" s="241">
        <f t="shared" si="30"/>
        <v>0</v>
      </c>
      <c r="CS33" s="241">
        <f t="shared" si="31"/>
        <v>0</v>
      </c>
      <c r="CV33" s="241">
        <f t="shared" si="32"/>
        <v>0</v>
      </c>
      <c r="CY33" s="241">
        <f t="shared" si="33"/>
        <v>0</v>
      </c>
      <c r="DB33" s="241">
        <f t="shared" si="34"/>
        <v>0</v>
      </c>
      <c r="DE33" s="241">
        <f t="shared" si="35"/>
        <v>0</v>
      </c>
      <c r="DH33" s="241">
        <f t="shared" si="36"/>
        <v>0</v>
      </c>
      <c r="DK33" s="241">
        <f t="shared" si="37"/>
        <v>0</v>
      </c>
      <c r="DN33" s="241">
        <f t="shared" si="38"/>
        <v>0</v>
      </c>
      <c r="DQ33" s="241">
        <f t="shared" si="39"/>
        <v>0</v>
      </c>
      <c r="DT33" s="241">
        <f t="shared" si="40"/>
        <v>0</v>
      </c>
      <c r="DW33" s="241">
        <f t="shared" si="41"/>
        <v>0</v>
      </c>
      <c r="DZ33" s="241"/>
      <c r="EA33" s="241"/>
      <c r="EB33" s="261">
        <f t="shared" si="42"/>
        <v>315150000</v>
      </c>
      <c r="EC33" s="261">
        <f t="shared" si="43"/>
        <v>14075000</v>
      </c>
      <c r="ED33" s="241">
        <f t="shared" si="44"/>
        <v>40457.297974305555</v>
      </c>
      <c r="EE33" s="242">
        <f t="shared" si="45"/>
        <v>4.6214904873076314E-2</v>
      </c>
      <c r="EG33" s="261">
        <f t="shared" si="46"/>
        <v>0</v>
      </c>
      <c r="EH33" s="241">
        <f t="shared" si="47"/>
        <v>0</v>
      </c>
      <c r="EI33" s="242">
        <f t="shared" si="48"/>
        <v>0</v>
      </c>
      <c r="EJ33" s="242"/>
      <c r="EK33" s="261">
        <f t="shared" si="49"/>
        <v>301075000</v>
      </c>
      <c r="EL33" s="261">
        <f t="shared" si="50"/>
        <v>0</v>
      </c>
      <c r="EM33" s="261">
        <f t="shared" si="51"/>
        <v>38654.118055555562</v>
      </c>
      <c r="EN33" s="242">
        <f t="shared" si="52"/>
        <v>4.6219322427966454E-2</v>
      </c>
      <c r="EP33" s="241"/>
    </row>
    <row r="34" spans="1:146" x14ac:dyDescent="0.25">
      <c r="A34" s="255">
        <f t="shared" si="53"/>
        <v>45862</v>
      </c>
      <c r="B34" s="241">
        <v>0</v>
      </c>
      <c r="C34" s="242">
        <v>4.5983929999999999E-2</v>
      </c>
      <c r="D34" s="241">
        <f t="shared" si="2"/>
        <v>0</v>
      </c>
      <c r="G34" s="241">
        <f t="shared" si="3"/>
        <v>0</v>
      </c>
      <c r="J34" s="241">
        <f t="shared" si="4"/>
        <v>0</v>
      </c>
      <c r="M34" s="241">
        <f t="shared" si="5"/>
        <v>0</v>
      </c>
      <c r="P34" s="241">
        <f t="shared" si="6"/>
        <v>0</v>
      </c>
      <c r="S34" s="241">
        <f t="shared" si="7"/>
        <v>0</v>
      </c>
      <c r="V34" s="241">
        <f t="shared" si="8"/>
        <v>0</v>
      </c>
      <c r="Y34" s="241">
        <f t="shared" si="9"/>
        <v>0</v>
      </c>
      <c r="AB34" s="241">
        <f t="shared" si="10"/>
        <v>0</v>
      </c>
      <c r="AE34" s="241">
        <v>0</v>
      </c>
      <c r="AH34" s="241">
        <v>0</v>
      </c>
      <c r="AI34" s="256">
        <f>56450000</f>
        <v>56450000</v>
      </c>
      <c r="AJ34" s="257">
        <v>4.5100000000000001E-2</v>
      </c>
      <c r="AK34" s="241">
        <f t="shared" si="11"/>
        <v>7071.9305555555557</v>
      </c>
      <c r="AL34" s="256"/>
      <c r="AM34" s="257"/>
      <c r="AN34" s="241">
        <f t="shared" si="12"/>
        <v>0</v>
      </c>
      <c r="AO34" s="256">
        <f t="shared" si="0"/>
        <v>80000000</v>
      </c>
      <c r="AP34" s="257">
        <v>4.6300000000000001E-2</v>
      </c>
      <c r="AQ34" s="241">
        <f t="shared" si="13"/>
        <v>10288.888888888889</v>
      </c>
      <c r="AR34" s="256">
        <f t="shared" si="55"/>
        <v>130000000</v>
      </c>
      <c r="AS34" s="257">
        <v>4.6300000000000001E-2</v>
      </c>
      <c r="AT34" s="241">
        <f t="shared" si="14"/>
        <v>16719.444444444445</v>
      </c>
      <c r="AU34" s="241">
        <f t="shared" si="56"/>
        <v>40000000</v>
      </c>
      <c r="AV34" s="242">
        <v>4.5999999999999999E-2</v>
      </c>
      <c r="AW34" s="241">
        <f t="shared" si="15"/>
        <v>5111.1111111111113</v>
      </c>
      <c r="AZ34" s="241">
        <f t="shared" si="16"/>
        <v>0</v>
      </c>
      <c r="BC34" s="241">
        <f t="shared" si="17"/>
        <v>0</v>
      </c>
      <c r="BF34" s="241">
        <f t="shared" si="18"/>
        <v>0</v>
      </c>
      <c r="BI34" s="241">
        <f t="shared" si="19"/>
        <v>0</v>
      </c>
      <c r="BL34" s="241">
        <f t="shared" si="20"/>
        <v>0</v>
      </c>
      <c r="BO34" s="241">
        <f t="shared" si="21"/>
        <v>0</v>
      </c>
      <c r="BR34" s="241">
        <f t="shared" si="22"/>
        <v>0</v>
      </c>
      <c r="BU34" s="241">
        <f t="shared" si="23"/>
        <v>0</v>
      </c>
      <c r="BX34" s="241">
        <f t="shared" si="24"/>
        <v>0</v>
      </c>
      <c r="CA34" s="241">
        <f t="shared" si="25"/>
        <v>0</v>
      </c>
      <c r="CD34" s="241">
        <f t="shared" si="26"/>
        <v>0</v>
      </c>
      <c r="CG34" s="241">
        <f t="shared" si="27"/>
        <v>0</v>
      </c>
      <c r="CJ34" s="241">
        <f t="shared" si="28"/>
        <v>0</v>
      </c>
      <c r="CM34" s="241">
        <f t="shared" si="29"/>
        <v>0</v>
      </c>
      <c r="CP34" s="241">
        <f t="shared" si="30"/>
        <v>0</v>
      </c>
      <c r="CS34" s="241">
        <f t="shared" si="31"/>
        <v>0</v>
      </c>
      <c r="CV34" s="241">
        <f t="shared" si="32"/>
        <v>0</v>
      </c>
      <c r="CY34" s="241">
        <f t="shared" si="33"/>
        <v>0</v>
      </c>
      <c r="DB34" s="241">
        <f t="shared" si="34"/>
        <v>0</v>
      </c>
      <c r="DE34" s="241">
        <f t="shared" si="35"/>
        <v>0</v>
      </c>
      <c r="DH34" s="241">
        <f t="shared" si="36"/>
        <v>0</v>
      </c>
      <c r="DK34" s="241">
        <f t="shared" si="37"/>
        <v>0</v>
      </c>
      <c r="DN34" s="241">
        <f t="shared" si="38"/>
        <v>0</v>
      </c>
      <c r="DQ34" s="241">
        <f t="shared" si="39"/>
        <v>0</v>
      </c>
      <c r="DT34" s="241">
        <f t="shared" si="40"/>
        <v>0</v>
      </c>
      <c r="DW34" s="241">
        <f t="shared" si="41"/>
        <v>0</v>
      </c>
      <c r="DZ34" s="241"/>
      <c r="EA34" s="241"/>
      <c r="EB34" s="261">
        <f t="shared" si="42"/>
        <v>306450000</v>
      </c>
      <c r="EC34" s="261">
        <f t="shared" si="43"/>
        <v>0</v>
      </c>
      <c r="ED34" s="241">
        <f t="shared" si="44"/>
        <v>39191.375</v>
      </c>
      <c r="EE34" s="242">
        <f t="shared" si="45"/>
        <v>4.6039794419970637E-2</v>
      </c>
      <c r="EG34" s="261">
        <f t="shared" si="46"/>
        <v>0</v>
      </c>
      <c r="EH34" s="241">
        <f t="shared" si="47"/>
        <v>0</v>
      </c>
      <c r="EI34" s="242">
        <f t="shared" si="48"/>
        <v>0</v>
      </c>
      <c r="EJ34" s="242"/>
      <c r="EK34" s="261">
        <f t="shared" si="49"/>
        <v>306450000</v>
      </c>
      <c r="EL34" s="261">
        <f t="shared" si="50"/>
        <v>0</v>
      </c>
      <c r="EM34" s="261">
        <f t="shared" si="51"/>
        <v>39191.375</v>
      </c>
      <c r="EN34" s="242">
        <f t="shared" si="52"/>
        <v>4.6039794419970637E-2</v>
      </c>
      <c r="EP34" s="241"/>
    </row>
    <row r="35" spans="1:146" x14ac:dyDescent="0.25">
      <c r="A35" s="255">
        <f t="shared" si="53"/>
        <v>45863</v>
      </c>
      <c r="B35" s="241">
        <v>0</v>
      </c>
      <c r="C35" s="242">
        <v>4.5975879999999997E-2</v>
      </c>
      <c r="D35" s="241">
        <f t="shared" si="2"/>
        <v>0</v>
      </c>
      <c r="G35" s="241">
        <f t="shared" si="3"/>
        <v>0</v>
      </c>
      <c r="J35" s="241">
        <f t="shared" si="4"/>
        <v>0</v>
      </c>
      <c r="M35" s="241">
        <f t="shared" si="5"/>
        <v>0</v>
      </c>
      <c r="P35" s="241">
        <f t="shared" si="6"/>
        <v>0</v>
      </c>
      <c r="S35" s="241">
        <f t="shared" si="7"/>
        <v>0</v>
      </c>
      <c r="V35" s="241">
        <f t="shared" si="8"/>
        <v>0</v>
      </c>
      <c r="Y35" s="241">
        <f t="shared" si="9"/>
        <v>0</v>
      </c>
      <c r="AB35" s="241">
        <f t="shared" si="10"/>
        <v>0</v>
      </c>
      <c r="AE35" s="241">
        <v>0</v>
      </c>
      <c r="AH35" s="241">
        <v>0</v>
      </c>
      <c r="AI35" s="256">
        <v>57450000</v>
      </c>
      <c r="AJ35" s="257">
        <v>4.5100000000000001E-2</v>
      </c>
      <c r="AK35" s="241">
        <f t="shared" si="11"/>
        <v>7197.208333333333</v>
      </c>
      <c r="AL35" s="256"/>
      <c r="AM35" s="257"/>
      <c r="AN35" s="241">
        <f t="shared" si="12"/>
        <v>0</v>
      </c>
      <c r="AO35" s="256">
        <f t="shared" si="0"/>
        <v>80000000</v>
      </c>
      <c r="AP35" s="257">
        <v>4.6300000000000001E-2</v>
      </c>
      <c r="AQ35" s="241">
        <f t="shared" si="13"/>
        <v>10288.888888888889</v>
      </c>
      <c r="AR35" s="256">
        <f t="shared" si="55"/>
        <v>130000000</v>
      </c>
      <c r="AS35" s="257">
        <v>4.6300000000000001E-2</v>
      </c>
      <c r="AT35" s="241">
        <f t="shared" si="14"/>
        <v>16719.444444444445</v>
      </c>
      <c r="AU35" s="241">
        <f t="shared" si="56"/>
        <v>40000000</v>
      </c>
      <c r="AV35" s="242">
        <v>4.5999999999999999E-2</v>
      </c>
      <c r="AW35" s="241">
        <f t="shared" si="15"/>
        <v>5111.1111111111113</v>
      </c>
      <c r="AZ35" s="241">
        <f t="shared" si="16"/>
        <v>0</v>
      </c>
      <c r="BC35" s="241">
        <f t="shared" si="17"/>
        <v>0</v>
      </c>
      <c r="BF35" s="241">
        <f t="shared" si="18"/>
        <v>0</v>
      </c>
      <c r="BI35" s="241">
        <f t="shared" si="19"/>
        <v>0</v>
      </c>
      <c r="BL35" s="241">
        <f t="shared" si="20"/>
        <v>0</v>
      </c>
      <c r="BO35" s="241">
        <f t="shared" si="21"/>
        <v>0</v>
      </c>
      <c r="BR35" s="241">
        <f t="shared" si="22"/>
        <v>0</v>
      </c>
      <c r="BU35" s="241">
        <f t="shared" si="23"/>
        <v>0</v>
      </c>
      <c r="BX35" s="241">
        <f t="shared" si="24"/>
        <v>0</v>
      </c>
      <c r="CA35" s="241">
        <f t="shared" si="25"/>
        <v>0</v>
      </c>
      <c r="CD35" s="241">
        <f t="shared" si="26"/>
        <v>0</v>
      </c>
      <c r="CG35" s="241">
        <f t="shared" si="27"/>
        <v>0</v>
      </c>
      <c r="CJ35" s="241">
        <f t="shared" si="28"/>
        <v>0</v>
      </c>
      <c r="CM35" s="241">
        <f t="shared" si="29"/>
        <v>0</v>
      </c>
      <c r="CP35" s="241">
        <f t="shared" si="30"/>
        <v>0</v>
      </c>
      <c r="CS35" s="241">
        <f t="shared" si="31"/>
        <v>0</v>
      </c>
      <c r="CV35" s="241">
        <f t="shared" si="32"/>
        <v>0</v>
      </c>
      <c r="CY35" s="241">
        <f t="shared" si="33"/>
        <v>0</v>
      </c>
      <c r="DB35" s="241">
        <f t="shared" si="34"/>
        <v>0</v>
      </c>
      <c r="DE35" s="241">
        <f t="shared" si="35"/>
        <v>0</v>
      </c>
      <c r="DH35" s="241">
        <f t="shared" si="36"/>
        <v>0</v>
      </c>
      <c r="DK35" s="241">
        <f t="shared" si="37"/>
        <v>0</v>
      </c>
      <c r="DN35" s="241">
        <f t="shared" si="38"/>
        <v>0</v>
      </c>
      <c r="DQ35" s="241">
        <f t="shared" si="39"/>
        <v>0</v>
      </c>
      <c r="DT35" s="241">
        <f t="shared" si="40"/>
        <v>0</v>
      </c>
      <c r="DW35" s="241">
        <f t="shared" si="41"/>
        <v>0</v>
      </c>
      <c r="DZ35" s="241"/>
      <c r="EA35" s="241"/>
      <c r="EB35" s="261">
        <f t="shared" si="42"/>
        <v>307450000</v>
      </c>
      <c r="EC35" s="261">
        <f t="shared" si="43"/>
        <v>0</v>
      </c>
      <c r="ED35" s="241">
        <f t="shared" si="44"/>
        <v>39316.652777777781</v>
      </c>
      <c r="EE35" s="242">
        <f t="shared" si="45"/>
        <v>4.6036737680923735E-2</v>
      </c>
      <c r="EG35" s="261">
        <f t="shared" si="46"/>
        <v>0</v>
      </c>
      <c r="EH35" s="241">
        <f t="shared" si="47"/>
        <v>0</v>
      </c>
      <c r="EI35" s="242">
        <f t="shared" si="48"/>
        <v>0</v>
      </c>
      <c r="EJ35" s="242"/>
      <c r="EK35" s="261">
        <f t="shared" si="49"/>
        <v>307450000</v>
      </c>
      <c r="EL35" s="261">
        <f t="shared" si="50"/>
        <v>0</v>
      </c>
      <c r="EM35" s="261">
        <f t="shared" si="51"/>
        <v>39316.652777777781</v>
      </c>
      <c r="EN35" s="242">
        <f t="shared" si="52"/>
        <v>4.6036737680923735E-2</v>
      </c>
      <c r="EP35" s="241"/>
    </row>
    <row r="36" spans="1:146" x14ac:dyDescent="0.25">
      <c r="A36" s="255">
        <f t="shared" si="53"/>
        <v>45864</v>
      </c>
      <c r="B36" s="241">
        <v>0</v>
      </c>
      <c r="C36" s="242">
        <v>4.5975879999999997E-2</v>
      </c>
      <c r="D36" s="241">
        <f t="shared" si="2"/>
        <v>0</v>
      </c>
      <c r="G36" s="241">
        <f t="shared" si="3"/>
        <v>0</v>
      </c>
      <c r="J36" s="241">
        <f t="shared" si="4"/>
        <v>0</v>
      </c>
      <c r="M36" s="241">
        <f t="shared" si="5"/>
        <v>0</v>
      </c>
      <c r="P36" s="241">
        <f t="shared" si="6"/>
        <v>0</v>
      </c>
      <c r="S36" s="241">
        <f t="shared" si="7"/>
        <v>0</v>
      </c>
      <c r="V36" s="241">
        <f t="shared" si="8"/>
        <v>0</v>
      </c>
      <c r="Y36" s="241">
        <f t="shared" si="9"/>
        <v>0</v>
      </c>
      <c r="AB36" s="241">
        <f t="shared" si="10"/>
        <v>0</v>
      </c>
      <c r="AE36" s="241">
        <v>0</v>
      </c>
      <c r="AH36" s="241">
        <v>0</v>
      </c>
      <c r="AI36" s="256">
        <v>57450000</v>
      </c>
      <c r="AJ36" s="257">
        <v>4.5100000000000001E-2</v>
      </c>
      <c r="AK36" s="241">
        <f t="shared" si="11"/>
        <v>7197.208333333333</v>
      </c>
      <c r="AL36" s="256"/>
      <c r="AM36" s="257"/>
      <c r="AN36" s="241">
        <f t="shared" si="12"/>
        <v>0</v>
      </c>
      <c r="AO36" s="256">
        <f t="shared" si="0"/>
        <v>80000000</v>
      </c>
      <c r="AP36" s="257">
        <v>4.6300000000000001E-2</v>
      </c>
      <c r="AQ36" s="241">
        <f t="shared" si="13"/>
        <v>10288.888888888889</v>
      </c>
      <c r="AR36" s="256">
        <f t="shared" si="55"/>
        <v>130000000</v>
      </c>
      <c r="AS36" s="257">
        <v>4.6300000000000001E-2</v>
      </c>
      <c r="AT36" s="241">
        <f t="shared" si="14"/>
        <v>16719.444444444445</v>
      </c>
      <c r="AU36" s="241">
        <f t="shared" si="56"/>
        <v>40000000</v>
      </c>
      <c r="AV36" s="242">
        <v>4.5999999999999999E-2</v>
      </c>
      <c r="AW36" s="241">
        <f t="shared" si="15"/>
        <v>5111.1111111111113</v>
      </c>
      <c r="AZ36" s="241">
        <f t="shared" si="16"/>
        <v>0</v>
      </c>
      <c r="BC36" s="241">
        <f t="shared" si="17"/>
        <v>0</v>
      </c>
      <c r="BF36" s="241">
        <f t="shared" si="18"/>
        <v>0</v>
      </c>
      <c r="BI36" s="241">
        <f t="shared" si="19"/>
        <v>0</v>
      </c>
      <c r="BL36" s="241">
        <f t="shared" si="20"/>
        <v>0</v>
      </c>
      <c r="BO36" s="241">
        <f t="shared" si="21"/>
        <v>0</v>
      </c>
      <c r="BR36" s="241">
        <f t="shared" si="22"/>
        <v>0</v>
      </c>
      <c r="BU36" s="241">
        <f t="shared" si="23"/>
        <v>0</v>
      </c>
      <c r="BX36" s="241">
        <f t="shared" si="24"/>
        <v>0</v>
      </c>
      <c r="CA36" s="241">
        <f t="shared" si="25"/>
        <v>0</v>
      </c>
      <c r="CD36" s="241">
        <f t="shared" si="26"/>
        <v>0</v>
      </c>
      <c r="CG36" s="241">
        <f t="shared" si="27"/>
        <v>0</v>
      </c>
      <c r="CJ36" s="241">
        <f t="shared" si="28"/>
        <v>0</v>
      </c>
      <c r="CM36" s="241">
        <f t="shared" si="29"/>
        <v>0</v>
      </c>
      <c r="CP36" s="241">
        <f t="shared" si="30"/>
        <v>0</v>
      </c>
      <c r="CS36" s="241">
        <f t="shared" si="31"/>
        <v>0</v>
      </c>
      <c r="CV36" s="241">
        <f t="shared" si="32"/>
        <v>0</v>
      </c>
      <c r="CY36" s="241">
        <f t="shared" si="33"/>
        <v>0</v>
      </c>
      <c r="DB36" s="241">
        <f t="shared" si="34"/>
        <v>0</v>
      </c>
      <c r="DE36" s="241">
        <f t="shared" si="35"/>
        <v>0</v>
      </c>
      <c r="DH36" s="241">
        <f t="shared" si="36"/>
        <v>0</v>
      </c>
      <c r="DK36" s="241">
        <f t="shared" si="37"/>
        <v>0</v>
      </c>
      <c r="DN36" s="241">
        <f t="shared" si="38"/>
        <v>0</v>
      </c>
      <c r="DQ36" s="241">
        <f t="shared" si="39"/>
        <v>0</v>
      </c>
      <c r="DT36" s="241">
        <f t="shared" si="40"/>
        <v>0</v>
      </c>
      <c r="DW36" s="241">
        <f t="shared" si="41"/>
        <v>0</v>
      </c>
      <c r="DZ36" s="241"/>
      <c r="EA36" s="241"/>
      <c r="EB36" s="261">
        <f t="shared" si="42"/>
        <v>307450000</v>
      </c>
      <c r="EC36" s="261">
        <f t="shared" si="43"/>
        <v>0</v>
      </c>
      <c r="ED36" s="241">
        <f t="shared" si="44"/>
        <v>39316.652777777781</v>
      </c>
      <c r="EE36" s="242">
        <f t="shared" si="45"/>
        <v>4.6036737680923735E-2</v>
      </c>
      <c r="EG36" s="261">
        <f t="shared" si="46"/>
        <v>0</v>
      </c>
      <c r="EH36" s="241">
        <f t="shared" si="47"/>
        <v>0</v>
      </c>
      <c r="EI36" s="242">
        <f t="shared" si="48"/>
        <v>0</v>
      </c>
      <c r="EJ36" s="242"/>
      <c r="EK36" s="261">
        <f t="shared" si="49"/>
        <v>307450000</v>
      </c>
      <c r="EL36" s="261">
        <f t="shared" si="50"/>
        <v>0</v>
      </c>
      <c r="EM36" s="261">
        <f t="shared" si="51"/>
        <v>39316.652777777781</v>
      </c>
      <c r="EN36" s="242">
        <f t="shared" si="52"/>
        <v>4.6036737680923735E-2</v>
      </c>
      <c r="EP36" s="241"/>
    </row>
    <row r="37" spans="1:146" x14ac:dyDescent="0.25">
      <c r="A37" s="255">
        <f t="shared" si="53"/>
        <v>45865</v>
      </c>
      <c r="B37" s="241">
        <v>0</v>
      </c>
      <c r="C37" s="242">
        <v>4.5975879999999997E-2</v>
      </c>
      <c r="D37" s="241">
        <f t="shared" si="2"/>
        <v>0</v>
      </c>
      <c r="G37" s="241">
        <f t="shared" si="3"/>
        <v>0</v>
      </c>
      <c r="J37" s="241">
        <f t="shared" si="4"/>
        <v>0</v>
      </c>
      <c r="M37" s="241">
        <f t="shared" si="5"/>
        <v>0</v>
      </c>
      <c r="P37" s="241">
        <f t="shared" si="6"/>
        <v>0</v>
      </c>
      <c r="S37" s="241">
        <f t="shared" si="7"/>
        <v>0</v>
      </c>
      <c r="V37" s="241">
        <f t="shared" si="8"/>
        <v>0</v>
      </c>
      <c r="Y37" s="241">
        <f t="shared" si="9"/>
        <v>0</v>
      </c>
      <c r="AB37" s="241">
        <f t="shared" si="10"/>
        <v>0</v>
      </c>
      <c r="AE37" s="241">
        <v>0</v>
      </c>
      <c r="AH37" s="241">
        <v>0</v>
      </c>
      <c r="AI37" s="256">
        <v>57450000</v>
      </c>
      <c r="AJ37" s="257">
        <v>4.5100000000000001E-2</v>
      </c>
      <c r="AK37" s="241">
        <f t="shared" si="11"/>
        <v>7197.208333333333</v>
      </c>
      <c r="AL37" s="256"/>
      <c r="AM37" s="257"/>
      <c r="AN37" s="241">
        <f t="shared" si="12"/>
        <v>0</v>
      </c>
      <c r="AO37" s="256">
        <f t="shared" si="0"/>
        <v>80000000</v>
      </c>
      <c r="AP37" s="257">
        <v>4.6300000000000001E-2</v>
      </c>
      <c r="AQ37" s="241">
        <f t="shared" si="13"/>
        <v>10288.888888888889</v>
      </c>
      <c r="AR37" s="256">
        <f t="shared" si="55"/>
        <v>130000000</v>
      </c>
      <c r="AS37" s="257">
        <v>4.6300000000000001E-2</v>
      </c>
      <c r="AT37" s="241">
        <f t="shared" si="14"/>
        <v>16719.444444444445</v>
      </c>
      <c r="AU37" s="241">
        <f t="shared" si="56"/>
        <v>40000000</v>
      </c>
      <c r="AV37" s="242">
        <v>4.5999999999999999E-2</v>
      </c>
      <c r="AW37" s="241">
        <f t="shared" si="15"/>
        <v>5111.1111111111113</v>
      </c>
      <c r="AZ37" s="241">
        <f t="shared" si="16"/>
        <v>0</v>
      </c>
      <c r="BC37" s="241">
        <f t="shared" si="17"/>
        <v>0</v>
      </c>
      <c r="BF37" s="241">
        <f t="shared" si="18"/>
        <v>0</v>
      </c>
      <c r="BI37" s="241">
        <f t="shared" si="19"/>
        <v>0</v>
      </c>
      <c r="BL37" s="241">
        <f t="shared" si="20"/>
        <v>0</v>
      </c>
      <c r="BO37" s="241">
        <f t="shared" si="21"/>
        <v>0</v>
      </c>
      <c r="BR37" s="241">
        <f t="shared" si="22"/>
        <v>0</v>
      </c>
      <c r="BU37" s="241">
        <f t="shared" si="23"/>
        <v>0</v>
      </c>
      <c r="BX37" s="241">
        <f t="shared" si="24"/>
        <v>0</v>
      </c>
      <c r="CA37" s="241">
        <f t="shared" si="25"/>
        <v>0</v>
      </c>
      <c r="CD37" s="241">
        <f t="shared" si="26"/>
        <v>0</v>
      </c>
      <c r="CG37" s="241">
        <f t="shared" si="27"/>
        <v>0</v>
      </c>
      <c r="CJ37" s="241">
        <f t="shared" si="28"/>
        <v>0</v>
      </c>
      <c r="CM37" s="241">
        <f t="shared" si="29"/>
        <v>0</v>
      </c>
      <c r="CP37" s="241">
        <f t="shared" si="30"/>
        <v>0</v>
      </c>
      <c r="CS37" s="241">
        <f t="shared" si="31"/>
        <v>0</v>
      </c>
      <c r="CV37" s="241">
        <f t="shared" si="32"/>
        <v>0</v>
      </c>
      <c r="CY37" s="241">
        <f t="shared" si="33"/>
        <v>0</v>
      </c>
      <c r="DB37" s="241">
        <f t="shared" si="34"/>
        <v>0</v>
      </c>
      <c r="DE37" s="241">
        <f t="shared" si="35"/>
        <v>0</v>
      </c>
      <c r="DH37" s="241">
        <f t="shared" si="36"/>
        <v>0</v>
      </c>
      <c r="DK37" s="241">
        <f t="shared" si="37"/>
        <v>0</v>
      </c>
      <c r="DN37" s="241">
        <f t="shared" si="38"/>
        <v>0</v>
      </c>
      <c r="DQ37" s="241">
        <f t="shared" si="39"/>
        <v>0</v>
      </c>
      <c r="DT37" s="241">
        <f t="shared" si="40"/>
        <v>0</v>
      </c>
      <c r="DW37" s="241">
        <f t="shared" si="41"/>
        <v>0</v>
      </c>
      <c r="DZ37" s="241"/>
      <c r="EA37" s="241"/>
      <c r="EB37" s="261">
        <f t="shared" si="42"/>
        <v>307450000</v>
      </c>
      <c r="EC37" s="261">
        <f t="shared" si="43"/>
        <v>0</v>
      </c>
      <c r="ED37" s="241">
        <f t="shared" si="44"/>
        <v>39316.652777777781</v>
      </c>
      <c r="EE37" s="242">
        <f t="shared" si="45"/>
        <v>4.6036737680923735E-2</v>
      </c>
      <c r="EG37" s="261">
        <f t="shared" si="46"/>
        <v>0</v>
      </c>
      <c r="EH37" s="241">
        <f t="shared" si="47"/>
        <v>0</v>
      </c>
      <c r="EI37" s="242">
        <f t="shared" si="48"/>
        <v>0</v>
      </c>
      <c r="EJ37" s="242"/>
      <c r="EK37" s="261">
        <f t="shared" si="49"/>
        <v>307450000</v>
      </c>
      <c r="EL37" s="261">
        <f t="shared" si="50"/>
        <v>0</v>
      </c>
      <c r="EM37" s="261">
        <f t="shared" si="51"/>
        <v>39316.652777777781</v>
      </c>
      <c r="EN37" s="242">
        <f t="shared" si="52"/>
        <v>4.6036737680923735E-2</v>
      </c>
      <c r="EP37" s="241"/>
    </row>
    <row r="38" spans="1:146" x14ac:dyDescent="0.25">
      <c r="A38" s="255">
        <f t="shared" si="53"/>
        <v>45866</v>
      </c>
      <c r="B38" s="241">
        <v>0</v>
      </c>
      <c r="C38" s="242">
        <v>4.5954680000000005E-2</v>
      </c>
      <c r="D38" s="241">
        <f t="shared" si="2"/>
        <v>0</v>
      </c>
      <c r="G38" s="241">
        <f t="shared" si="3"/>
        <v>0</v>
      </c>
      <c r="J38" s="241">
        <f t="shared" si="4"/>
        <v>0</v>
      </c>
      <c r="M38" s="241">
        <f t="shared" si="5"/>
        <v>0</v>
      </c>
      <c r="P38" s="241">
        <f t="shared" si="6"/>
        <v>0</v>
      </c>
      <c r="S38" s="241">
        <f t="shared" si="7"/>
        <v>0</v>
      </c>
      <c r="V38" s="241">
        <f t="shared" si="8"/>
        <v>0</v>
      </c>
      <c r="Y38" s="241">
        <f t="shared" si="9"/>
        <v>0</v>
      </c>
      <c r="AB38" s="241">
        <f t="shared" si="10"/>
        <v>0</v>
      </c>
      <c r="AE38" s="241">
        <v>0</v>
      </c>
      <c r="AH38" s="241">
        <v>0</v>
      </c>
      <c r="AI38" s="256">
        <f>89475000</f>
        <v>89475000</v>
      </c>
      <c r="AJ38" s="257">
        <v>4.5100000000000001E-2</v>
      </c>
      <c r="AK38" s="241">
        <f t="shared" si="11"/>
        <v>11209.229166666666</v>
      </c>
      <c r="AL38" s="256"/>
      <c r="AM38" s="257"/>
      <c r="AN38" s="241">
        <f t="shared" si="12"/>
        <v>0</v>
      </c>
      <c r="AO38" s="256">
        <f t="shared" si="0"/>
        <v>80000000</v>
      </c>
      <c r="AP38" s="257">
        <v>4.6300000000000001E-2</v>
      </c>
      <c r="AQ38" s="241">
        <f t="shared" si="13"/>
        <v>10288.888888888889</v>
      </c>
      <c r="AR38" s="256">
        <f t="shared" si="55"/>
        <v>130000000</v>
      </c>
      <c r="AS38" s="257">
        <v>4.6300000000000001E-2</v>
      </c>
      <c r="AT38" s="241">
        <f t="shared" si="14"/>
        <v>16719.444444444445</v>
      </c>
      <c r="AU38" s="241">
        <f t="shared" si="56"/>
        <v>40000000</v>
      </c>
      <c r="AV38" s="242">
        <v>4.5999999999999999E-2</v>
      </c>
      <c r="AW38" s="241">
        <f t="shared" si="15"/>
        <v>5111.1111111111113</v>
      </c>
      <c r="AZ38" s="241">
        <f t="shared" si="16"/>
        <v>0</v>
      </c>
      <c r="BC38" s="241">
        <f t="shared" si="17"/>
        <v>0</v>
      </c>
      <c r="BF38" s="241">
        <f t="shared" si="18"/>
        <v>0</v>
      </c>
      <c r="BI38" s="241">
        <f t="shared" si="19"/>
        <v>0</v>
      </c>
      <c r="BL38" s="241">
        <f t="shared" si="20"/>
        <v>0</v>
      </c>
      <c r="BO38" s="241">
        <f t="shared" si="21"/>
        <v>0</v>
      </c>
      <c r="BR38" s="241">
        <f t="shared" si="22"/>
        <v>0</v>
      </c>
      <c r="BU38" s="241">
        <f t="shared" si="23"/>
        <v>0</v>
      </c>
      <c r="BX38" s="241">
        <f t="shared" si="24"/>
        <v>0</v>
      </c>
      <c r="CA38" s="241">
        <f t="shared" si="25"/>
        <v>0</v>
      </c>
      <c r="CD38" s="241">
        <f t="shared" si="26"/>
        <v>0</v>
      </c>
      <c r="CG38" s="241">
        <f t="shared" si="27"/>
        <v>0</v>
      </c>
      <c r="CJ38" s="241">
        <f t="shared" si="28"/>
        <v>0</v>
      </c>
      <c r="CM38" s="241">
        <f t="shared" si="29"/>
        <v>0</v>
      </c>
      <c r="CP38" s="241">
        <f t="shared" si="30"/>
        <v>0</v>
      </c>
      <c r="CS38" s="241">
        <f t="shared" si="31"/>
        <v>0</v>
      </c>
      <c r="CV38" s="241">
        <f t="shared" si="32"/>
        <v>0</v>
      </c>
      <c r="CY38" s="241">
        <f t="shared" si="33"/>
        <v>0</v>
      </c>
      <c r="DB38" s="241">
        <f t="shared" si="34"/>
        <v>0</v>
      </c>
      <c r="DE38" s="241">
        <f t="shared" si="35"/>
        <v>0</v>
      </c>
      <c r="DH38" s="241">
        <f t="shared" si="36"/>
        <v>0</v>
      </c>
      <c r="DK38" s="241">
        <f t="shared" si="37"/>
        <v>0</v>
      </c>
      <c r="DN38" s="241">
        <f t="shared" si="38"/>
        <v>0</v>
      </c>
      <c r="DQ38" s="241">
        <f t="shared" si="39"/>
        <v>0</v>
      </c>
      <c r="DT38" s="241">
        <f t="shared" si="40"/>
        <v>0</v>
      </c>
      <c r="DW38" s="241">
        <f t="shared" si="41"/>
        <v>0</v>
      </c>
      <c r="DZ38" s="241"/>
      <c r="EA38" s="241"/>
      <c r="EB38" s="261">
        <f t="shared" si="42"/>
        <v>339475000</v>
      </c>
      <c r="EC38" s="261">
        <f t="shared" si="43"/>
        <v>0</v>
      </c>
      <c r="ED38" s="241">
        <f t="shared" si="44"/>
        <v>43328.673611111109</v>
      </c>
      <c r="EE38" s="242">
        <f t="shared" si="45"/>
        <v>4.5948368804772072E-2</v>
      </c>
      <c r="EG38" s="261">
        <f t="shared" si="46"/>
        <v>0</v>
      </c>
      <c r="EH38" s="241">
        <f t="shared" si="47"/>
        <v>0</v>
      </c>
      <c r="EI38" s="242">
        <f t="shared" si="48"/>
        <v>0</v>
      </c>
      <c r="EJ38" s="242"/>
      <c r="EK38" s="261">
        <f t="shared" si="49"/>
        <v>339475000</v>
      </c>
      <c r="EL38" s="261">
        <f t="shared" si="50"/>
        <v>0</v>
      </c>
      <c r="EM38" s="261">
        <f t="shared" si="51"/>
        <v>43328.673611111109</v>
      </c>
      <c r="EN38" s="242">
        <f t="shared" si="52"/>
        <v>4.5948368804772072E-2</v>
      </c>
      <c r="EP38" s="241"/>
    </row>
    <row r="39" spans="1:146" x14ac:dyDescent="0.25">
      <c r="A39" s="255">
        <f t="shared" si="53"/>
        <v>45867</v>
      </c>
      <c r="B39" s="241">
        <v>0</v>
      </c>
      <c r="C39" s="242">
        <v>4.6065399999999999E-2</v>
      </c>
      <c r="D39" s="241">
        <f t="shared" si="2"/>
        <v>0</v>
      </c>
      <c r="G39" s="241">
        <f t="shared" si="3"/>
        <v>0</v>
      </c>
      <c r="J39" s="241">
        <f t="shared" si="4"/>
        <v>0</v>
      </c>
      <c r="M39" s="241">
        <f t="shared" si="5"/>
        <v>0</v>
      </c>
      <c r="P39" s="241">
        <f t="shared" si="6"/>
        <v>0</v>
      </c>
      <c r="S39" s="241">
        <f t="shared" si="7"/>
        <v>0</v>
      </c>
      <c r="V39" s="241">
        <f t="shared" si="8"/>
        <v>0</v>
      </c>
      <c r="Y39" s="241">
        <f t="shared" si="9"/>
        <v>0</v>
      </c>
      <c r="AB39" s="241">
        <f t="shared" si="10"/>
        <v>0</v>
      </c>
      <c r="AE39" s="241">
        <v>0</v>
      </c>
      <c r="AH39" s="241">
        <v>0</v>
      </c>
      <c r="AI39" s="256">
        <f>51700000+60000000</f>
        <v>111700000</v>
      </c>
      <c r="AJ39" s="257">
        <v>4.5100000000000001E-2</v>
      </c>
      <c r="AK39" s="241">
        <f t="shared" si="11"/>
        <v>13993.527777777777</v>
      </c>
      <c r="AL39" s="256"/>
      <c r="AM39" s="257"/>
      <c r="AN39" s="241">
        <f t="shared" si="12"/>
        <v>0</v>
      </c>
      <c r="AO39" s="256">
        <f t="shared" si="0"/>
        <v>80000000</v>
      </c>
      <c r="AP39" s="257">
        <v>4.6300000000000001E-2</v>
      </c>
      <c r="AQ39" s="241">
        <f t="shared" si="13"/>
        <v>10288.888888888889</v>
      </c>
      <c r="AR39" s="256">
        <f t="shared" si="55"/>
        <v>130000000</v>
      </c>
      <c r="AS39" s="257">
        <v>4.6300000000000001E-2</v>
      </c>
      <c r="AT39" s="241">
        <f t="shared" si="14"/>
        <v>16719.444444444445</v>
      </c>
      <c r="AU39" s="241">
        <f t="shared" si="56"/>
        <v>40000000</v>
      </c>
      <c r="AV39" s="242">
        <v>4.5999999999999999E-2</v>
      </c>
      <c r="AW39" s="241">
        <f t="shared" si="15"/>
        <v>5111.1111111111113</v>
      </c>
      <c r="AZ39" s="241">
        <f t="shared" si="16"/>
        <v>0</v>
      </c>
      <c r="BC39" s="241">
        <f t="shared" si="17"/>
        <v>0</v>
      </c>
      <c r="BF39" s="241">
        <f t="shared" si="18"/>
        <v>0</v>
      </c>
      <c r="BI39" s="241">
        <f t="shared" si="19"/>
        <v>0</v>
      </c>
      <c r="BL39" s="241">
        <f t="shared" si="20"/>
        <v>0</v>
      </c>
      <c r="BO39" s="241">
        <f t="shared" si="21"/>
        <v>0</v>
      </c>
      <c r="BR39" s="241">
        <f t="shared" si="22"/>
        <v>0</v>
      </c>
      <c r="BU39" s="241">
        <f t="shared" si="23"/>
        <v>0</v>
      </c>
      <c r="BX39" s="241">
        <f t="shared" si="24"/>
        <v>0</v>
      </c>
      <c r="CA39" s="241">
        <f t="shared" si="25"/>
        <v>0</v>
      </c>
      <c r="CD39" s="241">
        <f t="shared" si="26"/>
        <v>0</v>
      </c>
      <c r="CG39" s="241">
        <f t="shared" si="27"/>
        <v>0</v>
      </c>
      <c r="CJ39" s="241">
        <f t="shared" si="28"/>
        <v>0</v>
      </c>
      <c r="CM39" s="241">
        <f t="shared" si="29"/>
        <v>0</v>
      </c>
      <c r="CP39" s="241">
        <f t="shared" si="30"/>
        <v>0</v>
      </c>
      <c r="CS39" s="241">
        <f t="shared" si="31"/>
        <v>0</v>
      </c>
      <c r="CV39" s="241">
        <f t="shared" si="32"/>
        <v>0</v>
      </c>
      <c r="CY39" s="241">
        <f t="shared" si="33"/>
        <v>0</v>
      </c>
      <c r="DB39" s="241">
        <f t="shared" si="34"/>
        <v>0</v>
      </c>
      <c r="DE39" s="241">
        <f t="shared" si="35"/>
        <v>0</v>
      </c>
      <c r="DH39" s="241">
        <f t="shared" si="36"/>
        <v>0</v>
      </c>
      <c r="DK39" s="241">
        <f t="shared" si="37"/>
        <v>0</v>
      </c>
      <c r="DN39" s="241">
        <f t="shared" si="38"/>
        <v>0</v>
      </c>
      <c r="DQ39" s="241">
        <f t="shared" si="39"/>
        <v>0</v>
      </c>
      <c r="DT39" s="241">
        <f t="shared" si="40"/>
        <v>0</v>
      </c>
      <c r="DW39" s="241">
        <f t="shared" si="41"/>
        <v>0</v>
      </c>
      <c r="DZ39" s="241"/>
      <c r="EA39" s="241"/>
      <c r="EB39" s="261">
        <f t="shared" si="42"/>
        <v>361700000</v>
      </c>
      <c r="EC39" s="261">
        <f t="shared" si="43"/>
        <v>0</v>
      </c>
      <c r="ED39" s="241">
        <f t="shared" si="44"/>
        <v>46112.972222222219</v>
      </c>
      <c r="EE39" s="242">
        <f t="shared" si="45"/>
        <v>4.5896239977882225E-2</v>
      </c>
      <c r="EG39" s="261">
        <f t="shared" si="46"/>
        <v>0</v>
      </c>
      <c r="EH39" s="241">
        <f t="shared" si="47"/>
        <v>0</v>
      </c>
      <c r="EI39" s="242">
        <f t="shared" si="48"/>
        <v>0</v>
      </c>
      <c r="EJ39" s="242"/>
      <c r="EK39" s="261">
        <f t="shared" si="49"/>
        <v>361700000</v>
      </c>
      <c r="EL39" s="261">
        <f t="shared" si="50"/>
        <v>0</v>
      </c>
      <c r="EM39" s="261">
        <f t="shared" si="51"/>
        <v>46112.972222222219</v>
      </c>
      <c r="EN39" s="242">
        <f t="shared" si="52"/>
        <v>4.5896239977882225E-2</v>
      </c>
      <c r="EP39" s="241"/>
    </row>
    <row r="40" spans="1:146" x14ac:dyDescent="0.25">
      <c r="A40" s="255">
        <f t="shared" si="53"/>
        <v>45868</v>
      </c>
      <c r="B40" s="241">
        <v>0</v>
      </c>
      <c r="C40" s="242">
        <v>4.6022960000000002E-2</v>
      </c>
      <c r="D40" s="241">
        <f t="shared" si="2"/>
        <v>0</v>
      </c>
      <c r="G40" s="241">
        <f t="shared" si="3"/>
        <v>0</v>
      </c>
      <c r="J40" s="241">
        <f t="shared" si="4"/>
        <v>0</v>
      </c>
      <c r="M40" s="241">
        <f t="shared" si="5"/>
        <v>0</v>
      </c>
      <c r="P40" s="241">
        <f t="shared" si="6"/>
        <v>0</v>
      </c>
      <c r="S40" s="241">
        <f t="shared" si="7"/>
        <v>0</v>
      </c>
      <c r="V40" s="241">
        <f t="shared" si="8"/>
        <v>0</v>
      </c>
      <c r="Y40" s="241">
        <f t="shared" si="9"/>
        <v>0</v>
      </c>
      <c r="AB40" s="241">
        <f t="shared" si="10"/>
        <v>0</v>
      </c>
      <c r="AE40" s="241">
        <v>0</v>
      </c>
      <c r="AH40" s="241">
        <v>0</v>
      </c>
      <c r="AI40" s="256">
        <f>60000000+60675000</f>
        <v>120675000</v>
      </c>
      <c r="AJ40" s="257">
        <v>4.5100000000000001E-2</v>
      </c>
      <c r="AK40" s="241">
        <f t="shared" si="11"/>
        <v>15117.895833333334</v>
      </c>
      <c r="AL40" s="256"/>
      <c r="AM40" s="257"/>
      <c r="AN40" s="241">
        <f t="shared" si="12"/>
        <v>0</v>
      </c>
      <c r="AO40" s="256">
        <f t="shared" si="0"/>
        <v>80000000</v>
      </c>
      <c r="AP40" s="257">
        <v>4.6300000000000001E-2</v>
      </c>
      <c r="AQ40" s="241">
        <f t="shared" si="13"/>
        <v>10288.888888888889</v>
      </c>
      <c r="AR40" s="256">
        <f t="shared" si="55"/>
        <v>130000000</v>
      </c>
      <c r="AS40" s="257">
        <v>4.6300000000000001E-2</v>
      </c>
      <c r="AT40" s="241">
        <f t="shared" si="14"/>
        <v>16719.444444444445</v>
      </c>
      <c r="AU40" s="241">
        <f t="shared" si="56"/>
        <v>40000000</v>
      </c>
      <c r="AV40" s="242">
        <v>4.5999999999999999E-2</v>
      </c>
      <c r="AW40" s="241">
        <f t="shared" si="15"/>
        <v>5111.1111111111113</v>
      </c>
      <c r="AZ40" s="241">
        <f t="shared" si="16"/>
        <v>0</v>
      </c>
      <c r="BC40" s="241">
        <f t="shared" si="17"/>
        <v>0</v>
      </c>
      <c r="BF40" s="241">
        <f t="shared" si="18"/>
        <v>0</v>
      </c>
      <c r="BI40" s="241">
        <f t="shared" si="19"/>
        <v>0</v>
      </c>
      <c r="BL40" s="241">
        <f t="shared" si="20"/>
        <v>0</v>
      </c>
      <c r="BO40" s="241">
        <f t="shared" si="21"/>
        <v>0</v>
      </c>
      <c r="BR40" s="241">
        <f t="shared" si="22"/>
        <v>0</v>
      </c>
      <c r="BU40" s="241">
        <f t="shared" si="23"/>
        <v>0</v>
      </c>
      <c r="BX40" s="241">
        <f t="shared" si="24"/>
        <v>0</v>
      </c>
      <c r="CA40" s="241">
        <f t="shared" si="25"/>
        <v>0</v>
      </c>
      <c r="CD40" s="241">
        <f t="shared" si="26"/>
        <v>0</v>
      </c>
      <c r="CG40" s="241">
        <f t="shared" si="27"/>
        <v>0</v>
      </c>
      <c r="CJ40" s="241">
        <f t="shared" si="28"/>
        <v>0</v>
      </c>
      <c r="CM40" s="241">
        <f t="shared" si="29"/>
        <v>0</v>
      </c>
      <c r="CP40" s="241">
        <f t="shared" si="30"/>
        <v>0</v>
      </c>
      <c r="CS40" s="241">
        <f t="shared" si="31"/>
        <v>0</v>
      </c>
      <c r="CV40" s="241">
        <f t="shared" si="32"/>
        <v>0</v>
      </c>
      <c r="CY40" s="241">
        <f t="shared" si="33"/>
        <v>0</v>
      </c>
      <c r="DB40" s="241">
        <f t="shared" si="34"/>
        <v>0</v>
      </c>
      <c r="DE40" s="241">
        <f t="shared" si="35"/>
        <v>0</v>
      </c>
      <c r="DH40" s="241">
        <f t="shared" si="36"/>
        <v>0</v>
      </c>
      <c r="DK40" s="241">
        <f t="shared" si="37"/>
        <v>0</v>
      </c>
      <c r="DN40" s="241">
        <f t="shared" si="38"/>
        <v>0</v>
      </c>
      <c r="DQ40" s="241">
        <f t="shared" si="39"/>
        <v>0</v>
      </c>
      <c r="DT40" s="241">
        <f t="shared" si="40"/>
        <v>0</v>
      </c>
      <c r="DW40" s="241">
        <f t="shared" si="41"/>
        <v>0</v>
      </c>
      <c r="DZ40" s="241"/>
      <c r="EA40" s="241"/>
      <c r="EB40" s="261">
        <f t="shared" si="42"/>
        <v>370675000</v>
      </c>
      <c r="EC40" s="261">
        <f t="shared" si="43"/>
        <v>0</v>
      </c>
      <c r="ED40" s="241">
        <f t="shared" si="44"/>
        <v>47237.340277777781</v>
      </c>
      <c r="EE40" s="242">
        <f t="shared" si="45"/>
        <v>4.587696094961894E-2</v>
      </c>
      <c r="EG40" s="261">
        <f t="shared" si="46"/>
        <v>0</v>
      </c>
      <c r="EH40" s="241">
        <f t="shared" si="47"/>
        <v>0</v>
      </c>
      <c r="EI40" s="242">
        <f t="shared" si="48"/>
        <v>0</v>
      </c>
      <c r="EJ40" s="242"/>
      <c r="EK40" s="261">
        <f t="shared" si="49"/>
        <v>370675000</v>
      </c>
      <c r="EL40" s="261">
        <f t="shared" si="50"/>
        <v>0</v>
      </c>
      <c r="EM40" s="261">
        <f t="shared" si="51"/>
        <v>47237.340277777781</v>
      </c>
      <c r="EN40" s="242">
        <f t="shared" si="52"/>
        <v>4.587696094961894E-2</v>
      </c>
      <c r="EP40" s="241"/>
    </row>
    <row r="41" spans="1:146" x14ac:dyDescent="0.25">
      <c r="A41" s="255">
        <f t="shared" si="53"/>
        <v>45869</v>
      </c>
      <c r="B41" s="241">
        <v>0</v>
      </c>
      <c r="C41" s="242">
        <v>4.597793E-2</v>
      </c>
      <c r="D41" s="241">
        <f t="shared" si="2"/>
        <v>0</v>
      </c>
      <c r="G41" s="241">
        <f t="shared" si="3"/>
        <v>0</v>
      </c>
      <c r="J41" s="241">
        <f t="shared" si="4"/>
        <v>0</v>
      </c>
      <c r="M41" s="241">
        <f t="shared" si="5"/>
        <v>0</v>
      </c>
      <c r="P41" s="241">
        <f t="shared" si="6"/>
        <v>0</v>
      </c>
      <c r="S41" s="241">
        <f t="shared" si="7"/>
        <v>0</v>
      </c>
      <c r="V41" s="241">
        <f t="shared" si="8"/>
        <v>0</v>
      </c>
      <c r="Y41" s="241">
        <f t="shared" si="9"/>
        <v>0</v>
      </c>
      <c r="AB41" s="241">
        <f t="shared" si="10"/>
        <v>0</v>
      </c>
      <c r="AE41" s="241">
        <v>0</v>
      </c>
      <c r="AH41" s="241">
        <v>0</v>
      </c>
      <c r="AI41" s="256">
        <f>65000000+44325000</f>
        <v>109325000</v>
      </c>
      <c r="AJ41" s="257">
        <v>4.5100000000000001E-2</v>
      </c>
      <c r="AK41" s="241">
        <f t="shared" si="11"/>
        <v>13695.993055555555</v>
      </c>
      <c r="AL41" s="256"/>
      <c r="AM41" s="257"/>
      <c r="AN41" s="241">
        <f t="shared" si="12"/>
        <v>0</v>
      </c>
      <c r="AO41" s="256"/>
      <c r="AP41" s="257"/>
      <c r="AQ41" s="241">
        <f t="shared" si="13"/>
        <v>0</v>
      </c>
      <c r="AR41" s="256">
        <f t="shared" si="55"/>
        <v>130000000</v>
      </c>
      <c r="AS41" s="257">
        <v>4.6300000000000001E-2</v>
      </c>
      <c r="AT41" s="241">
        <f t="shared" si="14"/>
        <v>16719.444444444445</v>
      </c>
      <c r="AU41" s="241">
        <f>40000000+33905000+66095000</f>
        <v>140000000</v>
      </c>
      <c r="AV41" s="242">
        <v>4.5999999999999999E-2</v>
      </c>
      <c r="AW41" s="241">
        <f t="shared" si="15"/>
        <v>17888.888888888891</v>
      </c>
      <c r="AZ41" s="241">
        <f t="shared" si="16"/>
        <v>0</v>
      </c>
      <c r="BC41" s="241">
        <f t="shared" si="17"/>
        <v>0</v>
      </c>
      <c r="BF41" s="241">
        <f t="shared" si="18"/>
        <v>0</v>
      </c>
      <c r="BI41" s="241">
        <f t="shared" si="19"/>
        <v>0</v>
      </c>
      <c r="BL41" s="241">
        <f t="shared" si="20"/>
        <v>0</v>
      </c>
      <c r="BO41" s="241">
        <f t="shared" si="21"/>
        <v>0</v>
      </c>
      <c r="BR41" s="241">
        <f t="shared" si="22"/>
        <v>0</v>
      </c>
      <c r="BU41" s="241">
        <f t="shared" si="23"/>
        <v>0</v>
      </c>
      <c r="BX41" s="241">
        <f t="shared" si="24"/>
        <v>0</v>
      </c>
      <c r="CA41" s="241">
        <f t="shared" si="25"/>
        <v>0</v>
      </c>
      <c r="CD41" s="241">
        <f t="shared" si="26"/>
        <v>0</v>
      </c>
      <c r="CG41" s="241">
        <f t="shared" si="27"/>
        <v>0</v>
      </c>
      <c r="CJ41" s="241">
        <f t="shared" si="28"/>
        <v>0</v>
      </c>
      <c r="CM41" s="241">
        <f t="shared" si="29"/>
        <v>0</v>
      </c>
      <c r="CP41" s="241">
        <f t="shared" si="30"/>
        <v>0</v>
      </c>
      <c r="CS41" s="241">
        <f t="shared" si="31"/>
        <v>0</v>
      </c>
      <c r="CV41" s="241">
        <f t="shared" si="32"/>
        <v>0</v>
      </c>
      <c r="CY41" s="241">
        <f t="shared" si="33"/>
        <v>0</v>
      </c>
      <c r="DB41" s="241">
        <f t="shared" si="34"/>
        <v>0</v>
      </c>
      <c r="DE41" s="241">
        <f t="shared" si="35"/>
        <v>0</v>
      </c>
      <c r="DH41" s="241">
        <f t="shared" si="36"/>
        <v>0</v>
      </c>
      <c r="DK41" s="241">
        <f t="shared" si="37"/>
        <v>0</v>
      </c>
      <c r="DN41" s="241">
        <f t="shared" si="38"/>
        <v>0</v>
      </c>
      <c r="DQ41" s="241">
        <f t="shared" si="39"/>
        <v>0</v>
      </c>
      <c r="DT41" s="241">
        <f t="shared" si="40"/>
        <v>0</v>
      </c>
      <c r="DW41" s="241">
        <f t="shared" si="41"/>
        <v>0</v>
      </c>
      <c r="DZ41" s="241"/>
      <c r="EA41" s="241"/>
      <c r="EB41" s="261">
        <f t="shared" si="42"/>
        <v>379325000</v>
      </c>
      <c r="EC41" s="261">
        <f t="shared" si="43"/>
        <v>0</v>
      </c>
      <c r="ED41" s="241">
        <f t="shared" si="44"/>
        <v>48304.326388888891</v>
      </c>
      <c r="EE41" s="242">
        <f t="shared" si="45"/>
        <v>4.5843425822184147E-2</v>
      </c>
      <c r="EG41" s="261">
        <f t="shared" si="46"/>
        <v>0</v>
      </c>
      <c r="EH41" s="241">
        <f t="shared" si="47"/>
        <v>0</v>
      </c>
      <c r="EI41" s="242">
        <f t="shared" si="48"/>
        <v>0</v>
      </c>
      <c r="EJ41" s="242"/>
      <c r="EK41" s="261">
        <f t="shared" si="49"/>
        <v>379325000</v>
      </c>
      <c r="EL41" s="261">
        <f t="shared" si="50"/>
        <v>0</v>
      </c>
      <c r="EM41" s="261">
        <f t="shared" si="51"/>
        <v>48304.326388888891</v>
      </c>
      <c r="EN41" s="242">
        <f t="shared" si="52"/>
        <v>4.5843425822184147E-2</v>
      </c>
      <c r="EP41" s="241"/>
    </row>
    <row r="42" spans="1:146" x14ac:dyDescent="0.25">
      <c r="A42" s="276" t="s">
        <v>35</v>
      </c>
      <c r="D42" s="258">
        <f>SUM(D11:D41)</f>
        <v>8748.0388479166668</v>
      </c>
      <c r="G42" s="258">
        <f>SUM(G11:G41)</f>
        <v>0</v>
      </c>
      <c r="J42" s="258">
        <f>SUM(J11:J41)</f>
        <v>0</v>
      </c>
      <c r="M42" s="258">
        <f>SUM(M11:M41)</f>
        <v>0</v>
      </c>
      <c r="P42" s="258">
        <f>SUM(P11:P41)</f>
        <v>0</v>
      </c>
      <c r="S42" s="258">
        <f>SUM(S11:S41)</f>
        <v>0</v>
      </c>
      <c r="V42" s="258">
        <f>SUM(V11:V41)</f>
        <v>0</v>
      </c>
      <c r="Y42" s="258">
        <f>SUM(Y11:Y41)</f>
        <v>0</v>
      </c>
      <c r="AB42" s="258">
        <f>SUM(AB11:AB41)</f>
        <v>0</v>
      </c>
      <c r="AE42" s="258">
        <f>SUM(AE11:AE41)</f>
        <v>0</v>
      </c>
      <c r="AH42" s="258">
        <f>SUM(AH11:AH41)</f>
        <v>0</v>
      </c>
      <c r="AK42" s="258">
        <f>SUM(AK11:AK41)</f>
        <v>296764.26388888882</v>
      </c>
      <c r="AN42" s="258">
        <f>SUM(AN11:AN41)</f>
        <v>177604.16666666674</v>
      </c>
      <c r="AQ42" s="258">
        <f>SUM(AQ11:AQ41)</f>
        <v>308666.66666666645</v>
      </c>
      <c r="AT42" s="258">
        <f>SUM(AT11:AT41)</f>
        <v>442422.22222222207</v>
      </c>
      <c r="AW42" s="258">
        <f>SUM(AW11:AW41)</f>
        <v>99666.666666666657</v>
      </c>
      <c r="AZ42" s="258">
        <f>SUM(AZ11:AZ41)</f>
        <v>0</v>
      </c>
      <c r="BC42" s="258">
        <f>SUM(BC11:BC41)</f>
        <v>0</v>
      </c>
      <c r="BF42" s="258">
        <f>SUM(BF11:BF41)</f>
        <v>0</v>
      </c>
      <c r="BI42" s="258">
        <f>SUM(BI11:BI41)</f>
        <v>0</v>
      </c>
      <c r="BL42" s="258">
        <f>SUM(BL11:BL41)</f>
        <v>0</v>
      </c>
      <c r="BO42" s="258">
        <f>SUM(BO11:BO41)</f>
        <v>0</v>
      </c>
      <c r="BR42" s="258">
        <f>SUM(BR11:BR41)</f>
        <v>0</v>
      </c>
      <c r="BU42" s="258">
        <f>SUM(BU11:BU41)</f>
        <v>0</v>
      </c>
      <c r="BX42" s="258">
        <f>SUM(BX11:BX41)</f>
        <v>0</v>
      </c>
      <c r="CA42" s="258">
        <f>SUM(CA11:CA41)</f>
        <v>0</v>
      </c>
      <c r="CD42" s="258">
        <f>SUM(CD11:CD41)</f>
        <v>0</v>
      </c>
      <c r="CG42" s="258">
        <f>SUM(CG11:CG41)</f>
        <v>0</v>
      </c>
      <c r="CJ42" s="258">
        <f>SUM(CJ11:CJ41)</f>
        <v>0</v>
      </c>
      <c r="CM42" s="258">
        <f>SUM(CM11:CM41)</f>
        <v>0</v>
      </c>
      <c r="CP42" s="258">
        <f>SUM(CP11:CP41)</f>
        <v>0</v>
      </c>
      <c r="CS42" s="258">
        <f>SUM(CS11:CS41)</f>
        <v>0</v>
      </c>
      <c r="CV42" s="258">
        <f>SUM(CV11:CV41)</f>
        <v>0</v>
      </c>
      <c r="CY42" s="258">
        <f>SUM(CY11:CY41)</f>
        <v>0</v>
      </c>
      <c r="DB42" s="258">
        <f>SUM(DB11:DB41)</f>
        <v>0</v>
      </c>
      <c r="DE42" s="258">
        <f>SUM(DE11:DE41)</f>
        <v>0</v>
      </c>
      <c r="DH42" s="258">
        <f>SUM(DH11:DH41)</f>
        <v>0</v>
      </c>
      <c r="DK42" s="258">
        <f>SUM(DK11:DK41)</f>
        <v>0</v>
      </c>
      <c r="DN42" s="258">
        <f>SUM(DN11:DN41)</f>
        <v>0</v>
      </c>
      <c r="DQ42" s="258">
        <f>SUM(DQ11:DQ41)</f>
        <v>0</v>
      </c>
      <c r="DT42" s="258">
        <f>SUM(DT11:DT41)</f>
        <v>0</v>
      </c>
      <c r="DW42" s="258">
        <f>SUM(DW11:DW41)</f>
        <v>0</v>
      </c>
      <c r="DZ42" s="241"/>
      <c r="EA42" s="241"/>
      <c r="EB42" s="241"/>
      <c r="EC42" s="241"/>
      <c r="ED42" s="258">
        <f>SUM(ED11:ED41)</f>
        <v>1333872.0249590278</v>
      </c>
      <c r="EE42" s="242"/>
      <c r="EG42" s="241"/>
      <c r="EH42" s="258">
        <f>SUM(EH11:EH41)</f>
        <v>0</v>
      </c>
      <c r="EI42" s="242"/>
      <c r="EJ42" s="242"/>
      <c r="EK42" s="241"/>
      <c r="EL42" s="241"/>
      <c r="EM42" s="258">
        <f>SUM(EM11:EM41)</f>
        <v>1325123.986111111</v>
      </c>
      <c r="EN42" s="242"/>
    </row>
    <row r="44" spans="1:146" x14ac:dyDescent="0.25">
      <c r="EM44" s="259"/>
    </row>
    <row r="45" spans="1:146" x14ac:dyDescent="0.25">
      <c r="EM45" s="241"/>
    </row>
    <row r="46" spans="1:146" x14ac:dyDescent="0.25">
      <c r="EM46" s="241"/>
    </row>
    <row r="48" spans="1:146" x14ac:dyDescent="0.25">
      <c r="EM48" s="241"/>
    </row>
  </sheetData>
  <pageMargins left="0.7" right="0.7" top="0.75" bottom="0.75" header="0.3" footer="0.3"/>
  <pageSetup scale="63" orientation="portrait" r:id="rId1"/>
  <headerFooter>
    <oddFooter>&amp;CSchedule RL-1</oddFooter>
  </headerFooter>
  <colBreaks count="6" manualBreakCount="6">
    <brk id="7" max="1048575" man="1"/>
    <brk id="43" max="1048575" man="1"/>
    <brk id="52" max="41" man="1"/>
    <brk id="64" max="1048575" man="1"/>
    <brk id="130" max="1048575" man="1"/>
    <brk id="14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R41"/>
  <sheetViews>
    <sheetView workbookViewId="0">
      <pane xSplit="1" topLeftCell="B1" activePane="topRight" state="frozen"/>
      <selection pane="topRight" activeCell="A18" sqref="A18"/>
    </sheetView>
  </sheetViews>
  <sheetFormatPr defaultColWidth="13.42578125" defaultRowHeight="15" x14ac:dyDescent="0.25"/>
  <cols>
    <col min="1" max="1" width="53.5703125" bestFit="1" customWidth="1"/>
    <col min="2" max="2" width="19.28515625" bestFit="1" customWidth="1"/>
    <col min="3" max="4" width="21.140625" bestFit="1" customWidth="1"/>
    <col min="5" max="13" width="21.140625" customWidth="1"/>
    <col min="14" max="14" width="13.85546875" bestFit="1" customWidth="1"/>
    <col min="15" max="15" width="16.7109375" bestFit="1" customWidth="1"/>
    <col min="16" max="16" width="13.5703125" bestFit="1" customWidth="1"/>
    <col min="18" max="18" width="16.140625" customWidth="1"/>
  </cols>
  <sheetData>
    <row r="1" spans="1:18" x14ac:dyDescent="0.25">
      <c r="A1" t="s">
        <v>0</v>
      </c>
    </row>
    <row r="2" spans="1:18" ht="15.75" thickBot="1" x14ac:dyDescent="0.3">
      <c r="A2" t="s">
        <v>1</v>
      </c>
    </row>
    <row r="3" spans="1:18" ht="15.75" thickBot="1" x14ac:dyDescent="0.3">
      <c r="A3" t="s">
        <v>257</v>
      </c>
      <c r="B3" s="279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1"/>
    </row>
    <row r="4" spans="1:18" x14ac:dyDescent="0.25">
      <c r="A4" s="1"/>
      <c r="B4" s="72">
        <v>45505</v>
      </c>
      <c r="C4" s="288">
        <v>45536</v>
      </c>
      <c r="D4" s="288">
        <v>45566</v>
      </c>
      <c r="E4" s="288">
        <v>45597</v>
      </c>
      <c r="F4" s="288">
        <v>45627</v>
      </c>
      <c r="G4" s="288">
        <v>45658</v>
      </c>
      <c r="H4" s="288">
        <v>45689</v>
      </c>
      <c r="I4" s="288">
        <v>45717</v>
      </c>
      <c r="J4" s="288">
        <v>45748</v>
      </c>
      <c r="K4" s="288">
        <v>45778</v>
      </c>
      <c r="L4" s="288">
        <v>45809</v>
      </c>
      <c r="M4" s="74">
        <v>45839</v>
      </c>
    </row>
    <row r="5" spans="1:18" x14ac:dyDescent="0.25">
      <c r="A5" s="2" t="s">
        <v>16</v>
      </c>
      <c r="B5" s="75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3"/>
    </row>
    <row r="6" spans="1:18" x14ac:dyDescent="0.25">
      <c r="A6" s="3" t="s">
        <v>259</v>
      </c>
      <c r="B6" s="75">
        <v>7814.94</v>
      </c>
      <c r="C6" s="25">
        <v>553758.43999999994</v>
      </c>
      <c r="D6" s="25">
        <v>254373.11000000002</v>
      </c>
      <c r="E6" s="25">
        <v>71491.800000000047</v>
      </c>
      <c r="F6" s="25">
        <v>962788.27</v>
      </c>
      <c r="G6" s="25">
        <v>2711.05</v>
      </c>
      <c r="H6" s="25">
        <v>2699.55</v>
      </c>
      <c r="I6" s="25">
        <v>322272.58</v>
      </c>
      <c r="J6" s="25">
        <v>275388.21999999997</v>
      </c>
      <c r="K6" s="25">
        <v>93028.4</v>
      </c>
      <c r="L6" s="25">
        <v>81493.349999999977</v>
      </c>
      <c r="M6" s="50">
        <v>160210.41999999998</v>
      </c>
    </row>
    <row r="7" spans="1:18" x14ac:dyDescent="0.25">
      <c r="A7" s="3" t="s">
        <v>260</v>
      </c>
      <c r="B7" s="75">
        <v>506.46</v>
      </c>
      <c r="C7" s="25">
        <v>7.6899999999999995</v>
      </c>
      <c r="D7" s="25">
        <v>505.6699999999999</v>
      </c>
      <c r="E7" s="25">
        <v>255.72</v>
      </c>
      <c r="F7" s="25">
        <v>266.37</v>
      </c>
      <c r="G7" s="25">
        <v>2.21</v>
      </c>
      <c r="H7" s="25">
        <v>252.75999999999996</v>
      </c>
      <c r="I7" s="25">
        <v>3.84</v>
      </c>
      <c r="J7" s="25">
        <v>135.68</v>
      </c>
      <c r="K7" s="25">
        <v>9137.98</v>
      </c>
      <c r="L7" s="25">
        <v>2057.37</v>
      </c>
      <c r="M7" s="50">
        <v>2343.62</v>
      </c>
    </row>
    <row r="8" spans="1:18" x14ac:dyDescent="0.25">
      <c r="A8" s="3" t="s">
        <v>261</v>
      </c>
      <c r="B8" s="75">
        <v>0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50">
        <v>0</v>
      </c>
    </row>
    <row r="9" spans="1:18" x14ac:dyDescent="0.25">
      <c r="A9" s="3" t="s">
        <v>262</v>
      </c>
      <c r="B9" s="75">
        <v>0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50">
        <v>0</v>
      </c>
    </row>
    <row r="10" spans="1:18" x14ac:dyDescent="0.25">
      <c r="A10" s="3" t="s">
        <v>263</v>
      </c>
      <c r="B10" s="7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50">
        <v>0</v>
      </c>
      <c r="N10" s="283"/>
      <c r="O10" s="283"/>
      <c r="P10" s="283"/>
      <c r="Q10" s="283"/>
      <c r="R10" s="283"/>
    </row>
    <row r="11" spans="1:18" x14ac:dyDescent="0.25">
      <c r="A11" s="3" t="s">
        <v>235</v>
      </c>
      <c r="B11" s="7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50">
        <v>0</v>
      </c>
      <c r="N11" s="284"/>
      <c r="O11" s="284"/>
      <c r="P11" s="284"/>
      <c r="Q11" s="284"/>
      <c r="R11" s="284"/>
    </row>
    <row r="12" spans="1:18" x14ac:dyDescent="0.25">
      <c r="A12" s="3" t="s">
        <v>236</v>
      </c>
      <c r="B12" s="7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50">
        <v>0</v>
      </c>
      <c r="N12" s="284"/>
      <c r="O12" s="284"/>
      <c r="P12" s="284"/>
      <c r="Q12" s="284"/>
      <c r="R12" s="284"/>
    </row>
    <row r="13" spans="1:18" x14ac:dyDescent="0.25">
      <c r="A13" s="3" t="s">
        <v>237</v>
      </c>
      <c r="B13" s="75">
        <v>-16388068.322985962</v>
      </c>
      <c r="C13" s="25">
        <v>-12350430.571995363</v>
      </c>
      <c r="D13" s="25">
        <v>365950.58362084627</v>
      </c>
      <c r="E13" s="25">
        <v>2753943.7842284366</v>
      </c>
      <c r="F13" s="25">
        <v>-360423.21351670474</v>
      </c>
      <c r="G13" s="25">
        <v>-1817690.6363789418</v>
      </c>
      <c r="H13" s="25">
        <v>-2256709.8122500656</v>
      </c>
      <c r="I13" s="25">
        <v>-283237.70901804417</v>
      </c>
      <c r="J13" s="25">
        <v>1543371.2315125167</v>
      </c>
      <c r="K13" s="25">
        <v>-581775.5145431743</v>
      </c>
      <c r="L13" s="25">
        <v>-14841558.941397227</v>
      </c>
      <c r="M13" s="50">
        <v>-19663597.555772409</v>
      </c>
      <c r="N13" s="285"/>
      <c r="O13" s="285"/>
      <c r="P13" s="285"/>
      <c r="Q13" s="284"/>
      <c r="R13" s="284"/>
    </row>
    <row r="14" spans="1:18" x14ac:dyDescent="0.25">
      <c r="A14" s="3" t="s">
        <v>238</v>
      </c>
      <c r="B14" s="75">
        <v>-1780037.0099999974</v>
      </c>
      <c r="C14" s="25">
        <v>-2239009.2900000005</v>
      </c>
      <c r="D14" s="25">
        <v>-2474852.09</v>
      </c>
      <c r="E14" s="25">
        <v>-1449476.8600000041</v>
      </c>
      <c r="F14" s="25">
        <v>-1485384.7200000053</v>
      </c>
      <c r="G14" s="25">
        <v>-2685763.9600000051</v>
      </c>
      <c r="H14" s="25">
        <v>-2601366.2000000007</v>
      </c>
      <c r="I14" s="25">
        <v>-4100297.8900000011</v>
      </c>
      <c r="J14" s="25">
        <v>-4184076.0500000035</v>
      </c>
      <c r="K14" s="25">
        <v>-4469097.1900000097</v>
      </c>
      <c r="L14" s="25">
        <v>-8987682.6900000162</v>
      </c>
      <c r="M14" s="50">
        <v>-9989918.9500000216</v>
      </c>
      <c r="N14" s="285"/>
      <c r="O14" s="285"/>
      <c r="P14" s="285"/>
      <c r="Q14" s="284"/>
      <c r="R14" s="284"/>
    </row>
    <row r="15" spans="1:18" x14ac:dyDescent="0.25">
      <c r="A15" s="3" t="s">
        <v>2</v>
      </c>
      <c r="B15" s="75">
        <v>7039862.7670025351</v>
      </c>
      <c r="C15" s="25">
        <v>7034537.7670025351</v>
      </c>
      <c r="D15" s="25">
        <v>7029241.7670025351</v>
      </c>
      <c r="E15" s="25">
        <v>7023814.7670025351</v>
      </c>
      <c r="F15" s="25">
        <v>7187148.7670025351</v>
      </c>
      <c r="G15" s="25">
        <v>7374397.7670025351</v>
      </c>
      <c r="H15" s="25">
        <v>7389896.7670025351</v>
      </c>
      <c r="I15" s="25">
        <v>7379988.7670025351</v>
      </c>
      <c r="J15" s="25">
        <v>7369636.7670025351</v>
      </c>
      <c r="K15" s="25">
        <v>7365950.7670025351</v>
      </c>
      <c r="L15" s="25">
        <v>8525577.2549342569</v>
      </c>
      <c r="M15" s="50">
        <v>8516241.2549342569</v>
      </c>
      <c r="N15" s="285"/>
      <c r="O15" s="285"/>
      <c r="P15" s="285"/>
      <c r="Q15" s="284"/>
      <c r="R15" s="284"/>
    </row>
    <row r="16" spans="1:18" x14ac:dyDescent="0.25">
      <c r="A16" s="3" t="s">
        <v>3</v>
      </c>
      <c r="B16" s="75">
        <v>3509414.3333333335</v>
      </c>
      <c r="C16" s="25">
        <v>3509424.3333333335</v>
      </c>
      <c r="D16" s="25">
        <v>3509442.3333333335</v>
      </c>
      <c r="E16" s="25">
        <v>3509469.3333333335</v>
      </c>
      <c r="F16" s="25">
        <v>3590806.3333333335</v>
      </c>
      <c r="G16" s="25">
        <v>3661846.3333333335</v>
      </c>
      <c r="H16" s="25">
        <v>3664019.3333333335</v>
      </c>
      <c r="I16" s="25">
        <v>3669907.3333333335</v>
      </c>
      <c r="J16" s="25">
        <v>3666016.3333333335</v>
      </c>
      <c r="K16" s="25">
        <v>3666046.3333333335</v>
      </c>
      <c r="L16" s="25">
        <v>4563140.6140330834</v>
      </c>
      <c r="M16" s="50">
        <v>4554552.6140330834</v>
      </c>
      <c r="N16" s="284"/>
      <c r="O16" s="286"/>
      <c r="P16" s="284"/>
      <c r="Q16" s="284"/>
      <c r="R16" s="284"/>
    </row>
    <row r="17" spans="1:18" x14ac:dyDescent="0.25">
      <c r="A17" s="3" t="s">
        <v>4</v>
      </c>
      <c r="B17" s="75">
        <v>989878.58000000007</v>
      </c>
      <c r="C17" s="25">
        <v>658451.06000000017</v>
      </c>
      <c r="D17" s="25">
        <v>2005359.8100000017</v>
      </c>
      <c r="E17" s="25">
        <v>856116.1799999997</v>
      </c>
      <c r="F17" s="25">
        <v>1650047.2300000002</v>
      </c>
      <c r="G17" s="25">
        <v>2300371.0699999994</v>
      </c>
      <c r="H17" s="25">
        <v>853119.91999999993</v>
      </c>
      <c r="I17" s="25">
        <v>1790417.7099999997</v>
      </c>
      <c r="J17" s="25">
        <v>1623406.5699999996</v>
      </c>
      <c r="K17" s="25">
        <v>782651.27999999921</v>
      </c>
      <c r="L17" s="25">
        <v>937569.54999999981</v>
      </c>
      <c r="M17" s="50">
        <v>2332544.13</v>
      </c>
      <c r="N17" s="285"/>
      <c r="O17" s="285"/>
      <c r="P17" s="285"/>
      <c r="Q17" s="284"/>
      <c r="R17" s="284"/>
    </row>
    <row r="18" spans="1:18" x14ac:dyDescent="0.25">
      <c r="A18" s="3" t="s">
        <v>117</v>
      </c>
      <c r="B18" s="75">
        <v>2888.5900000000547</v>
      </c>
      <c r="C18" s="25">
        <v>152691.64000000001</v>
      </c>
      <c r="D18" s="25">
        <v>152691.64000000001</v>
      </c>
      <c r="E18" s="25">
        <v>152691.64000000001</v>
      </c>
      <c r="F18" s="25">
        <v>213266.64</v>
      </c>
      <c r="G18" s="25">
        <v>202848</v>
      </c>
      <c r="H18" s="25">
        <v>213069</v>
      </c>
      <c r="I18" s="25">
        <v>202226.12</v>
      </c>
      <c r="J18" s="25">
        <v>213069</v>
      </c>
      <c r="K18" s="25">
        <v>213069</v>
      </c>
      <c r="L18" s="25">
        <v>227952.98</v>
      </c>
      <c r="M18" s="50">
        <v>216148.92</v>
      </c>
      <c r="N18" s="284"/>
      <c r="O18" s="286"/>
      <c r="P18" s="284"/>
      <c r="Q18" s="284"/>
      <c r="R18" s="284"/>
    </row>
    <row r="19" spans="1:18" x14ac:dyDescent="0.25">
      <c r="A19" s="3" t="s">
        <v>5</v>
      </c>
      <c r="B19" s="75">
        <v>775000</v>
      </c>
      <c r="C19" s="25">
        <v>775000</v>
      </c>
      <c r="D19" s="25">
        <v>775000</v>
      </c>
      <c r="E19" s="25">
        <v>775000</v>
      </c>
      <c r="F19" s="25">
        <v>800158</v>
      </c>
      <c r="G19" s="25">
        <v>791666.66666666663</v>
      </c>
      <c r="H19" s="25">
        <v>791666.66666666663</v>
      </c>
      <c r="I19" s="25">
        <v>791666.66666666663</v>
      </c>
      <c r="J19" s="25">
        <v>791666.66666666663</v>
      </c>
      <c r="K19" s="25">
        <v>791666.66666666663</v>
      </c>
      <c r="L19" s="25">
        <v>791666.66666666663</v>
      </c>
      <c r="M19" s="50">
        <v>791666.66666666663</v>
      </c>
      <c r="N19" s="285"/>
      <c r="O19" s="285"/>
      <c r="P19" s="285"/>
      <c r="Q19" s="284"/>
      <c r="R19" s="284"/>
    </row>
    <row r="20" spans="1:18" ht="15.75" thickBot="1" x14ac:dyDescent="0.3">
      <c r="A20" s="2" t="s">
        <v>6</v>
      </c>
      <c r="B20" s="104">
        <f t="shared" ref="B20:M20" si="0">SUM(B6:B19)</f>
        <v>-5842739.6626500897</v>
      </c>
      <c r="C20" s="105">
        <f t="shared" si="0"/>
        <v>-1905568.9316594959</v>
      </c>
      <c r="D20" s="105">
        <f t="shared" si="0"/>
        <v>11617712.823956719</v>
      </c>
      <c r="E20" s="105">
        <f t="shared" si="0"/>
        <v>13693306.364564301</v>
      </c>
      <c r="F20" s="105">
        <f t="shared" si="0"/>
        <v>12558673.676819159</v>
      </c>
      <c r="G20" s="105">
        <f t="shared" si="0"/>
        <v>9830388.5006235857</v>
      </c>
      <c r="H20" s="105">
        <f t="shared" si="0"/>
        <v>8056647.9847524697</v>
      </c>
      <c r="I20" s="105">
        <f t="shared" si="0"/>
        <v>9772947.4179844875</v>
      </c>
      <c r="J20" s="105">
        <f t="shared" si="0"/>
        <v>11298614.418515049</v>
      </c>
      <c r="K20" s="105">
        <f t="shared" si="0"/>
        <v>7870677.7224593507</v>
      </c>
      <c r="L20" s="105">
        <f t="shared" si="0"/>
        <v>-8699783.8457632344</v>
      </c>
      <c r="M20" s="106">
        <f t="shared" si="0"/>
        <v>-13079808.880138427</v>
      </c>
      <c r="N20" s="285"/>
      <c r="O20" s="285"/>
      <c r="P20" s="285"/>
      <c r="Q20" s="284"/>
      <c r="R20" s="284"/>
    </row>
    <row r="21" spans="1:18" x14ac:dyDescent="0.25">
      <c r="B21" s="26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8"/>
      <c r="N21" s="287"/>
      <c r="O21" s="287"/>
      <c r="P21" s="287"/>
      <c r="Q21" s="287"/>
      <c r="R21" s="287"/>
    </row>
    <row r="22" spans="1:18" x14ac:dyDescent="0.25">
      <c r="A22" s="3" t="s">
        <v>116</v>
      </c>
      <c r="B22" s="109">
        <v>0</v>
      </c>
      <c r="C22" s="110">
        <v>0</v>
      </c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111">
        <v>0</v>
      </c>
      <c r="N22" s="284"/>
      <c r="O22" s="284"/>
      <c r="P22" s="284"/>
      <c r="Q22" s="284"/>
      <c r="R22" s="284"/>
    </row>
    <row r="23" spans="1:18" x14ac:dyDescent="0.25">
      <c r="A23" s="3" t="s">
        <v>17</v>
      </c>
      <c r="B23" s="119">
        <v>3092568.7562052831</v>
      </c>
      <c r="C23" s="120">
        <v>3092568.7562052831</v>
      </c>
      <c r="D23" s="120">
        <v>3092568.7562052831</v>
      </c>
      <c r="E23" s="120">
        <v>3092568.7562052831</v>
      </c>
      <c r="F23" s="120">
        <v>3092568.7562052831</v>
      </c>
      <c r="G23" s="120">
        <v>3092568.7562052831</v>
      </c>
      <c r="H23" s="94">
        <v>4564308.4542626524</v>
      </c>
      <c r="I23" s="94">
        <v>4564308.4542626524</v>
      </c>
      <c r="J23" s="94">
        <v>4564308.4542626524</v>
      </c>
      <c r="K23" s="94">
        <v>4564308.4542626524</v>
      </c>
      <c r="L23" s="121">
        <v>0</v>
      </c>
      <c r="M23" s="122">
        <v>0</v>
      </c>
      <c r="N23" s="285"/>
      <c r="O23" s="285"/>
      <c r="P23" s="285"/>
      <c r="Q23" s="284"/>
      <c r="R23" s="284"/>
    </row>
    <row r="24" spans="1:18" x14ac:dyDescent="0.25">
      <c r="A24" s="3" t="s">
        <v>18</v>
      </c>
      <c r="B24" s="109">
        <f>'ER-2024-0319'!$H$52</f>
        <v>600491.23467867449</v>
      </c>
      <c r="C24" s="110">
        <f>'ER-2024-0319'!$H$52</f>
        <v>600491.23467867449</v>
      </c>
      <c r="D24" s="110">
        <f>'ER-2024-0319'!$H$52</f>
        <v>600491.23467867449</v>
      </c>
      <c r="E24" s="110">
        <f>'ER-2024-0319'!$H$52</f>
        <v>600491.23467867449</v>
      </c>
      <c r="F24" s="110">
        <f>'ER-2024-0319'!$H$52</f>
        <v>600491.23467867449</v>
      </c>
      <c r="G24" s="110">
        <f>'ER-2024-0319'!$H$52</f>
        <v>600491.23467867449</v>
      </c>
      <c r="H24" s="110">
        <f>'ER-2024-0319'!$H$52</f>
        <v>600491.23467867449</v>
      </c>
      <c r="I24" s="110">
        <f>'ER-2024-0319'!$H$52</f>
        <v>600491.23467867449</v>
      </c>
      <c r="J24" s="110">
        <f>'ER-2024-0319'!$H$52</f>
        <v>600491.23467867449</v>
      </c>
      <c r="K24" s="110">
        <f>'ER-2024-0319'!$H$52</f>
        <v>600491.23467867449</v>
      </c>
      <c r="L24" s="110">
        <f>'ER-2024-0319'!$C$52</f>
        <v>198408.62274531857</v>
      </c>
      <c r="M24" s="111">
        <f>'ER-2024-0319'!$C$52</f>
        <v>198408.62274531857</v>
      </c>
      <c r="N24" s="285"/>
      <c r="O24" s="285"/>
      <c r="P24" s="285"/>
      <c r="Q24" s="284"/>
      <c r="R24" s="284"/>
    </row>
    <row r="25" spans="1:18" x14ac:dyDescent="0.25">
      <c r="A25" s="2" t="s">
        <v>19</v>
      </c>
      <c r="B25" s="24">
        <f>+B23+B24</f>
        <v>3693059.9908839576</v>
      </c>
      <c r="C25" s="19">
        <f t="shared" ref="C25:M25" si="1">+C23+C24</f>
        <v>3693059.9908839576</v>
      </c>
      <c r="D25" s="19">
        <f t="shared" si="1"/>
        <v>3693059.9908839576</v>
      </c>
      <c r="E25" s="19">
        <f t="shared" si="1"/>
        <v>3693059.9908839576</v>
      </c>
      <c r="F25" s="19">
        <f t="shared" si="1"/>
        <v>3693059.9908839576</v>
      </c>
      <c r="G25" s="19">
        <f t="shared" si="1"/>
        <v>3693059.9908839576</v>
      </c>
      <c r="H25" s="19">
        <f t="shared" si="1"/>
        <v>5164799.6889413269</v>
      </c>
      <c r="I25" s="19">
        <f t="shared" si="1"/>
        <v>5164799.6889413269</v>
      </c>
      <c r="J25" s="19">
        <f t="shared" si="1"/>
        <v>5164799.6889413269</v>
      </c>
      <c r="K25" s="19">
        <f t="shared" si="1"/>
        <v>5164799.6889413269</v>
      </c>
      <c r="L25" s="19">
        <f t="shared" si="1"/>
        <v>198408.62274531857</v>
      </c>
      <c r="M25" s="54">
        <f t="shared" si="1"/>
        <v>198408.62274531857</v>
      </c>
      <c r="N25" s="285"/>
      <c r="O25" s="285"/>
      <c r="P25" s="285"/>
      <c r="Q25" s="284"/>
      <c r="R25" s="284"/>
    </row>
    <row r="26" spans="1:18" ht="15.75" thickBot="1" x14ac:dyDescent="0.3">
      <c r="A26" s="4" t="s">
        <v>7</v>
      </c>
      <c r="B26" s="112">
        <f>-B25+B20</f>
        <v>-9535799.6535340473</v>
      </c>
      <c r="C26" s="113">
        <f t="shared" ref="C26:M26" si="2">-C25+C20</f>
        <v>-5598628.9225434531</v>
      </c>
      <c r="D26" s="113">
        <f t="shared" si="2"/>
        <v>7924652.8330727611</v>
      </c>
      <c r="E26" s="113">
        <f t="shared" si="2"/>
        <v>10000246.373680344</v>
      </c>
      <c r="F26" s="113">
        <f t="shared" si="2"/>
        <v>8865613.6859352011</v>
      </c>
      <c r="G26" s="113">
        <f t="shared" si="2"/>
        <v>6137328.5097396281</v>
      </c>
      <c r="H26" s="113">
        <f t="shared" si="2"/>
        <v>2891848.2958111428</v>
      </c>
      <c r="I26" s="113">
        <f t="shared" si="2"/>
        <v>4608147.7290431606</v>
      </c>
      <c r="J26" s="113">
        <f t="shared" si="2"/>
        <v>6133814.729573722</v>
      </c>
      <c r="K26" s="113">
        <f t="shared" si="2"/>
        <v>2705878.0335180238</v>
      </c>
      <c r="L26" s="113">
        <f t="shared" si="2"/>
        <v>-8898192.4685085528</v>
      </c>
      <c r="M26" s="114">
        <f t="shared" si="2"/>
        <v>-13278217.502883745</v>
      </c>
      <c r="N26" s="284"/>
      <c r="O26" s="284"/>
      <c r="P26" s="284"/>
      <c r="Q26" s="284"/>
      <c r="R26" s="284"/>
    </row>
    <row r="27" spans="1:18" x14ac:dyDescent="0.25">
      <c r="A27" s="2"/>
      <c r="B27" s="12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6"/>
      <c r="N27" s="285"/>
      <c r="O27" s="285"/>
      <c r="P27" s="285"/>
      <c r="Q27" s="284"/>
      <c r="R27" s="284"/>
    </row>
    <row r="28" spans="1:18" x14ac:dyDescent="0.25">
      <c r="A28" s="34" t="s">
        <v>8</v>
      </c>
      <c r="B28" s="13">
        <f>+'Aug 24 Int'!G6/12</f>
        <v>4.6366415493178407E-3</v>
      </c>
      <c r="C28" s="5">
        <f>+'Sept 24 Int'!G6/12</f>
        <v>4.4211239201055784E-3</v>
      </c>
      <c r="D28" s="5">
        <f>+'Oct 24 Int'!G6/12</f>
        <v>4.1172865931109479E-3</v>
      </c>
      <c r="E28" s="5">
        <f>'Nov 24 Int'!G6/12</f>
        <v>4.0372997902493627E-3</v>
      </c>
      <c r="F28" s="5">
        <f>'Dec 24 Int'!G6/12</f>
        <v>3.9086784964514603E-3</v>
      </c>
      <c r="G28" s="5">
        <f>'Jan 25 Int'!G6/12</f>
        <v>3.7914794777146178E-3</v>
      </c>
      <c r="H28" s="5">
        <f>'Feb 25 Int'!G6/12</f>
        <v>3.8006368137405364E-3</v>
      </c>
      <c r="I28" s="5">
        <f>'Mar 25 Int'!G6/12</f>
        <v>3.8491771398324812E-3</v>
      </c>
      <c r="J28" s="5">
        <f>'Apr 25 Int'!G6/12</f>
        <v>3.8483317509430694E-3</v>
      </c>
      <c r="K28" s="5">
        <f>'May 25 Int'!G6/12</f>
        <v>3.8286059334735208E-3</v>
      </c>
      <c r="L28" s="5">
        <f>'Jun 25 Int'!G6/12</f>
        <v>3.8315826075828296E-3</v>
      </c>
      <c r="M28" s="56">
        <f>'Jul 25 Int'!G6/12</f>
        <v>3.8358682095427418E-3</v>
      </c>
      <c r="N28" s="284"/>
      <c r="O28" s="284"/>
      <c r="P28" s="284"/>
      <c r="Q28" s="284"/>
      <c r="R28" s="284"/>
    </row>
    <row r="29" spans="1:18" x14ac:dyDescent="0.25">
      <c r="A29" s="6" t="s">
        <v>9</v>
      </c>
      <c r="B29" s="22">
        <f>(B26)*B28</f>
        <v>-44214.084879546637</v>
      </c>
      <c r="C29" s="21">
        <f t="shared" ref="C29:M29" si="3">(C26+B31)*C28</f>
        <v>-67106.660143092187</v>
      </c>
      <c r="D29" s="21">
        <f t="shared" si="3"/>
        <v>-30143.052417026771</v>
      </c>
      <c r="E29" s="21">
        <f t="shared" si="3"/>
        <v>10694.834732192581</v>
      </c>
      <c r="F29" s="21">
        <f t="shared" si="3"/>
        <v>45048.752288623808</v>
      </c>
      <c r="G29" s="21">
        <f t="shared" si="3"/>
        <v>67138.353150983283</v>
      </c>
      <c r="H29" s="21">
        <f t="shared" si="3"/>
        <v>78546.542031923236</v>
      </c>
      <c r="I29" s="21">
        <f t="shared" si="3"/>
        <v>97589.625832284873</v>
      </c>
      <c r="J29" s="21">
        <f t="shared" si="3"/>
        <v>121548.70360586233</v>
      </c>
      <c r="K29" s="21">
        <f t="shared" si="3"/>
        <v>131750.77082457504</v>
      </c>
      <c r="L29" s="21">
        <f t="shared" si="3"/>
        <v>98263.859203902088</v>
      </c>
      <c r="M29" s="60">
        <f t="shared" si="3"/>
        <v>47817.201550743295</v>
      </c>
      <c r="N29" s="285"/>
      <c r="O29" s="285"/>
      <c r="P29" s="285"/>
      <c r="Q29" s="284"/>
      <c r="R29" s="284"/>
    </row>
    <row r="30" spans="1:18" x14ac:dyDescent="0.25">
      <c r="A30" s="2"/>
      <c r="B30" s="117"/>
      <c r="C30" s="282"/>
      <c r="D30" s="282"/>
      <c r="E30" s="282"/>
      <c r="F30" s="282"/>
      <c r="G30" s="282"/>
      <c r="H30" s="282"/>
      <c r="I30" s="282"/>
      <c r="J30" s="282"/>
      <c r="K30" s="282"/>
      <c r="L30" s="282"/>
      <c r="M30" s="118"/>
      <c r="N30" s="285"/>
      <c r="O30" s="285"/>
      <c r="P30" s="285"/>
      <c r="Q30" s="284"/>
      <c r="R30" s="284"/>
    </row>
    <row r="31" spans="1:18" ht="15.75" thickBot="1" x14ac:dyDescent="0.3">
      <c r="A31" s="4" t="s">
        <v>10</v>
      </c>
      <c r="B31" s="112">
        <f>B26+B29</f>
        <v>-9580013.7384135947</v>
      </c>
      <c r="C31" s="113">
        <f>C26+C29+B31</f>
        <v>-15245749.32110014</v>
      </c>
      <c r="D31" s="113">
        <f t="shared" ref="D31:M31" si="4">D26+D29+C31</f>
        <v>-7351239.5404444057</v>
      </c>
      <c r="E31" s="113">
        <f t="shared" si="4"/>
        <v>2659701.6679681316</v>
      </c>
      <c r="F31" s="113">
        <f t="shared" si="4"/>
        <v>11570364.106191957</v>
      </c>
      <c r="G31" s="113">
        <f t="shared" si="4"/>
        <v>17774830.969082568</v>
      </c>
      <c r="H31" s="113">
        <f t="shared" si="4"/>
        <v>20745225.806925632</v>
      </c>
      <c r="I31" s="113">
        <f t="shared" si="4"/>
        <v>25450963.161801077</v>
      </c>
      <c r="J31" s="113">
        <f t="shared" si="4"/>
        <v>31706326.594980661</v>
      </c>
      <c r="K31" s="113">
        <f t="shared" si="4"/>
        <v>34543955.399323262</v>
      </c>
      <c r="L31" s="113">
        <f t="shared" si="4"/>
        <v>25744026.790018611</v>
      </c>
      <c r="M31" s="114">
        <f t="shared" si="4"/>
        <v>12513626.488685608</v>
      </c>
    </row>
    <row r="38" spans="2:8" x14ac:dyDescent="0.25">
      <c r="B38" s="15"/>
      <c r="C38" s="15"/>
      <c r="D38" s="15"/>
      <c r="E38" s="15"/>
      <c r="F38" s="15"/>
      <c r="G38" s="15"/>
      <c r="H38" s="15"/>
    </row>
    <row r="39" spans="2:8" x14ac:dyDescent="0.25">
      <c r="B39" s="16"/>
      <c r="C39" s="16"/>
      <c r="D39" s="16"/>
      <c r="E39" s="16"/>
      <c r="F39" s="16"/>
      <c r="G39" s="16"/>
      <c r="H39" s="16"/>
    </row>
    <row r="40" spans="2:8" x14ac:dyDescent="0.25">
      <c r="B40" s="16"/>
      <c r="C40" s="16"/>
      <c r="D40" s="16"/>
      <c r="E40" s="16"/>
      <c r="F40" s="16"/>
      <c r="G40" s="16"/>
      <c r="H40" s="16"/>
    </row>
    <row r="41" spans="2:8" x14ac:dyDescent="0.25">
      <c r="B41" s="16"/>
      <c r="C41" s="16"/>
      <c r="D41" s="16"/>
      <c r="E41" s="16"/>
      <c r="F41" s="16"/>
      <c r="G41" s="16"/>
      <c r="H41" s="16"/>
    </row>
  </sheetData>
  <mergeCells count="1">
    <mergeCell ref="B3:M3"/>
  </mergeCells>
  <pageMargins left="0.7" right="0.7" top="0.75" bottom="0.75" header="0.3" footer="0.3"/>
  <pageSetup scale="32" fitToHeight="0" orientation="landscape" r:id="rId1"/>
  <headerFooter>
    <oddFooter>&amp;CSchedule RL-1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N30"/>
  <sheetViews>
    <sheetView workbookViewId="0">
      <selection activeCell="O10" sqref="O10"/>
    </sheetView>
  </sheetViews>
  <sheetFormatPr defaultRowHeight="15" x14ac:dyDescent="0.25"/>
  <cols>
    <col min="1" max="1" width="11.140625" customWidth="1"/>
    <col min="2" max="2" width="17.7109375" customWidth="1"/>
    <col min="3" max="3" width="16" customWidth="1"/>
    <col min="4" max="4" width="17.7109375" bestFit="1" customWidth="1"/>
    <col min="5" max="5" width="12" customWidth="1"/>
    <col min="6" max="6" width="1.7109375" bestFit="1" customWidth="1"/>
    <col min="7" max="7" width="17.42578125" customWidth="1"/>
    <col min="8" max="8" width="19.42578125" customWidth="1"/>
    <col min="14" max="14" width="11.5703125" bestFit="1" customWidth="1"/>
  </cols>
  <sheetData>
    <row r="1" spans="1:14" x14ac:dyDescent="0.25">
      <c r="A1" t="s">
        <v>0</v>
      </c>
      <c r="E1" s="42"/>
      <c r="F1" s="42"/>
      <c r="G1" s="42"/>
      <c r="H1" s="42"/>
    </row>
    <row r="2" spans="1:14" x14ac:dyDescent="0.25">
      <c r="A2" t="s">
        <v>11</v>
      </c>
      <c r="E2" s="42"/>
      <c r="F2" s="42"/>
      <c r="G2" s="42"/>
      <c r="H2" s="42"/>
    </row>
    <row r="3" spans="1:14" x14ac:dyDescent="0.25">
      <c r="A3" t="s">
        <v>257</v>
      </c>
    </row>
    <row r="4" spans="1:14" x14ac:dyDescent="0.25">
      <c r="A4" t="s">
        <v>113</v>
      </c>
    </row>
    <row r="5" spans="1:14" x14ac:dyDescent="0.25">
      <c r="A5" s="124"/>
      <c r="E5" s="38"/>
      <c r="F5" s="32"/>
    </row>
    <row r="6" spans="1:14" ht="15.75" thickBot="1" x14ac:dyDescent="0.3">
      <c r="H6" s="42"/>
    </row>
    <row r="7" spans="1:14" ht="59.25" customHeight="1" x14ac:dyDescent="0.25">
      <c r="A7" s="125" t="s">
        <v>23</v>
      </c>
      <c r="B7" s="125" t="s">
        <v>118</v>
      </c>
      <c r="C7" s="125" t="s">
        <v>112</v>
      </c>
      <c r="D7" s="125" t="s">
        <v>110</v>
      </c>
      <c r="E7" s="125" t="s">
        <v>119</v>
      </c>
      <c r="F7" s="125"/>
      <c r="G7" s="125" t="s">
        <v>111</v>
      </c>
      <c r="H7" s="125" t="s">
        <v>115</v>
      </c>
    </row>
    <row r="8" spans="1:14" ht="17.25" x14ac:dyDescent="0.25">
      <c r="A8" s="126">
        <v>45505</v>
      </c>
      <c r="B8" s="127">
        <f>-'Monthly Cost Tracker 5'!C22</f>
        <v>2384097.29</v>
      </c>
      <c r="C8" s="127"/>
      <c r="D8" s="128">
        <v>2888705168.5300002</v>
      </c>
      <c r="E8" s="129">
        <v>8.2609772445571821E-4</v>
      </c>
      <c r="F8" s="130">
        <v>1</v>
      </c>
      <c r="G8" s="127">
        <f t="shared" ref="G8:G18" si="0">D8*E8</f>
        <v>2386352.7663461054</v>
      </c>
      <c r="H8" s="131">
        <f t="shared" ref="H8:H19" si="1">G8-B8</f>
        <v>2255.4763461053371</v>
      </c>
    </row>
    <row r="9" spans="1:14" ht="17.25" x14ac:dyDescent="0.25">
      <c r="A9" s="126">
        <v>45536</v>
      </c>
      <c r="B9" s="127">
        <f>-'Monthly Cost Tracker 5'!D22</f>
        <v>2321675.21</v>
      </c>
      <c r="C9" s="127"/>
      <c r="D9" s="128">
        <v>2359553120.9699998</v>
      </c>
      <c r="E9" s="132">
        <f>E8</f>
        <v>8.2609772445571821E-4</v>
      </c>
      <c r="F9" s="130">
        <v>1</v>
      </c>
      <c r="G9" s="127">
        <f t="shared" si="0"/>
        <v>1949221.4639657049</v>
      </c>
      <c r="H9" s="131">
        <f t="shared" si="1"/>
        <v>-372453.74603429507</v>
      </c>
    </row>
    <row r="10" spans="1:14" ht="17.25" x14ac:dyDescent="0.25">
      <c r="A10" s="126">
        <v>45566</v>
      </c>
      <c r="B10" s="127">
        <f>-'Monthly Cost Tracker 5'!E22</f>
        <v>1939489.4200000002</v>
      </c>
      <c r="C10" s="127"/>
      <c r="D10" s="128">
        <v>2158749615.5149999</v>
      </c>
      <c r="E10" s="132">
        <f>E8</f>
        <v>8.2609772445571821E-4</v>
      </c>
      <c r="F10" s="130">
        <v>1</v>
      </c>
      <c r="G10" s="127">
        <f t="shared" si="0"/>
        <v>1783338.145046598</v>
      </c>
      <c r="H10" s="131">
        <f t="shared" si="1"/>
        <v>-156151.27495340211</v>
      </c>
    </row>
    <row r="11" spans="1:14" ht="17.25" x14ac:dyDescent="0.25">
      <c r="A11" s="126">
        <v>45597</v>
      </c>
      <c r="B11" s="127">
        <f>-'Monthly Cost Tracker 5'!F22</f>
        <v>1720036.29</v>
      </c>
      <c r="C11" s="127"/>
      <c r="D11" s="128">
        <v>2317875185.0925002</v>
      </c>
      <c r="E11" s="132">
        <f>E8</f>
        <v>8.2609772445571821E-4</v>
      </c>
      <c r="F11" s="130">
        <v>1</v>
      </c>
      <c r="G11" s="127">
        <f t="shared" si="0"/>
        <v>1914791.4159772911</v>
      </c>
      <c r="H11" s="131">
        <f t="shared" si="1"/>
        <v>194755.12597729103</v>
      </c>
    </row>
    <row r="12" spans="1:14" ht="17.25" x14ac:dyDescent="0.25">
      <c r="A12" s="126">
        <v>45627</v>
      </c>
      <c r="B12" s="127">
        <f>-'Monthly Cost Tracker 5'!G22</f>
        <v>2113958.11</v>
      </c>
      <c r="C12" s="127"/>
      <c r="D12" s="128">
        <v>2773484364.7740002</v>
      </c>
      <c r="E12" s="132">
        <f>E8</f>
        <v>8.2609772445571821E-4</v>
      </c>
      <c r="F12" s="130">
        <v>1</v>
      </c>
      <c r="G12" s="127">
        <f t="shared" si="0"/>
        <v>2291169.1225533145</v>
      </c>
      <c r="H12" s="131">
        <f t="shared" si="1"/>
        <v>177211.01255331468</v>
      </c>
      <c r="N12" s="35"/>
    </row>
    <row r="13" spans="1:14" ht="17.25" x14ac:dyDescent="0.25">
      <c r="A13" s="126">
        <v>45658</v>
      </c>
      <c r="B13" s="127">
        <f>-'Monthly Cost Tracker 5'!H22</f>
        <v>2553610.6799999997</v>
      </c>
      <c r="C13" s="127"/>
      <c r="D13" s="128">
        <v>2940896544.6374998</v>
      </c>
      <c r="E13" s="132">
        <f>E8</f>
        <v>8.2609772445571821E-4</v>
      </c>
      <c r="F13" s="130">
        <v>1</v>
      </c>
      <c r="G13" s="127">
        <f t="shared" si="0"/>
        <v>2429467.9433847233</v>
      </c>
      <c r="H13" s="131">
        <f t="shared" si="1"/>
        <v>-124142.73661527643</v>
      </c>
      <c r="N13" s="35"/>
    </row>
    <row r="14" spans="1:14" ht="17.25" x14ac:dyDescent="0.25">
      <c r="A14" s="126">
        <v>45689</v>
      </c>
      <c r="B14" s="127">
        <f>-'Monthly Cost Tracker 6'!I22</f>
        <v>3054255.34</v>
      </c>
      <c r="C14" s="127"/>
      <c r="D14" s="128">
        <v>2537968645.0925002</v>
      </c>
      <c r="E14" s="129">
        <v>1.3255806890709791E-3</v>
      </c>
      <c r="F14" s="130">
        <v>2</v>
      </c>
      <c r="G14" s="127">
        <f>D14*E14</f>
        <v>3364282.2254022555</v>
      </c>
      <c r="H14" s="131">
        <f t="shared" si="1"/>
        <v>310026.88540225569</v>
      </c>
      <c r="N14" s="35"/>
    </row>
    <row r="15" spans="1:14" ht="17.25" x14ac:dyDescent="0.25">
      <c r="A15" s="126">
        <v>45717</v>
      </c>
      <c r="B15" s="127">
        <f>-'Monthly Cost Tracker 6'!J22</f>
        <v>3410518.5500000003</v>
      </c>
      <c r="C15" s="127"/>
      <c r="D15" s="128">
        <v>2406257482.4955001</v>
      </c>
      <c r="E15" s="132">
        <f>E14</f>
        <v>1.3255806890709791E-3</v>
      </c>
      <c r="F15" s="130">
        <v>2</v>
      </c>
      <c r="G15" s="127">
        <f t="shared" si="0"/>
        <v>3189688.4517285847</v>
      </c>
      <c r="H15" s="127">
        <f t="shared" si="1"/>
        <v>-220830.09827141557</v>
      </c>
      <c r="N15" s="35"/>
    </row>
    <row r="16" spans="1:14" ht="17.25" x14ac:dyDescent="0.25">
      <c r="A16" s="126">
        <v>45748</v>
      </c>
      <c r="B16" s="127">
        <f>-'Monthly Cost Tracker 6'!K22</f>
        <v>2814899.78</v>
      </c>
      <c r="C16" s="127"/>
      <c r="D16" s="128">
        <v>2114156328.7945004</v>
      </c>
      <c r="E16" s="132">
        <f>E14</f>
        <v>1.3255806890709791E-3</v>
      </c>
      <c r="F16" s="130">
        <v>2</v>
      </c>
      <c r="G16" s="127">
        <f t="shared" si="0"/>
        <v>2802484.8031271854</v>
      </c>
      <c r="H16" s="127">
        <f t="shared" si="1"/>
        <v>-12414.976872814354</v>
      </c>
      <c r="N16" s="35"/>
    </row>
    <row r="17" spans="1:14" ht="17.25" x14ac:dyDescent="0.25">
      <c r="A17" s="126">
        <v>45778</v>
      </c>
      <c r="B17" s="127">
        <f>-'Monthly Cost Tracker 6'!L22</f>
        <v>2762900.73</v>
      </c>
      <c r="C17" s="127"/>
      <c r="D17" s="128">
        <v>2278687142.23</v>
      </c>
      <c r="E17" s="132">
        <f>E14</f>
        <v>1.3255806890709791E-3</v>
      </c>
      <c r="F17" s="130">
        <v>2</v>
      </c>
      <c r="G17" s="127">
        <f t="shared" si="0"/>
        <v>3020583.6721744235</v>
      </c>
      <c r="H17" s="127">
        <f t="shared" si="1"/>
        <v>257682.94217442349</v>
      </c>
      <c r="N17" s="35"/>
    </row>
    <row r="18" spans="1:14" ht="17.25" x14ac:dyDescent="0.25">
      <c r="A18" s="126">
        <v>45809</v>
      </c>
      <c r="B18" s="127">
        <f>-'Monthly Cost Tracker 6'!M22</f>
        <v>6034780.6399999997</v>
      </c>
      <c r="C18" s="127"/>
      <c r="D18" s="128">
        <v>2659641633.5289998</v>
      </c>
      <c r="E18" s="132">
        <f>E14</f>
        <v>1.3255806890709791E-3</v>
      </c>
      <c r="F18" s="130">
        <v>2</v>
      </c>
      <c r="G18" s="127">
        <f t="shared" si="0"/>
        <v>3525569.5892552361</v>
      </c>
      <c r="H18" s="127">
        <f t="shared" si="1"/>
        <v>-2509211.0507447636</v>
      </c>
      <c r="N18" s="35"/>
    </row>
    <row r="19" spans="1:14" ht="17.25" x14ac:dyDescent="0.25">
      <c r="A19" s="126">
        <v>45839</v>
      </c>
      <c r="B19" s="127">
        <f>-'Monthly Cost Tracker 6'!N22</f>
        <v>4331591.43</v>
      </c>
      <c r="C19" s="127"/>
      <c r="D19" s="128">
        <v>2976111209.5745001</v>
      </c>
      <c r="E19" s="132">
        <f>E14</f>
        <v>1.3255806890709791E-3</v>
      </c>
      <c r="F19" s="130">
        <v>2</v>
      </c>
      <c r="G19" s="127">
        <f t="shared" ref="G19:G25" si="2">D19*E19</f>
        <v>3945075.5479396312</v>
      </c>
      <c r="H19" s="127">
        <f t="shared" si="1"/>
        <v>-386515.88206036855</v>
      </c>
      <c r="N19" s="35"/>
    </row>
    <row r="20" spans="1:14" ht="17.25" x14ac:dyDescent="0.25">
      <c r="A20" s="126">
        <v>45870</v>
      </c>
      <c r="C20" s="127">
        <f>D20*E20</f>
        <v>3824132.439357229</v>
      </c>
      <c r="D20" s="128">
        <v>2884873377.2950001</v>
      </c>
      <c r="E20" s="132">
        <f>E14</f>
        <v>1.3255806890709791E-3</v>
      </c>
      <c r="F20" s="130">
        <v>2</v>
      </c>
      <c r="G20" s="127">
        <f>D20*E20</f>
        <v>3824132.439357229</v>
      </c>
      <c r="H20" s="131">
        <f t="shared" ref="H20:H25" si="3">G20-C20</f>
        <v>0</v>
      </c>
      <c r="N20" s="35"/>
    </row>
    <row r="21" spans="1:14" ht="17.25" x14ac:dyDescent="0.25">
      <c r="A21" s="126">
        <v>45901</v>
      </c>
      <c r="C21" s="127">
        <f t="shared" ref="C21:C25" si="4">D21*E21</f>
        <v>3128506.7263376801</v>
      </c>
      <c r="D21" s="128">
        <v>2360102822.96</v>
      </c>
      <c r="E21" s="132">
        <f>E14</f>
        <v>1.3255806890709791E-3</v>
      </c>
      <c r="F21" s="130">
        <v>2</v>
      </c>
      <c r="G21" s="127">
        <f t="shared" si="2"/>
        <v>3128506.7263376801</v>
      </c>
      <c r="H21" s="131">
        <f t="shared" si="3"/>
        <v>0</v>
      </c>
      <c r="N21" s="35"/>
    </row>
    <row r="22" spans="1:14" ht="17.25" x14ac:dyDescent="0.25">
      <c r="A22" s="126">
        <v>45931</v>
      </c>
      <c r="C22" s="127">
        <f t="shared" si="4"/>
        <v>2865006.963253432</v>
      </c>
      <c r="D22" s="128">
        <v>2161322194.02</v>
      </c>
      <c r="E22" s="132">
        <f>E14</f>
        <v>1.3255806890709791E-3</v>
      </c>
      <c r="F22" s="130">
        <v>2</v>
      </c>
      <c r="G22" s="127">
        <f t="shared" si="2"/>
        <v>2865006.963253432</v>
      </c>
      <c r="H22" s="131">
        <f t="shared" si="3"/>
        <v>0</v>
      </c>
      <c r="N22" s="35"/>
    </row>
    <row r="23" spans="1:14" ht="17.25" x14ac:dyDescent="0.25">
      <c r="A23" s="126">
        <v>45962</v>
      </c>
      <c r="C23" s="127">
        <f t="shared" si="4"/>
        <v>3072338.1925044009</v>
      </c>
      <c r="D23" s="128">
        <v>2317730046.79</v>
      </c>
      <c r="E23" s="132">
        <f>E14</f>
        <v>1.3255806890709791E-3</v>
      </c>
      <c r="F23" s="130">
        <v>2</v>
      </c>
      <c r="G23" s="127">
        <f t="shared" si="2"/>
        <v>3072338.1925044009</v>
      </c>
      <c r="H23" s="131">
        <f t="shared" si="3"/>
        <v>0</v>
      </c>
      <c r="N23" s="35"/>
    </row>
    <row r="24" spans="1:14" ht="17.25" x14ac:dyDescent="0.25">
      <c r="A24" s="126">
        <v>45992</v>
      </c>
      <c r="C24" s="127">
        <f t="shared" si="4"/>
        <v>3670344.8321569227</v>
      </c>
      <c r="D24" s="128">
        <v>2768858103.0320001</v>
      </c>
      <c r="E24" s="132">
        <f>E14</f>
        <v>1.3255806890709791E-3</v>
      </c>
      <c r="F24" s="130">
        <v>2</v>
      </c>
      <c r="G24" s="127">
        <f t="shared" si="2"/>
        <v>3670344.8321569227</v>
      </c>
      <c r="H24" s="131">
        <f t="shared" si="3"/>
        <v>0</v>
      </c>
      <c r="N24" s="35"/>
    </row>
    <row r="25" spans="1:14" ht="17.25" x14ac:dyDescent="0.25">
      <c r="A25" s="126">
        <v>46023</v>
      </c>
      <c r="C25" s="127">
        <f t="shared" si="4"/>
        <v>3901550.8791927244</v>
      </c>
      <c r="D25" s="128">
        <v>2943276792.8499999</v>
      </c>
      <c r="E25" s="132">
        <f>E14</f>
        <v>1.3255806890709791E-3</v>
      </c>
      <c r="F25" s="130">
        <v>2</v>
      </c>
      <c r="G25" s="127">
        <f t="shared" si="2"/>
        <v>3901550.8791927244</v>
      </c>
      <c r="H25" s="131">
        <f t="shared" si="3"/>
        <v>0</v>
      </c>
      <c r="N25" s="35"/>
    </row>
    <row r="26" spans="1:14" x14ac:dyDescent="0.25">
      <c r="B26" s="17"/>
      <c r="C26" s="17"/>
      <c r="D26" s="133"/>
      <c r="E26" s="133"/>
      <c r="F26" s="133"/>
      <c r="G26" s="127"/>
      <c r="H26" s="127"/>
    </row>
    <row r="27" spans="1:14" ht="15.75" thickBot="1" x14ac:dyDescent="0.3">
      <c r="A27" s="134" t="s">
        <v>35</v>
      </c>
      <c r="B27" s="135">
        <f>SUM(B8:B26)</f>
        <v>35441813.469999999</v>
      </c>
      <c r="C27" s="135">
        <f>SUM(C14:C26)</f>
        <v>20461880.032802388</v>
      </c>
      <c r="D27" s="136">
        <f>SUM(D8:D26)</f>
        <v>45848249778.181992</v>
      </c>
      <c r="E27" s="137"/>
      <c r="F27" s="137"/>
      <c r="G27" s="135">
        <f>SUM(G8:G26)</f>
        <v>53063905.179703444</v>
      </c>
      <c r="H27" s="135">
        <f>SUM(H8:H26)</f>
        <v>-2839788.3230989454</v>
      </c>
    </row>
    <row r="28" spans="1:14" ht="15.75" thickTop="1" x14ac:dyDescent="0.25">
      <c r="D28" s="31"/>
      <c r="G28" s="31"/>
      <c r="H28" s="123"/>
    </row>
    <row r="29" spans="1:14" ht="18.75" x14ac:dyDescent="0.35">
      <c r="A29" t="s">
        <v>275</v>
      </c>
      <c r="D29" s="123"/>
    </row>
    <row r="30" spans="1:14" ht="18.75" x14ac:dyDescent="0.35">
      <c r="A30" t="s">
        <v>276</v>
      </c>
    </row>
  </sheetData>
  <pageMargins left="0.7" right="0.7" top="0.75" bottom="0.75" header="0.3" footer="0.3"/>
  <pageSetup scale="95" orientation="landscape" r:id="rId1"/>
  <headerFooter>
    <oddFooter>&amp;CSchedule RL-1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E21"/>
  <sheetViews>
    <sheetView workbookViewId="0">
      <selection activeCell="E30" sqref="E30"/>
    </sheetView>
  </sheetViews>
  <sheetFormatPr defaultRowHeight="15" x14ac:dyDescent="0.25"/>
  <cols>
    <col min="1" max="1" width="4.7109375" customWidth="1"/>
    <col min="2" max="2" width="66" customWidth="1"/>
    <col min="3" max="3" width="25.140625" bestFit="1" customWidth="1"/>
    <col min="4" max="4" width="6.28515625" customWidth="1"/>
    <col min="5" max="5" width="10" bestFit="1" customWidth="1"/>
  </cols>
  <sheetData>
    <row r="1" spans="1:5" x14ac:dyDescent="0.25">
      <c r="A1" t="s">
        <v>0</v>
      </c>
    </row>
    <row r="2" spans="1:5" x14ac:dyDescent="0.25">
      <c r="A2" t="s">
        <v>11</v>
      </c>
    </row>
    <row r="3" spans="1:5" x14ac:dyDescent="0.25">
      <c r="A3" t="s">
        <v>257</v>
      </c>
    </row>
    <row r="4" spans="1:5" x14ac:dyDescent="0.25">
      <c r="A4" t="s">
        <v>273</v>
      </c>
    </row>
    <row r="6" spans="1:5" x14ac:dyDescent="0.25">
      <c r="C6" s="138" t="s">
        <v>274</v>
      </c>
    </row>
    <row r="7" spans="1:5" x14ac:dyDescent="0.25">
      <c r="C7" s="139"/>
    </row>
    <row r="9" spans="1:5" x14ac:dyDescent="0.25">
      <c r="A9">
        <v>1</v>
      </c>
      <c r="B9" t="s">
        <v>239</v>
      </c>
      <c r="C9" s="17">
        <f>SUM('Monthly Cost Tracker 7'!B20:M20)</f>
        <v>55171067.58946386</v>
      </c>
    </row>
    <row r="10" spans="1:5" x14ac:dyDescent="0.25">
      <c r="A10">
        <v>2</v>
      </c>
      <c r="B10" t="s">
        <v>240</v>
      </c>
      <c r="C10" s="30">
        <f>SUM('Monthly Cost Tracker 7'!B25:M25)</f>
        <v>43214375.946559697</v>
      </c>
    </row>
    <row r="11" spans="1:5" x14ac:dyDescent="0.25">
      <c r="A11">
        <v>3</v>
      </c>
      <c r="B11" t="s">
        <v>226</v>
      </c>
      <c r="C11" s="140">
        <f>C12+C13</f>
        <v>14345599.664495822</v>
      </c>
    </row>
    <row r="12" spans="1:5" x14ac:dyDescent="0.25">
      <c r="A12">
        <v>3.1</v>
      </c>
      <c r="B12" s="141" t="s">
        <v>12</v>
      </c>
      <c r="C12" s="30">
        <f>SUM('Monthly Cost Tracker 7'!B29:M29)+SUM('Monthly Cost Tracker 6'!C29:N29)+SUM('Monthly Cost Tracker 5'!C29:N29)</f>
        <v>2388908.0215916606</v>
      </c>
      <c r="D12" s="46"/>
      <c r="E12" s="30"/>
    </row>
    <row r="13" spans="1:5" x14ac:dyDescent="0.25">
      <c r="A13">
        <v>3.2</v>
      </c>
      <c r="B13" s="141" t="s">
        <v>13</v>
      </c>
      <c r="C13" s="30">
        <f>C9-C10</f>
        <v>11956691.642904162</v>
      </c>
      <c r="D13" s="57"/>
      <c r="E13" s="7"/>
    </row>
    <row r="14" spans="1:5" x14ac:dyDescent="0.25">
      <c r="A14">
        <v>4</v>
      </c>
      <c r="B14" t="s">
        <v>227</v>
      </c>
      <c r="C14" s="30">
        <f>+RRR!D12</f>
        <v>52790164.116519868</v>
      </c>
    </row>
    <row r="15" spans="1:5" x14ac:dyDescent="0.25">
      <c r="A15">
        <v>5</v>
      </c>
      <c r="B15" t="s">
        <v>228</v>
      </c>
      <c r="C15" s="30">
        <f>'True-Up'!H27</f>
        <v>-2839788.3230989454</v>
      </c>
      <c r="D15" s="42"/>
    </row>
    <row r="16" spans="1:5" x14ac:dyDescent="0.25">
      <c r="A16">
        <v>6</v>
      </c>
      <c r="B16" t="s">
        <v>229</v>
      </c>
      <c r="C16" s="30">
        <v>0</v>
      </c>
    </row>
    <row r="17" spans="1:5" x14ac:dyDescent="0.25">
      <c r="A17">
        <v>7</v>
      </c>
      <c r="B17" t="s">
        <v>36</v>
      </c>
      <c r="C17" s="140">
        <f>SUM(C14:C16)+C11</f>
        <v>64295975.457916752</v>
      </c>
    </row>
    <row r="18" spans="1:5" ht="18" x14ac:dyDescent="0.35">
      <c r="A18">
        <v>8</v>
      </c>
      <c r="B18" t="s">
        <v>277</v>
      </c>
      <c r="C18" s="37">
        <f>SUM(SRP!O2:O13)</f>
        <v>31069752209.796066</v>
      </c>
      <c r="D18" s="44"/>
      <c r="E18" s="23"/>
    </row>
    <row r="19" spans="1:5" x14ac:dyDescent="0.25">
      <c r="A19" s="58">
        <v>9</v>
      </c>
      <c r="B19" s="58" t="s">
        <v>244</v>
      </c>
      <c r="C19" s="59">
        <f>C17/C18</f>
        <v>2.0694074102607326E-3</v>
      </c>
      <c r="D19" s="42"/>
    </row>
    <row r="20" spans="1:5" x14ac:dyDescent="0.25">
      <c r="A20" s="58">
        <v>10</v>
      </c>
      <c r="B20" s="58" t="s">
        <v>14</v>
      </c>
      <c r="C20" s="67">
        <v>0</v>
      </c>
      <c r="D20" s="42"/>
    </row>
    <row r="21" spans="1:5" x14ac:dyDescent="0.25">
      <c r="A21" s="58">
        <v>11</v>
      </c>
      <c r="B21" s="58" t="s">
        <v>15</v>
      </c>
      <c r="C21" s="59">
        <f>+C19+C20</f>
        <v>2.0694074102607326E-3</v>
      </c>
      <c r="D21" s="42"/>
    </row>
  </sheetData>
  <pageMargins left="0.7" right="0.7" top="0.75" bottom="0.75" header="0.3" footer="0.3"/>
  <pageSetup scale="82" orientation="portrait" r:id="rId1"/>
  <headerFooter>
    <oddFooter>&amp;CSchedule RL-1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Q35"/>
  <sheetViews>
    <sheetView workbookViewId="0">
      <selection activeCell="K23" sqref="K23"/>
    </sheetView>
  </sheetViews>
  <sheetFormatPr defaultRowHeight="15" x14ac:dyDescent="0.25"/>
  <cols>
    <col min="1" max="1" width="21.85546875" customWidth="1"/>
    <col min="2" max="2" width="23.140625" customWidth="1"/>
    <col min="3" max="3" width="25.42578125" customWidth="1"/>
    <col min="4" max="4" width="23.42578125" customWidth="1"/>
  </cols>
  <sheetData>
    <row r="1" spans="1:17" x14ac:dyDescent="0.25">
      <c r="A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x14ac:dyDescent="0.25">
      <c r="A2" t="s">
        <v>11</v>
      </c>
    </row>
    <row r="3" spans="1:17" x14ac:dyDescent="0.25">
      <c r="A3" t="s">
        <v>257</v>
      </c>
    </row>
    <row r="4" spans="1:17" x14ac:dyDescent="0.25">
      <c r="A4" t="s">
        <v>269</v>
      </c>
    </row>
    <row r="7" spans="1:17" ht="17.25" x14ac:dyDescent="0.25">
      <c r="B7" s="142" t="s">
        <v>224</v>
      </c>
      <c r="C7" s="142" t="s">
        <v>278</v>
      </c>
      <c r="D7" s="142" t="s">
        <v>223</v>
      </c>
    </row>
    <row r="8" spans="1:17" x14ac:dyDescent="0.25">
      <c r="A8" t="s">
        <v>20</v>
      </c>
      <c r="B8" s="35">
        <f>SUM('Monthly Cost Tracker 7'!B6:M11)</f>
        <v>2803505.5</v>
      </c>
      <c r="C8" s="35">
        <f>'ER-2024-0319'!B46</f>
        <v>2360853.4699999997</v>
      </c>
      <c r="D8" s="35">
        <f>B8-C8</f>
        <v>442652.03000000026</v>
      </c>
    </row>
    <row r="9" spans="1:17" x14ac:dyDescent="0.25">
      <c r="A9" t="s">
        <v>21</v>
      </c>
      <c r="B9" s="35">
        <f>SUM('Monthly Cost Tracker 7'!B12:M12)</f>
        <v>0</v>
      </c>
      <c r="C9" s="35">
        <f>'ER-2024-0319'!B47</f>
        <v>1162320.5</v>
      </c>
      <c r="D9" s="35">
        <f>B9-C9</f>
        <v>-1162320.5</v>
      </c>
    </row>
    <row r="10" spans="1:17" x14ac:dyDescent="0.25">
      <c r="A10" t="s">
        <v>159</v>
      </c>
      <c r="B10" s="35">
        <f>SUM('Monthly Cost Tracker 7'!B14:M14)</f>
        <v>-46446962.900000066</v>
      </c>
      <c r="C10" s="35">
        <f>'ER-2024-0319'!B48</f>
        <v>-87518748.920136809</v>
      </c>
      <c r="D10" s="35">
        <f>B10-C10</f>
        <v>41071786.020136744</v>
      </c>
    </row>
    <row r="11" spans="1:17" x14ac:dyDescent="0.25">
      <c r="A11" t="s">
        <v>120</v>
      </c>
      <c r="B11" s="69">
        <f>SUM('Monthly Cost Tracker 7'!B13:M13)+SUM('Monthly Cost Tracker 7'!B15:M19)</f>
        <v>98814524.989463747</v>
      </c>
      <c r="C11" s="69">
        <f>SUM('ER-2024-0319'!B49:B51)</f>
        <v>86376478.423080623</v>
      </c>
      <c r="D11" s="35">
        <f>B11-C11</f>
        <v>12438046.566383123</v>
      </c>
    </row>
    <row r="12" spans="1:17" ht="15.75" thickBot="1" x14ac:dyDescent="0.3">
      <c r="A12" t="s">
        <v>270</v>
      </c>
      <c r="B12" s="143">
        <f>+B9+B8+B10+B11</f>
        <v>55171067.589463681</v>
      </c>
      <c r="C12" s="143">
        <f>+C9+C8+C10+C11</f>
        <v>2380903.4729438126</v>
      </c>
      <c r="D12" s="143">
        <f>+D9+D8+D11+D10</f>
        <v>52790164.116519868</v>
      </c>
    </row>
    <row r="13" spans="1:17" ht="15.75" thickTop="1" x14ac:dyDescent="0.25">
      <c r="C13" s="42"/>
    </row>
    <row r="14" spans="1:17" x14ac:dyDescent="0.25">
      <c r="C14" s="42"/>
    </row>
    <row r="15" spans="1:17" ht="15" customHeight="1" x14ac:dyDescent="0.25">
      <c r="A15" s="70" t="s">
        <v>279</v>
      </c>
      <c r="B15" s="8"/>
      <c r="C15" s="8"/>
      <c r="D15" s="8"/>
      <c r="E15" s="8"/>
    </row>
    <row r="16" spans="1:17" x14ac:dyDescent="0.25">
      <c r="B16" s="8"/>
      <c r="C16" s="8"/>
    </row>
    <row r="17" spans="1:3" x14ac:dyDescent="0.25">
      <c r="A17" s="36"/>
      <c r="B17" s="8"/>
      <c r="C17" s="8"/>
    </row>
    <row r="18" spans="1:3" x14ac:dyDescent="0.25">
      <c r="B18" s="8"/>
      <c r="C18" s="8"/>
    </row>
    <row r="19" spans="1:3" x14ac:dyDescent="0.25">
      <c r="B19" s="8"/>
      <c r="C19" s="8"/>
    </row>
    <row r="35" spans="3:3" x14ac:dyDescent="0.25">
      <c r="C35" s="42"/>
    </row>
  </sheetData>
  <pageMargins left="0.7" right="0.7" top="0.75" bottom="0.75" header="0.3" footer="0.3"/>
  <pageSetup scale="96" orientation="portrait" r:id="rId1"/>
  <headerFooter>
    <oddFooter>&amp;CSchedule RL-1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7605B-E8C8-4C57-AE9A-224B332AC79C}">
  <sheetPr>
    <pageSetUpPr fitToPage="1"/>
  </sheetPr>
  <dimension ref="A1:I58"/>
  <sheetViews>
    <sheetView workbookViewId="0">
      <selection activeCell="E21" sqref="E21"/>
    </sheetView>
  </sheetViews>
  <sheetFormatPr defaultColWidth="8.7109375" defaultRowHeight="15" x14ac:dyDescent="0.25"/>
  <cols>
    <col min="1" max="1" width="45.7109375" style="62" customWidth="1"/>
    <col min="2" max="2" width="18.140625" style="62" customWidth="1"/>
    <col min="3" max="3" width="16.42578125" style="62" customWidth="1"/>
    <col min="4" max="4" width="17.7109375" style="62" customWidth="1"/>
    <col min="5" max="5" width="44.85546875" style="62" bestFit="1" customWidth="1"/>
    <col min="6" max="6" width="13.85546875" style="62" bestFit="1" customWidth="1"/>
    <col min="7" max="7" width="44.85546875" style="62" bestFit="1" customWidth="1"/>
    <col min="8" max="8" width="14.5703125" style="62" bestFit="1" customWidth="1"/>
    <col min="9" max="9" width="15" style="62" bestFit="1" customWidth="1"/>
    <col min="10" max="16384" width="8.7109375" style="62"/>
  </cols>
  <sheetData>
    <row r="1" spans="1:9" x14ac:dyDescent="0.25">
      <c r="A1" s="169" t="s">
        <v>0</v>
      </c>
      <c r="B1" s="144"/>
      <c r="C1" s="144"/>
      <c r="D1" s="144"/>
      <c r="E1" s="144"/>
      <c r="F1" s="144"/>
      <c r="G1" s="144"/>
      <c r="H1" s="144"/>
      <c r="I1" s="144"/>
    </row>
    <row r="2" spans="1:9" x14ac:dyDescent="0.25">
      <c r="A2" s="169" t="s">
        <v>264</v>
      </c>
      <c r="B2" s="145"/>
      <c r="C2" s="144"/>
      <c r="D2" s="144"/>
      <c r="E2" s="144"/>
      <c r="F2" s="144"/>
      <c r="G2" s="144"/>
      <c r="H2" s="144"/>
      <c r="I2" s="144"/>
    </row>
    <row r="3" spans="1:9" x14ac:dyDescent="0.25">
      <c r="A3" s="169" t="s">
        <v>188</v>
      </c>
      <c r="B3" s="144"/>
      <c r="C3" s="144"/>
      <c r="D3" s="144"/>
      <c r="E3" s="144"/>
      <c r="F3" s="144"/>
      <c r="G3" s="144"/>
      <c r="H3" s="144"/>
      <c r="I3" s="144"/>
    </row>
    <row r="4" spans="1:9" x14ac:dyDescent="0.25">
      <c r="A4" s="170" t="s">
        <v>265</v>
      </c>
      <c r="B4" s="144"/>
      <c r="C4" s="144"/>
      <c r="D4" s="144"/>
      <c r="E4" s="144"/>
      <c r="F4" s="144"/>
      <c r="G4" s="144"/>
      <c r="H4" s="144"/>
      <c r="I4" s="144"/>
    </row>
    <row r="5" spans="1:9" x14ac:dyDescent="0.25">
      <c r="A5" s="144"/>
      <c r="B5" s="144"/>
      <c r="C5" s="144"/>
      <c r="D5" s="144"/>
      <c r="E5" s="144"/>
      <c r="F5" s="144"/>
      <c r="G5" s="144"/>
      <c r="H5" s="144"/>
      <c r="I5" s="144"/>
    </row>
    <row r="6" spans="1:9" x14ac:dyDescent="0.25">
      <c r="A6" s="144"/>
      <c r="B6" s="43" t="s">
        <v>35</v>
      </c>
      <c r="C6" s="64" t="s">
        <v>187</v>
      </c>
      <c r="D6" s="43" t="s">
        <v>189</v>
      </c>
      <c r="E6" s="144"/>
      <c r="F6" s="144"/>
      <c r="G6" s="144"/>
      <c r="H6" s="144"/>
      <c r="I6" s="144"/>
    </row>
    <row r="7" spans="1:9" x14ac:dyDescent="0.25">
      <c r="A7" s="146" t="s">
        <v>190</v>
      </c>
      <c r="B7" s="144"/>
      <c r="C7" s="144"/>
      <c r="D7" s="144"/>
      <c r="E7" s="144"/>
      <c r="F7" s="144"/>
      <c r="G7" s="144"/>
      <c r="H7" s="144"/>
      <c r="I7" s="144"/>
    </row>
    <row r="8" spans="1:9" x14ac:dyDescent="0.25">
      <c r="A8" s="144"/>
      <c r="B8" s="144"/>
      <c r="C8" s="144"/>
      <c r="D8" s="144"/>
      <c r="E8" s="144"/>
      <c r="F8" s="144"/>
      <c r="G8" s="144"/>
      <c r="H8" s="144"/>
      <c r="I8" s="144"/>
    </row>
    <row r="9" spans="1:9" x14ac:dyDescent="0.25">
      <c r="A9" s="146" t="s">
        <v>191</v>
      </c>
      <c r="B9" s="144"/>
      <c r="C9" s="144"/>
      <c r="D9" s="144"/>
      <c r="E9" s="144"/>
      <c r="F9" s="144"/>
      <c r="G9" s="144"/>
      <c r="H9" s="144"/>
      <c r="I9" s="144"/>
    </row>
    <row r="10" spans="1:9" x14ac:dyDescent="0.25">
      <c r="A10" s="144" t="s">
        <v>192</v>
      </c>
      <c r="B10" s="147">
        <v>54669547.368396997</v>
      </c>
      <c r="C10" s="147">
        <v>42118036</v>
      </c>
      <c r="D10" s="147">
        <f t="shared" ref="D10:D16" si="0">B10-C10</f>
        <v>12551511.368396997</v>
      </c>
      <c r="E10" s="144"/>
      <c r="F10" s="144"/>
      <c r="G10" s="144"/>
      <c r="H10" s="144"/>
      <c r="I10" s="144"/>
    </row>
    <row r="11" spans="1:9" x14ac:dyDescent="0.25">
      <c r="A11" s="144" t="s">
        <v>193</v>
      </c>
      <c r="B11" s="147">
        <v>9325157</v>
      </c>
      <c r="C11" s="147">
        <v>9062854</v>
      </c>
      <c r="D11" s="147">
        <f t="shared" si="0"/>
        <v>262303</v>
      </c>
      <c r="E11" s="144"/>
      <c r="F11" s="144"/>
      <c r="G11" s="144"/>
      <c r="H11" s="144"/>
      <c r="I11" s="144"/>
    </row>
    <row r="12" spans="1:9" x14ac:dyDescent="0.25">
      <c r="A12" s="144" t="s">
        <v>194</v>
      </c>
      <c r="B12" s="147">
        <v>8539629.0800000001</v>
      </c>
      <c r="C12" s="147">
        <v>8902452.9599999972</v>
      </c>
      <c r="D12" s="147">
        <f t="shared" si="0"/>
        <v>-362823.87999999709</v>
      </c>
      <c r="E12" s="144"/>
      <c r="F12" s="144"/>
      <c r="G12" s="144"/>
      <c r="H12" s="144"/>
      <c r="I12" s="144"/>
    </row>
    <row r="13" spans="1:9" x14ac:dyDescent="0.25">
      <c r="A13" s="144" t="s">
        <v>195</v>
      </c>
      <c r="B13" s="147">
        <v>7106850.5999999978</v>
      </c>
      <c r="C13" s="147">
        <v>8497699.8399999999</v>
      </c>
      <c r="D13" s="147">
        <f t="shared" si="0"/>
        <v>-1390849.2400000021</v>
      </c>
      <c r="E13" s="144"/>
      <c r="F13" s="144"/>
      <c r="G13" s="144"/>
      <c r="H13" s="144"/>
      <c r="I13" s="144"/>
    </row>
    <row r="14" spans="1:9" x14ac:dyDescent="0.25">
      <c r="A14" s="144" t="s">
        <v>266</v>
      </c>
      <c r="B14" s="147">
        <v>1634929.5999999999</v>
      </c>
      <c r="C14" s="147">
        <v>0</v>
      </c>
      <c r="D14" s="147">
        <f t="shared" si="0"/>
        <v>1634929.5999999999</v>
      </c>
      <c r="E14" s="144"/>
      <c r="F14" s="144"/>
      <c r="G14" s="144"/>
      <c r="H14" s="144"/>
      <c r="I14" s="144"/>
    </row>
    <row r="15" spans="1:9" x14ac:dyDescent="0.25">
      <c r="A15" s="144" t="s">
        <v>196</v>
      </c>
      <c r="B15" s="147">
        <v>1231047.6965399999</v>
      </c>
      <c r="C15" s="147">
        <v>406858.05000000005</v>
      </c>
      <c r="D15" s="147">
        <f t="shared" si="0"/>
        <v>824189.64653999987</v>
      </c>
      <c r="E15" s="144"/>
      <c r="F15" s="144"/>
      <c r="G15" s="144"/>
      <c r="H15" s="144"/>
      <c r="I15" s="144"/>
    </row>
    <row r="16" spans="1:9" x14ac:dyDescent="0.25">
      <c r="A16" s="144" t="s">
        <v>197</v>
      </c>
      <c r="B16" s="148">
        <v>102862251.05921108</v>
      </c>
      <c r="C16" s="148">
        <v>85823709.204030424</v>
      </c>
      <c r="D16" s="148">
        <f t="shared" si="0"/>
        <v>17038541.855180651</v>
      </c>
      <c r="E16" s="144"/>
      <c r="F16" s="144"/>
      <c r="G16" s="144"/>
      <c r="H16" s="144"/>
      <c r="I16" s="144"/>
    </row>
    <row r="17" spans="1:9" x14ac:dyDescent="0.25">
      <c r="A17" s="146" t="s">
        <v>198</v>
      </c>
      <c r="B17" s="147">
        <f>SUM(B10:B16)</f>
        <v>185369412.40414804</v>
      </c>
      <c r="C17" s="147">
        <f>SUM(C10:C16)</f>
        <v>154811610.05403042</v>
      </c>
      <c r="D17" s="147">
        <f>SUM(D10:D16)</f>
        <v>30557802.350117646</v>
      </c>
      <c r="E17" s="144"/>
      <c r="F17" s="144"/>
      <c r="G17" s="144"/>
      <c r="H17" s="144"/>
      <c r="I17" s="144"/>
    </row>
    <row r="18" spans="1:9" x14ac:dyDescent="0.25">
      <c r="A18" s="144"/>
      <c r="B18" s="144"/>
      <c r="C18" s="144"/>
      <c r="D18" s="147"/>
      <c r="E18" s="144"/>
      <c r="F18" s="144"/>
      <c r="G18" s="144"/>
      <c r="H18" s="144"/>
      <c r="I18" s="144"/>
    </row>
    <row r="19" spans="1:9" x14ac:dyDescent="0.25">
      <c r="A19" s="146" t="s">
        <v>199</v>
      </c>
      <c r="B19" s="144"/>
      <c r="C19" s="144"/>
      <c r="D19" s="147"/>
      <c r="E19" s="144"/>
      <c r="F19" s="144"/>
      <c r="G19" s="144"/>
      <c r="H19" s="144"/>
      <c r="I19" s="144"/>
    </row>
    <row r="20" spans="1:9" x14ac:dyDescent="0.25">
      <c r="A20" s="144" t="s">
        <v>200</v>
      </c>
      <c r="B20" s="148">
        <v>1951595.5639888002</v>
      </c>
      <c r="C20" s="148">
        <v>1913366</v>
      </c>
      <c r="D20" s="148">
        <f>B20-C20</f>
        <v>38229.563988800161</v>
      </c>
      <c r="E20" s="144"/>
      <c r="F20" s="144"/>
      <c r="G20" s="144"/>
      <c r="H20" s="144"/>
      <c r="I20" s="144"/>
    </row>
    <row r="21" spans="1:9" x14ac:dyDescent="0.25">
      <c r="A21" s="146" t="s">
        <v>201</v>
      </c>
      <c r="B21" s="147">
        <f>SUM(B20)</f>
        <v>1951595.5639888002</v>
      </c>
      <c r="C21" s="147">
        <f>SUM(C20)</f>
        <v>1913366</v>
      </c>
      <c r="D21" s="147">
        <f>SUM(D20)</f>
        <v>38229.563988800161</v>
      </c>
      <c r="E21" s="144"/>
      <c r="F21" s="144"/>
      <c r="G21" s="144"/>
      <c r="H21" s="144"/>
      <c r="I21" s="144"/>
    </row>
    <row r="22" spans="1:9" x14ac:dyDescent="0.25">
      <c r="A22" s="144"/>
      <c r="B22" s="144"/>
      <c r="C22" s="144"/>
      <c r="D22" s="147"/>
      <c r="E22" s="144"/>
      <c r="F22" s="144"/>
      <c r="G22" s="144"/>
      <c r="H22" s="144"/>
      <c r="I22" s="144"/>
    </row>
    <row r="23" spans="1:9" ht="13.5" customHeight="1" x14ac:dyDescent="0.25">
      <c r="A23" s="146" t="s">
        <v>202</v>
      </c>
      <c r="B23" s="144"/>
      <c r="C23" s="144"/>
      <c r="D23" s="147"/>
      <c r="E23" s="144"/>
      <c r="F23" s="144"/>
      <c r="G23" s="144"/>
      <c r="H23" s="144"/>
      <c r="I23" s="144"/>
    </row>
    <row r="24" spans="1:9" x14ac:dyDescent="0.25">
      <c r="A24" s="144" t="s">
        <v>203</v>
      </c>
      <c r="B24" s="147">
        <v>2360853.4699999997</v>
      </c>
      <c r="C24" s="147">
        <v>1468549.9699999997</v>
      </c>
      <c r="D24" s="147">
        <f>B24-C24</f>
        <v>892303.5</v>
      </c>
      <c r="E24" s="144"/>
      <c r="F24" s="144"/>
      <c r="G24" s="144"/>
      <c r="H24" s="144"/>
      <c r="I24" s="144"/>
    </row>
    <row r="25" spans="1:9" x14ac:dyDescent="0.25">
      <c r="A25" s="144" t="s">
        <v>204</v>
      </c>
      <c r="B25" s="147">
        <v>1193.3400000000006</v>
      </c>
      <c r="C25" s="147">
        <v>5956.65</v>
      </c>
      <c r="D25" s="147">
        <f>B25-C25</f>
        <v>-4763.3099999999995</v>
      </c>
      <c r="E25" s="144"/>
      <c r="F25" s="144"/>
      <c r="G25" s="144"/>
      <c r="H25" s="144"/>
      <c r="I25" s="144"/>
    </row>
    <row r="26" spans="1:9" x14ac:dyDescent="0.25">
      <c r="A26" s="144" t="s">
        <v>205</v>
      </c>
      <c r="B26" s="147">
        <v>423448.30000000005</v>
      </c>
      <c r="C26" s="147">
        <v>3264672.49</v>
      </c>
      <c r="D26" s="147">
        <f>B26-C26</f>
        <v>-2841224.1900000004</v>
      </c>
      <c r="E26" s="144"/>
      <c r="F26" s="144"/>
      <c r="G26" s="144"/>
      <c r="H26" s="144"/>
      <c r="I26" s="144"/>
    </row>
    <row r="27" spans="1:9" x14ac:dyDescent="0.25">
      <c r="A27" s="144" t="s">
        <v>206</v>
      </c>
      <c r="B27" s="148">
        <v>1162320.5</v>
      </c>
      <c r="C27" s="148">
        <v>3947364.75</v>
      </c>
      <c r="D27" s="148">
        <f>B27-C27</f>
        <v>-2785044.25</v>
      </c>
      <c r="E27" s="144"/>
      <c r="F27" s="144"/>
      <c r="G27" s="144"/>
      <c r="H27" s="144"/>
      <c r="I27" s="144"/>
    </row>
    <row r="28" spans="1:9" x14ac:dyDescent="0.25">
      <c r="A28" s="146" t="s">
        <v>207</v>
      </c>
      <c r="B28" s="147">
        <f>SUM(B24:B27)</f>
        <v>3947815.6099999994</v>
      </c>
      <c r="C28" s="147">
        <f>SUM(C24:C27)</f>
        <v>8686543.8599999994</v>
      </c>
      <c r="D28" s="147">
        <f>SUM(D24:D27)</f>
        <v>-4738728.25</v>
      </c>
      <c r="E28" s="144"/>
      <c r="F28" s="144"/>
      <c r="G28" s="144"/>
      <c r="H28" s="144"/>
      <c r="I28" s="144"/>
    </row>
    <row r="29" spans="1:9" x14ac:dyDescent="0.25">
      <c r="A29" s="144"/>
      <c r="B29" s="144"/>
      <c r="C29" s="144"/>
      <c r="D29" s="147"/>
      <c r="E29" s="144"/>
      <c r="F29" s="144"/>
      <c r="G29" s="144"/>
      <c r="H29" s="144"/>
      <c r="I29" s="144"/>
    </row>
    <row r="30" spans="1:9" x14ac:dyDescent="0.25">
      <c r="A30" s="146" t="s">
        <v>208</v>
      </c>
      <c r="B30" s="144"/>
      <c r="C30" s="144"/>
      <c r="D30" s="147"/>
      <c r="E30" s="144"/>
      <c r="F30" s="144"/>
      <c r="G30" s="144"/>
      <c r="H30" s="144"/>
      <c r="I30" s="144"/>
    </row>
    <row r="31" spans="1:9" x14ac:dyDescent="0.25">
      <c r="A31" s="144"/>
      <c r="B31" s="144"/>
      <c r="C31" s="144"/>
      <c r="D31" s="147"/>
      <c r="E31" s="144"/>
      <c r="F31" s="144"/>
      <c r="G31" s="144"/>
      <c r="H31" s="144"/>
      <c r="I31" s="144"/>
    </row>
    <row r="32" spans="1:9" x14ac:dyDescent="0.25">
      <c r="A32" s="144" t="s">
        <v>209</v>
      </c>
      <c r="B32" s="147">
        <v>-100944529.54505624</v>
      </c>
      <c r="C32" s="147">
        <v>-74164650.019661814</v>
      </c>
      <c r="D32" s="147">
        <f>B32-C32</f>
        <v>-26779879.525394425</v>
      </c>
      <c r="E32" s="144"/>
      <c r="F32" s="144"/>
      <c r="G32" s="144"/>
      <c r="H32" s="144"/>
      <c r="I32" s="144"/>
    </row>
    <row r="33" spans="1:9" x14ac:dyDescent="0.25">
      <c r="A33" s="144" t="s">
        <v>210</v>
      </c>
      <c r="B33" s="147">
        <v>-77554825.228136808</v>
      </c>
      <c r="C33" s="147">
        <v>-79909269.608224511</v>
      </c>
      <c r="D33" s="147">
        <f>B33-C33</f>
        <v>2354444.3800877035</v>
      </c>
      <c r="E33" s="144"/>
      <c r="F33" s="144"/>
      <c r="G33" s="144"/>
      <c r="H33" s="144"/>
      <c r="I33" s="144"/>
    </row>
    <row r="34" spans="1:9" x14ac:dyDescent="0.25">
      <c r="A34" s="144" t="s">
        <v>211</v>
      </c>
      <c r="B34" s="147">
        <v>-10350493.411999999</v>
      </c>
      <c r="C34" s="147">
        <v>-1107285.9000000001</v>
      </c>
      <c r="D34" s="147">
        <f>B34-C34</f>
        <v>-9243207.5119999982</v>
      </c>
      <c r="E34" s="144"/>
      <c r="F34" s="144"/>
      <c r="G34" s="144"/>
      <c r="H34" s="144"/>
      <c r="I34" s="144"/>
    </row>
    <row r="35" spans="1:9" x14ac:dyDescent="0.25">
      <c r="A35" s="144" t="s">
        <v>212</v>
      </c>
      <c r="B35" s="147">
        <v>-20919.23</v>
      </c>
      <c r="C35" s="147">
        <v>-8753.4700000000012</v>
      </c>
      <c r="D35" s="147">
        <f>B35-C35</f>
        <v>-12165.759999999998</v>
      </c>
      <c r="E35" s="144"/>
      <c r="F35" s="144"/>
      <c r="G35" s="144"/>
      <c r="H35" s="144"/>
      <c r="I35" s="144"/>
    </row>
    <row r="36" spans="1:9" x14ac:dyDescent="0.25">
      <c r="A36" s="144" t="s">
        <v>213</v>
      </c>
      <c r="B36" s="148">
        <v>-17152.689999999995</v>
      </c>
      <c r="C36" s="148">
        <v>-3015666.1</v>
      </c>
      <c r="D36" s="148">
        <f>B36-C36</f>
        <v>2998513.41</v>
      </c>
      <c r="E36" s="144"/>
      <c r="F36" s="144"/>
      <c r="G36" s="144"/>
      <c r="H36" s="144"/>
      <c r="I36" s="144"/>
    </row>
    <row r="37" spans="1:9" x14ac:dyDescent="0.25">
      <c r="A37" s="146" t="s">
        <v>214</v>
      </c>
      <c r="B37" s="147">
        <f>SUM(B32:B36)</f>
        <v>-188887920.10519305</v>
      </c>
      <c r="C37" s="147">
        <f>SUM(C32:C36)</f>
        <v>-158205625.09788632</v>
      </c>
      <c r="D37" s="147">
        <f>SUM(D32:D36)</f>
        <v>-30682295.007306714</v>
      </c>
      <c r="E37" s="144"/>
      <c r="F37" s="144"/>
      <c r="G37" s="144"/>
      <c r="H37" s="144"/>
      <c r="I37" s="144"/>
    </row>
    <row r="38" spans="1:9" x14ac:dyDescent="0.25">
      <c r="A38" s="144"/>
      <c r="B38" s="144"/>
      <c r="C38" s="144"/>
      <c r="D38" s="147"/>
      <c r="E38" s="144"/>
      <c r="F38" s="144"/>
      <c r="G38" s="144"/>
      <c r="H38" s="144"/>
      <c r="I38" s="144"/>
    </row>
    <row r="39" spans="1:9" x14ac:dyDescent="0.25">
      <c r="A39" s="144"/>
      <c r="B39" s="144"/>
      <c r="C39" s="144"/>
      <c r="D39" s="147"/>
      <c r="E39" s="144"/>
      <c r="F39" s="144"/>
      <c r="G39" s="144"/>
      <c r="H39" s="144"/>
      <c r="I39" s="144"/>
    </row>
    <row r="40" spans="1:9" ht="15.75" thickBot="1" x14ac:dyDescent="0.3">
      <c r="A40" s="146" t="s">
        <v>215</v>
      </c>
      <c r="B40" s="149">
        <f>B17+B21+B28+B37</f>
        <v>2380903.4729438126</v>
      </c>
      <c r="C40" s="149">
        <f>C17+C21+C28+C37</f>
        <v>7205894.8161441088</v>
      </c>
      <c r="D40" s="149">
        <f>D17+D21+D28+D37</f>
        <v>-4824991.3432002664</v>
      </c>
      <c r="E40" s="144"/>
      <c r="F40" s="144"/>
      <c r="G40" s="144"/>
      <c r="H40" s="144"/>
      <c r="I40" s="144"/>
    </row>
    <row r="41" spans="1:9" ht="15.75" thickTop="1" x14ac:dyDescent="0.25">
      <c r="A41" s="144"/>
      <c r="B41" s="144"/>
      <c r="C41" s="144"/>
      <c r="D41" s="144"/>
      <c r="E41" s="144"/>
      <c r="F41" s="144"/>
      <c r="G41" s="144"/>
      <c r="H41" s="144"/>
      <c r="I41" s="144"/>
    </row>
    <row r="42" spans="1:9" x14ac:dyDescent="0.25">
      <c r="A42" s="144"/>
      <c r="B42" s="144"/>
      <c r="C42" s="144"/>
      <c r="D42" s="144"/>
      <c r="E42" s="144"/>
      <c r="F42" s="144"/>
      <c r="G42" s="144"/>
      <c r="H42" s="144"/>
      <c r="I42" s="144"/>
    </row>
    <row r="43" spans="1:9" x14ac:dyDescent="0.25">
      <c r="A43" s="144"/>
      <c r="B43" s="144"/>
      <c r="C43" s="144"/>
      <c r="D43" s="144"/>
      <c r="E43" s="144"/>
      <c r="F43" s="144"/>
      <c r="G43" s="144"/>
      <c r="H43" s="150" t="s">
        <v>267</v>
      </c>
      <c r="I43" s="144"/>
    </row>
    <row r="44" spans="1:9" x14ac:dyDescent="0.25">
      <c r="A44" s="151" t="s">
        <v>216</v>
      </c>
      <c r="B44" s="152" t="s">
        <v>114</v>
      </c>
      <c r="C44" s="152" t="s">
        <v>162</v>
      </c>
      <c r="D44" s="152" t="s">
        <v>163</v>
      </c>
      <c r="E44" s="152" t="s">
        <v>164</v>
      </c>
      <c r="F44" s="152" t="s">
        <v>165</v>
      </c>
      <c r="G44" s="153" t="s">
        <v>166</v>
      </c>
      <c r="H44" s="154" t="s">
        <v>162</v>
      </c>
      <c r="I44" s="144"/>
    </row>
    <row r="45" spans="1:9" ht="15.75" thickBot="1" x14ac:dyDescent="0.3">
      <c r="A45" s="155" t="s">
        <v>161</v>
      </c>
      <c r="B45" s="156"/>
      <c r="C45" s="156"/>
      <c r="D45" s="156"/>
      <c r="E45" s="156"/>
      <c r="F45" s="156"/>
      <c r="G45" s="156"/>
      <c r="H45" s="144"/>
      <c r="I45" s="144"/>
    </row>
    <row r="46" spans="1:9" x14ac:dyDescent="0.25">
      <c r="A46" s="157" t="s">
        <v>20</v>
      </c>
      <c r="B46" s="158">
        <f>+B24</f>
        <v>2360853.4699999997</v>
      </c>
      <c r="C46" s="158">
        <f t="shared" ref="C46:C51" si="1">B46/12</f>
        <v>196737.78916666665</v>
      </c>
      <c r="D46" s="144" t="s">
        <v>167</v>
      </c>
      <c r="E46" s="159" t="s">
        <v>168</v>
      </c>
      <c r="F46" s="144" t="s">
        <v>169</v>
      </c>
      <c r="G46" s="159" t="s">
        <v>170</v>
      </c>
      <c r="H46" s="160">
        <v>122379.16416666664</v>
      </c>
      <c r="I46" s="144"/>
    </row>
    <row r="47" spans="1:9" x14ac:dyDescent="0.25">
      <c r="A47" s="157" t="s">
        <v>21</v>
      </c>
      <c r="B47" s="158">
        <f>+B27</f>
        <v>1162320.5</v>
      </c>
      <c r="C47" s="158">
        <f t="shared" si="1"/>
        <v>96860.041666666672</v>
      </c>
      <c r="D47" s="144" t="s">
        <v>160</v>
      </c>
      <c r="E47" s="159" t="s">
        <v>171</v>
      </c>
      <c r="F47" s="144" t="s">
        <v>169</v>
      </c>
      <c r="G47" s="159" t="s">
        <v>170</v>
      </c>
      <c r="H47" s="161">
        <v>328947.0625</v>
      </c>
      <c r="I47" s="144"/>
    </row>
    <row r="48" spans="1:9" x14ac:dyDescent="0.25">
      <c r="A48" s="157" t="s">
        <v>159</v>
      </c>
      <c r="B48" s="158">
        <f>+SUM(B33:B36,B25:B26)</f>
        <v>-87518748.920136809</v>
      </c>
      <c r="C48" s="158">
        <f t="shared" si="1"/>
        <v>-7293229.0766780674</v>
      </c>
      <c r="D48" s="144" t="s">
        <v>217</v>
      </c>
      <c r="E48" s="159" t="s">
        <v>172</v>
      </c>
      <c r="F48" s="144" t="s">
        <v>218</v>
      </c>
      <c r="G48" s="159" t="s">
        <v>172</v>
      </c>
      <c r="H48" s="161">
        <v>-6730862.1615187088</v>
      </c>
      <c r="I48" s="162"/>
    </row>
    <row r="49" spans="1:9" x14ac:dyDescent="0.25">
      <c r="A49" s="157" t="s">
        <v>174</v>
      </c>
      <c r="B49" s="158">
        <f>+B16*0.5</f>
        <v>51431125.529605538</v>
      </c>
      <c r="C49" s="158">
        <f t="shared" si="1"/>
        <v>4285927.1274671284</v>
      </c>
      <c r="D49" s="144" t="s">
        <v>175</v>
      </c>
      <c r="E49" s="159" t="s">
        <v>176</v>
      </c>
      <c r="F49" s="144" t="s">
        <v>175</v>
      </c>
      <c r="G49" s="159" t="s">
        <v>176</v>
      </c>
      <c r="H49" s="161">
        <v>3575987.8835012675</v>
      </c>
      <c r="I49" s="144"/>
    </row>
    <row r="50" spans="1:9" x14ac:dyDescent="0.25">
      <c r="A50" s="157" t="s">
        <v>177</v>
      </c>
      <c r="B50" s="158">
        <f>+B16*0.5</f>
        <v>51431125.529605538</v>
      </c>
      <c r="C50" s="158">
        <f t="shared" si="1"/>
        <v>4285927.1274671284</v>
      </c>
      <c r="D50" s="144" t="s">
        <v>219</v>
      </c>
      <c r="E50" s="159" t="s">
        <v>220</v>
      </c>
      <c r="F50" s="144" t="s">
        <v>221</v>
      </c>
      <c r="G50" s="159" t="s">
        <v>222</v>
      </c>
      <c r="H50" s="161">
        <v>3575987.8835012675</v>
      </c>
      <c r="I50" s="144"/>
    </row>
    <row r="51" spans="1:9" x14ac:dyDescent="0.25">
      <c r="A51" s="157" t="s">
        <v>178</v>
      </c>
      <c r="B51" s="158">
        <f>+SUM(B10:B15,B20,B32)</f>
        <v>-16485772.636130452</v>
      </c>
      <c r="C51" s="158">
        <f t="shared" si="1"/>
        <v>-1373814.3863442044</v>
      </c>
      <c r="D51" s="144" t="s">
        <v>179</v>
      </c>
      <c r="E51" s="159" t="s">
        <v>180</v>
      </c>
      <c r="F51" s="144" t="s">
        <v>169</v>
      </c>
      <c r="G51" s="159" t="s">
        <v>170</v>
      </c>
      <c r="H51" s="161">
        <v>-271948.59747181833</v>
      </c>
      <c r="I51" s="144"/>
    </row>
    <row r="52" spans="1:9" ht="15.75" thickBot="1" x14ac:dyDescent="0.3">
      <c r="A52" s="144"/>
      <c r="B52" s="163">
        <f>SUM(B46:B51)</f>
        <v>2380903.4729438126</v>
      </c>
      <c r="C52" s="163">
        <f>SUM(C46:C51)</f>
        <v>198408.62274531857</v>
      </c>
      <c r="D52" s="144"/>
      <c r="E52" s="144"/>
      <c r="F52" s="144"/>
      <c r="G52" s="144"/>
      <c r="H52" s="164">
        <v>600491.23467867449</v>
      </c>
      <c r="I52" s="144"/>
    </row>
    <row r="53" spans="1:9" x14ac:dyDescent="0.25">
      <c r="A53" s="144"/>
      <c r="B53" s="165"/>
      <c r="C53" s="165"/>
      <c r="D53" s="144"/>
      <c r="E53" s="144"/>
      <c r="F53" s="144"/>
      <c r="G53" s="144"/>
      <c r="H53" s="144"/>
      <c r="I53" s="144"/>
    </row>
    <row r="54" spans="1:9" x14ac:dyDescent="0.25">
      <c r="A54" s="166" t="s">
        <v>268</v>
      </c>
      <c r="B54" s="144"/>
      <c r="C54" s="144"/>
      <c r="D54" s="144"/>
      <c r="E54" s="144"/>
      <c r="F54" s="144"/>
      <c r="G54" s="144"/>
      <c r="H54" s="144"/>
      <c r="I54" s="144"/>
    </row>
    <row r="55" spans="1:9" x14ac:dyDescent="0.25">
      <c r="A55" s="157" t="s">
        <v>173</v>
      </c>
      <c r="B55" s="158">
        <f>+B16</f>
        <v>102862251.05921108</v>
      </c>
      <c r="C55" s="167">
        <f>B55/12</f>
        <v>8571854.2549342569</v>
      </c>
      <c r="D55" s="144"/>
      <c r="E55" s="168"/>
      <c r="F55" s="168"/>
      <c r="G55" s="144"/>
      <c r="H55" s="144"/>
      <c r="I55" s="144"/>
    </row>
    <row r="56" spans="1:9" x14ac:dyDescent="0.25">
      <c r="A56" s="157" t="s">
        <v>3</v>
      </c>
      <c r="B56" s="158">
        <f>+B10</f>
        <v>54669547.368396997</v>
      </c>
      <c r="C56" s="167">
        <f>B56/12</f>
        <v>4555795.6140330834</v>
      </c>
      <c r="D56" s="144"/>
      <c r="E56" s="144"/>
      <c r="F56" s="144"/>
      <c r="G56" s="144"/>
      <c r="H56" s="167"/>
      <c r="I56" s="144"/>
    </row>
    <row r="57" spans="1:9" x14ac:dyDescent="0.25">
      <c r="A57" s="144"/>
      <c r="B57" s="163">
        <f>SUM(B55:B56)</f>
        <v>157531798.42760807</v>
      </c>
      <c r="C57" s="163">
        <f>SUM(C55:C56)</f>
        <v>13127649.868967339</v>
      </c>
      <c r="D57" s="144"/>
      <c r="E57" s="144"/>
      <c r="F57" s="144"/>
      <c r="G57" s="144"/>
      <c r="H57" s="167"/>
      <c r="I57" s="144"/>
    </row>
    <row r="58" spans="1:9" x14ac:dyDescent="0.25">
      <c r="H58" s="63"/>
    </row>
  </sheetData>
  <pageMargins left="0.7" right="0.7" top="0.75" bottom="0.75" header="0.3" footer="0.3"/>
  <pageSetup scale="51" orientation="landscape" horizontalDpi="1200" verticalDpi="1200" r:id="rId1"/>
  <headerFooter>
    <oddFooter>&amp;CSchedule RL-1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1:O14"/>
  <sheetViews>
    <sheetView workbookViewId="0">
      <selection activeCell="E26" sqref="E26"/>
    </sheetView>
  </sheetViews>
  <sheetFormatPr defaultRowHeight="15" x14ac:dyDescent="0.25"/>
  <cols>
    <col min="3" max="12" width="13.140625" customWidth="1"/>
    <col min="13" max="13" width="16.85546875" bestFit="1" customWidth="1"/>
    <col min="14" max="14" width="4.28515625" customWidth="1"/>
    <col min="15" max="15" width="14.85546875" bestFit="1" customWidth="1"/>
  </cols>
  <sheetData>
    <row r="1" spans="1:15" x14ac:dyDescent="0.25">
      <c r="A1" s="171" t="s">
        <v>22</v>
      </c>
      <c r="B1" s="17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  <c r="J1" t="s">
        <v>31</v>
      </c>
      <c r="K1" t="s">
        <v>32</v>
      </c>
      <c r="L1" t="s">
        <v>33</v>
      </c>
      <c r="M1" t="s">
        <v>34</v>
      </c>
      <c r="O1" t="s">
        <v>225</v>
      </c>
    </row>
    <row r="2" spans="1:15" x14ac:dyDescent="0.25">
      <c r="A2" s="33">
        <v>2026</v>
      </c>
      <c r="B2" s="33">
        <v>2</v>
      </c>
      <c r="C2" s="71">
        <v>1187898</v>
      </c>
      <c r="D2" s="71">
        <v>265298.62</v>
      </c>
      <c r="E2" s="71">
        <v>518548.73</v>
      </c>
      <c r="F2" s="71">
        <v>177166.24</v>
      </c>
      <c r="G2" s="71">
        <v>106843.19</v>
      </c>
      <c r="H2" s="71">
        <v>6958.87</v>
      </c>
      <c r="I2" s="71">
        <v>56780.53</v>
      </c>
      <c r="J2" s="71">
        <v>89092.64</v>
      </c>
      <c r="K2" s="71">
        <v>170190.92</v>
      </c>
      <c r="L2" s="71">
        <v>10673.864237427646</v>
      </c>
      <c r="M2" s="71">
        <v>2589451.6042374279</v>
      </c>
      <c r="N2" s="172"/>
      <c r="O2" s="173">
        <f>+M2*1000</f>
        <v>2589451604.2374277</v>
      </c>
    </row>
    <row r="3" spans="1:15" x14ac:dyDescent="0.25">
      <c r="A3" s="33">
        <v>2026</v>
      </c>
      <c r="B3" s="33">
        <v>3</v>
      </c>
      <c r="C3" s="71">
        <v>1052600</v>
      </c>
      <c r="D3" s="71">
        <v>245375.18</v>
      </c>
      <c r="E3" s="71">
        <v>525721.84</v>
      </c>
      <c r="F3" s="71">
        <v>190139.56</v>
      </c>
      <c r="G3" s="71">
        <v>120387.7</v>
      </c>
      <c r="H3" s="71">
        <v>5748.55</v>
      </c>
      <c r="I3" s="71">
        <v>54369.49</v>
      </c>
      <c r="J3" s="71">
        <v>91068.08</v>
      </c>
      <c r="K3" s="71">
        <v>186520.38</v>
      </c>
      <c r="L3" s="71">
        <v>11815.576244776212</v>
      </c>
      <c r="M3" s="71">
        <v>2483746.3562447764</v>
      </c>
      <c r="N3" s="172"/>
      <c r="O3" s="173">
        <f t="shared" ref="O3:O13" si="0">+M3*1000</f>
        <v>2483746356.2447762</v>
      </c>
    </row>
    <row r="4" spans="1:15" x14ac:dyDescent="0.25">
      <c r="A4" s="33">
        <v>2026</v>
      </c>
      <c r="B4" s="33">
        <v>4</v>
      </c>
      <c r="C4" s="71">
        <v>787607</v>
      </c>
      <c r="D4" s="71">
        <v>218914.06</v>
      </c>
      <c r="E4" s="71">
        <v>496665.91</v>
      </c>
      <c r="F4" s="71">
        <v>180659.95</v>
      </c>
      <c r="G4" s="71">
        <v>115976.33</v>
      </c>
      <c r="H4" s="71">
        <v>5091.8900000000003</v>
      </c>
      <c r="I4" s="71">
        <v>56950.33</v>
      </c>
      <c r="J4" s="71">
        <v>90377.78</v>
      </c>
      <c r="K4" s="71">
        <v>195244.43</v>
      </c>
      <c r="L4" s="71">
        <v>10027.012162150373</v>
      </c>
      <c r="M4" s="71">
        <v>2157514.6921621505</v>
      </c>
      <c r="N4" s="172"/>
      <c r="O4" s="173">
        <f t="shared" si="0"/>
        <v>2157514692.1621504</v>
      </c>
    </row>
    <row r="5" spans="1:15" x14ac:dyDescent="0.25">
      <c r="A5" s="33">
        <v>2026</v>
      </c>
      <c r="B5" s="33">
        <v>5</v>
      </c>
      <c r="C5" s="71">
        <v>835659</v>
      </c>
      <c r="D5" s="71">
        <v>231439.45</v>
      </c>
      <c r="E5" s="71">
        <v>546912.92000000004</v>
      </c>
      <c r="F5" s="71">
        <v>198868.34</v>
      </c>
      <c r="G5" s="71">
        <v>130630.66</v>
      </c>
      <c r="H5" s="71">
        <v>4906.12</v>
      </c>
      <c r="I5" s="71">
        <v>53369.99</v>
      </c>
      <c r="J5" s="71">
        <v>91295.06</v>
      </c>
      <c r="K5" s="71">
        <v>212365.08</v>
      </c>
      <c r="L5" s="71">
        <v>9397.4850418040442</v>
      </c>
      <c r="M5" s="71">
        <v>2314844.1050418038</v>
      </c>
      <c r="N5" s="172"/>
      <c r="O5" s="173">
        <f t="shared" si="0"/>
        <v>2314844105.0418038</v>
      </c>
    </row>
    <row r="6" spans="1:15" x14ac:dyDescent="0.25">
      <c r="A6" s="33">
        <v>2026</v>
      </c>
      <c r="B6" s="33">
        <v>6</v>
      </c>
      <c r="C6" s="71">
        <v>1134539</v>
      </c>
      <c r="D6" s="71">
        <v>260491.89</v>
      </c>
      <c r="E6" s="71">
        <v>593078.94999999995</v>
      </c>
      <c r="F6" s="71">
        <v>207163.71</v>
      </c>
      <c r="G6" s="71">
        <v>137161.65</v>
      </c>
      <c r="H6" s="71">
        <v>6081</v>
      </c>
      <c r="I6" s="71">
        <v>56030.99</v>
      </c>
      <c r="J6" s="71">
        <v>95119.78</v>
      </c>
      <c r="K6" s="71">
        <v>205537.54</v>
      </c>
      <c r="L6" s="71">
        <v>8376.8079591782061</v>
      </c>
      <c r="M6" s="71">
        <v>2703581.3179591778</v>
      </c>
      <c r="N6" s="172"/>
      <c r="O6" s="173">
        <f t="shared" si="0"/>
        <v>2703581317.959178</v>
      </c>
    </row>
    <row r="7" spans="1:15" x14ac:dyDescent="0.25">
      <c r="A7" s="33">
        <v>2026</v>
      </c>
      <c r="B7" s="33">
        <v>7</v>
      </c>
      <c r="C7" s="71">
        <v>1380349</v>
      </c>
      <c r="D7" s="71">
        <v>292943.89</v>
      </c>
      <c r="E7" s="71">
        <v>634581.16</v>
      </c>
      <c r="F7" s="71">
        <v>225743.99</v>
      </c>
      <c r="G7" s="71">
        <v>146165.12</v>
      </c>
      <c r="H7" s="71">
        <v>6806.4</v>
      </c>
      <c r="I7" s="71">
        <v>60936.65</v>
      </c>
      <c r="J7" s="71">
        <v>97943.72</v>
      </c>
      <c r="K7" s="71">
        <v>221177.12</v>
      </c>
      <c r="L7" s="71">
        <v>8983.5729466047087</v>
      </c>
      <c r="M7" s="71">
        <v>3075630.6229466046</v>
      </c>
      <c r="N7" s="172"/>
      <c r="O7" s="173">
        <f t="shared" si="0"/>
        <v>3075630622.9466047</v>
      </c>
    </row>
    <row r="8" spans="1:15" x14ac:dyDescent="0.25">
      <c r="A8" s="33">
        <v>2026</v>
      </c>
      <c r="B8" s="33">
        <v>8</v>
      </c>
      <c r="C8" s="71">
        <v>1304984</v>
      </c>
      <c r="D8" s="71">
        <v>288648.14</v>
      </c>
      <c r="E8" s="71">
        <v>632335.13</v>
      </c>
      <c r="F8" s="71">
        <v>227928.56</v>
      </c>
      <c r="G8" s="71">
        <v>144405.45000000001</v>
      </c>
      <c r="H8" s="71">
        <v>6490.41</v>
      </c>
      <c r="I8" s="71">
        <v>62403.62</v>
      </c>
      <c r="J8" s="71">
        <v>99668.69</v>
      </c>
      <c r="K8" s="71">
        <v>226679.11</v>
      </c>
      <c r="L8" s="71">
        <v>9985.4600238419061</v>
      </c>
      <c r="M8" s="71">
        <v>3003528.5700238417</v>
      </c>
      <c r="N8" s="172"/>
      <c r="O8" s="173">
        <f t="shared" si="0"/>
        <v>3003528570.0238419</v>
      </c>
    </row>
    <row r="9" spans="1:15" x14ac:dyDescent="0.25">
      <c r="A9" s="33">
        <v>2026</v>
      </c>
      <c r="B9" s="33">
        <v>9</v>
      </c>
      <c r="C9" s="71">
        <v>971443</v>
      </c>
      <c r="D9" s="71">
        <v>242260.13</v>
      </c>
      <c r="E9" s="71">
        <v>553081.74</v>
      </c>
      <c r="F9" s="71">
        <v>200079.27</v>
      </c>
      <c r="G9" s="71">
        <v>130982.84</v>
      </c>
      <c r="H9" s="71">
        <v>5359.69</v>
      </c>
      <c r="I9" s="71">
        <v>61950.080000000002</v>
      </c>
      <c r="J9" s="71">
        <v>98042.71</v>
      </c>
      <c r="K9" s="71">
        <v>204645.72</v>
      </c>
      <c r="L9" s="71">
        <v>10645.002151536799</v>
      </c>
      <c r="M9" s="71">
        <v>2478490.1821515369</v>
      </c>
      <c r="N9" s="172"/>
      <c r="O9" s="173">
        <f t="shared" si="0"/>
        <v>2478490182.1515369</v>
      </c>
    </row>
    <row r="10" spans="1:15" x14ac:dyDescent="0.25">
      <c r="A10" s="33">
        <v>2026</v>
      </c>
      <c r="B10" s="33">
        <v>10</v>
      </c>
      <c r="C10" s="71">
        <v>796574</v>
      </c>
      <c r="D10" s="71">
        <v>203476.8</v>
      </c>
      <c r="E10" s="71">
        <v>503452.23</v>
      </c>
      <c r="F10" s="71">
        <v>197670.21</v>
      </c>
      <c r="G10" s="71">
        <v>128943.03</v>
      </c>
      <c r="H10" s="71">
        <v>5669.38</v>
      </c>
      <c r="I10" s="71">
        <v>56666.49</v>
      </c>
      <c r="J10" s="71">
        <v>94845.36</v>
      </c>
      <c r="K10" s="71">
        <v>212839.22</v>
      </c>
      <c r="L10" s="71">
        <v>12357.23865251676</v>
      </c>
      <c r="M10" s="71">
        <v>2212493.9586525168</v>
      </c>
      <c r="N10" s="172"/>
      <c r="O10" s="173">
        <f t="shared" si="0"/>
        <v>2212493958.6525168</v>
      </c>
    </row>
    <row r="11" spans="1:15" x14ac:dyDescent="0.25">
      <c r="A11" s="33">
        <v>2026</v>
      </c>
      <c r="B11" s="33">
        <v>11</v>
      </c>
      <c r="C11" s="71">
        <v>934388</v>
      </c>
      <c r="D11" s="71">
        <v>216436.62</v>
      </c>
      <c r="E11" s="71">
        <v>511372.08</v>
      </c>
      <c r="F11" s="71">
        <v>186641.68</v>
      </c>
      <c r="G11" s="71">
        <v>116299.75</v>
      </c>
      <c r="H11" s="71">
        <v>7649.24</v>
      </c>
      <c r="I11" s="71">
        <v>56800.07</v>
      </c>
      <c r="J11" s="71">
        <v>89473</v>
      </c>
      <c r="K11" s="71">
        <v>196849.5</v>
      </c>
      <c r="L11" s="71">
        <v>12548.201474855294</v>
      </c>
      <c r="M11" s="71">
        <v>2328458.1414748556</v>
      </c>
      <c r="N11" s="172"/>
      <c r="O11" s="173">
        <f t="shared" si="0"/>
        <v>2328458141.4748554</v>
      </c>
    </row>
    <row r="12" spans="1:15" x14ac:dyDescent="0.25">
      <c r="A12" s="33">
        <v>2026</v>
      </c>
      <c r="B12" s="33">
        <v>12</v>
      </c>
      <c r="C12" s="71">
        <v>1259210</v>
      </c>
      <c r="D12" s="71">
        <v>267607.24</v>
      </c>
      <c r="E12" s="71">
        <v>555238.92000000004</v>
      </c>
      <c r="F12" s="71">
        <v>189160.76</v>
      </c>
      <c r="G12" s="71">
        <v>117247.52</v>
      </c>
      <c r="H12" s="71">
        <v>8682.7000000000007</v>
      </c>
      <c r="I12" s="71">
        <v>56434.46</v>
      </c>
      <c r="J12" s="71">
        <v>90512.04</v>
      </c>
      <c r="K12" s="71">
        <v>186539.87</v>
      </c>
      <c r="L12" s="71">
        <v>13101.410925541266</v>
      </c>
      <c r="M12" s="71">
        <v>2743734.9209255413</v>
      </c>
      <c r="N12" s="172"/>
      <c r="O12" s="173">
        <f t="shared" si="0"/>
        <v>2743734920.9255414</v>
      </c>
    </row>
    <row r="13" spans="1:15" x14ac:dyDescent="0.25">
      <c r="A13" s="33">
        <v>2027</v>
      </c>
      <c r="B13" s="33">
        <v>1</v>
      </c>
      <c r="C13" s="71">
        <v>1427472</v>
      </c>
      <c r="D13" s="71">
        <v>296885.69</v>
      </c>
      <c r="E13" s="71">
        <v>589955.52</v>
      </c>
      <c r="F13" s="71">
        <v>192085.12</v>
      </c>
      <c r="G13" s="71">
        <v>115964.01</v>
      </c>
      <c r="H13" s="71">
        <v>8488.7999999999993</v>
      </c>
      <c r="I13" s="71">
        <v>55815.87</v>
      </c>
      <c r="J13" s="71">
        <v>91299.1</v>
      </c>
      <c r="K13" s="71">
        <v>186757.57</v>
      </c>
      <c r="L13" s="71">
        <v>13554.057975835256</v>
      </c>
      <c r="M13" s="71">
        <v>2978277.7379758353</v>
      </c>
      <c r="N13" s="172"/>
      <c r="O13" s="173">
        <f t="shared" si="0"/>
        <v>2978277737.9758353</v>
      </c>
    </row>
    <row r="14" spans="1:15" x14ac:dyDescent="0.25">
      <c r="B14" s="33"/>
    </row>
  </sheetData>
  <pageMargins left="0.7" right="0.7" top="0.75" bottom="0.75" header="0.3" footer="0.3"/>
  <pageSetup scale="60" orientation="landscape" r:id="rId1"/>
  <headerFooter>
    <oddFooter>&amp;CSchedule RL-1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BA54C-2BF4-4879-B39E-679C5E7A47B5}">
  <sheetPr>
    <pageSetUpPr fitToPage="1"/>
  </sheetPr>
  <dimension ref="A1:W44"/>
  <sheetViews>
    <sheetView workbookViewId="0">
      <selection activeCell="E27" sqref="E27"/>
    </sheetView>
  </sheetViews>
  <sheetFormatPr defaultColWidth="9.140625" defaultRowHeight="12.75" x14ac:dyDescent="0.2"/>
  <cols>
    <col min="1" max="1" width="17.28515625" style="45" customWidth="1"/>
    <col min="2" max="2" width="5.7109375" style="45" customWidth="1"/>
    <col min="3" max="3" width="20" style="45" customWidth="1"/>
    <col min="4" max="4" width="5.7109375" style="45" customWidth="1"/>
    <col min="5" max="5" width="14.42578125" style="45" customWidth="1"/>
    <col min="6" max="6" width="5.7109375" style="45" customWidth="1"/>
    <col min="7" max="7" width="11.42578125" style="45" customWidth="1"/>
    <col min="8" max="8" width="5.7109375" style="45" customWidth="1"/>
    <col min="9" max="9" width="14.5703125" style="45" bestFit="1" customWidth="1"/>
    <col min="10" max="11" width="9.140625" style="45"/>
    <col min="12" max="12" width="23.28515625" style="45" bestFit="1" customWidth="1"/>
    <col min="13" max="13" width="21" style="45" customWidth="1"/>
    <col min="14" max="16384" width="9.140625" style="45"/>
  </cols>
  <sheetData>
    <row r="1" spans="1:23" ht="15" x14ac:dyDescent="0.25">
      <c r="A1" s="65" t="s">
        <v>155</v>
      </c>
      <c r="B1" s="14"/>
      <c r="C1" s="14"/>
      <c r="D1" s="14"/>
      <c r="E1" s="14"/>
      <c r="F1" s="14"/>
      <c r="G1" s="14"/>
      <c r="H1" s="14"/>
      <c r="I1" s="14"/>
      <c r="J1" s="289"/>
    </row>
    <row r="2" spans="1:23" ht="15" x14ac:dyDescent="0.25">
      <c r="A2" s="185" t="s">
        <v>154</v>
      </c>
      <c r="B2" s="174"/>
      <c r="C2" s="174"/>
      <c r="D2" s="174"/>
      <c r="E2" s="174"/>
      <c r="F2" s="174"/>
      <c r="G2" s="174"/>
      <c r="H2" s="174"/>
      <c r="I2" s="174"/>
      <c r="J2" s="175"/>
      <c r="K2" s="186"/>
      <c r="L2" s="186"/>
    </row>
    <row r="3" spans="1:23" ht="15" x14ac:dyDescent="0.25">
      <c r="A3" s="185" t="s">
        <v>153</v>
      </c>
      <c r="B3" s="174"/>
      <c r="C3" s="174"/>
      <c r="D3" s="174"/>
      <c r="E3" s="174"/>
      <c r="F3" s="174"/>
      <c r="G3" s="174"/>
      <c r="H3" s="174"/>
      <c r="I3" s="174"/>
      <c r="J3" s="175"/>
      <c r="K3" s="186"/>
      <c r="L3" s="186"/>
    </row>
    <row r="4" spans="1:23" ht="15" x14ac:dyDescent="0.25">
      <c r="A4" s="187">
        <v>44926</v>
      </c>
      <c r="B4" s="174"/>
      <c r="C4" s="174"/>
      <c r="D4" s="174"/>
      <c r="E4" s="174"/>
      <c r="F4" s="174"/>
      <c r="G4" s="174"/>
      <c r="H4" s="174"/>
      <c r="I4" s="174"/>
      <c r="J4" s="175"/>
      <c r="K4" s="186"/>
      <c r="L4" s="186"/>
    </row>
    <row r="5" spans="1:23" ht="15" x14ac:dyDescent="0.25">
      <c r="A5" s="188" t="s">
        <v>152</v>
      </c>
      <c r="B5" s="174"/>
      <c r="C5" s="174"/>
      <c r="D5" s="174"/>
      <c r="E5" s="174"/>
      <c r="F5" s="174"/>
      <c r="G5" s="174"/>
      <c r="H5" s="174"/>
      <c r="I5" s="174"/>
      <c r="J5" s="175"/>
      <c r="K5" s="186"/>
      <c r="L5" s="186"/>
    </row>
    <row r="6" spans="1:23" ht="15" x14ac:dyDescent="0.25">
      <c r="A6" s="189"/>
      <c r="B6" s="174"/>
      <c r="C6" s="174"/>
      <c r="D6" s="174"/>
      <c r="E6" s="174"/>
      <c r="F6" s="174"/>
      <c r="G6" s="174"/>
      <c r="H6" s="174"/>
      <c r="I6" s="174"/>
      <c r="J6" s="175"/>
      <c r="K6" s="186"/>
      <c r="L6" s="186"/>
    </row>
    <row r="7" spans="1:23" ht="15" x14ac:dyDescent="0.25">
      <c r="A7" s="190" t="s">
        <v>151</v>
      </c>
      <c r="B7" s="175"/>
      <c r="C7" s="175"/>
      <c r="D7" s="175"/>
      <c r="E7" s="191" t="s">
        <v>150</v>
      </c>
      <c r="F7" s="175"/>
      <c r="G7" s="175"/>
      <c r="H7" s="175"/>
      <c r="I7" s="175"/>
      <c r="J7" s="175"/>
      <c r="K7" s="186"/>
      <c r="L7" s="186"/>
    </row>
    <row r="8" spans="1:23" ht="15" x14ac:dyDescent="0.25">
      <c r="A8" s="175"/>
      <c r="B8" s="175"/>
      <c r="C8" s="175"/>
      <c r="D8" s="175"/>
      <c r="E8" s="191" t="s">
        <v>149</v>
      </c>
      <c r="F8" s="175"/>
      <c r="G8" s="191" t="s">
        <v>148</v>
      </c>
      <c r="H8" s="175"/>
      <c r="I8" s="175"/>
      <c r="J8" s="175"/>
      <c r="K8" s="186"/>
      <c r="L8" s="186"/>
    </row>
    <row r="9" spans="1:23" ht="15" x14ac:dyDescent="0.25">
      <c r="A9" s="192" t="s">
        <v>147</v>
      </c>
      <c r="B9" s="175"/>
      <c r="C9" s="192"/>
      <c r="D9" s="175"/>
      <c r="E9" s="192" t="s">
        <v>146</v>
      </c>
      <c r="F9" s="175"/>
      <c r="G9" s="192" t="s">
        <v>145</v>
      </c>
      <c r="H9" s="175"/>
      <c r="I9" s="192" t="s">
        <v>144</v>
      </c>
      <c r="J9" s="175"/>
      <c r="K9" s="186"/>
      <c r="L9" s="186"/>
    </row>
    <row r="10" spans="1:23" ht="15" x14ac:dyDescent="0.25">
      <c r="A10" s="175"/>
      <c r="B10" s="175"/>
      <c r="C10" s="175"/>
      <c r="D10" s="175"/>
      <c r="E10" s="175"/>
      <c r="F10" s="175"/>
      <c r="G10" s="175"/>
      <c r="H10" s="175"/>
      <c r="I10" s="175"/>
      <c r="J10" s="175"/>
      <c r="K10" s="186"/>
      <c r="L10" s="186"/>
    </row>
    <row r="11" spans="1:23" ht="15" x14ac:dyDescent="0.25">
      <c r="A11" s="175"/>
      <c r="B11" s="175"/>
      <c r="C11" s="175"/>
      <c r="D11" s="175"/>
      <c r="E11" s="175"/>
      <c r="F11" s="175"/>
      <c r="G11" s="175"/>
      <c r="H11" s="175"/>
      <c r="I11" s="175"/>
      <c r="J11" s="175"/>
      <c r="K11" s="186"/>
      <c r="L11" s="186"/>
    </row>
    <row r="12" spans="1:23" ht="15" x14ac:dyDescent="0.25">
      <c r="A12" s="175" t="s">
        <v>143</v>
      </c>
      <c r="B12" s="175"/>
      <c r="C12" s="193">
        <v>5798639526</v>
      </c>
      <c r="D12" s="175"/>
      <c r="E12" s="194">
        <f>C12/C20</f>
        <v>0.47422593014021713</v>
      </c>
      <c r="F12" s="175"/>
      <c r="G12" s="195">
        <v>4.231E-2</v>
      </c>
      <c r="H12" s="175"/>
      <c r="I12" s="176">
        <f>ROUND(E12*G12,5)</f>
        <v>2.0060000000000001E-2</v>
      </c>
      <c r="J12" s="175"/>
      <c r="K12" s="186"/>
      <c r="L12" s="186"/>
    </row>
    <row r="13" spans="1:23" ht="15" x14ac:dyDescent="0.25">
      <c r="A13" s="175"/>
      <c r="B13" s="175"/>
      <c r="C13" s="196"/>
      <c r="D13" s="175"/>
      <c r="E13" s="194"/>
      <c r="F13" s="175"/>
      <c r="G13" s="197"/>
      <c r="H13" s="175"/>
      <c r="I13" s="176"/>
      <c r="J13" s="175"/>
      <c r="K13" s="186"/>
      <c r="L13" s="186"/>
    </row>
    <row r="14" spans="1:23" ht="15" x14ac:dyDescent="0.25">
      <c r="A14" s="175" t="s">
        <v>142</v>
      </c>
      <c r="B14" s="175"/>
      <c r="C14" s="198">
        <v>0</v>
      </c>
      <c r="D14" s="175"/>
      <c r="E14" s="194">
        <f>+C14/C20</f>
        <v>0</v>
      </c>
      <c r="F14" s="175"/>
      <c r="G14" s="197">
        <v>0</v>
      </c>
      <c r="H14" s="175"/>
      <c r="I14" s="176">
        <f>ROUND(E14*G14,5)</f>
        <v>0</v>
      </c>
      <c r="J14" s="175"/>
      <c r="K14" s="186"/>
      <c r="L14" s="175"/>
      <c r="M14"/>
      <c r="N14"/>
      <c r="O14"/>
      <c r="P14"/>
      <c r="Q14"/>
      <c r="R14"/>
      <c r="S14"/>
      <c r="T14"/>
      <c r="U14"/>
      <c r="V14"/>
      <c r="W14"/>
    </row>
    <row r="15" spans="1:23" ht="15" x14ac:dyDescent="0.25">
      <c r="A15" s="175"/>
      <c r="B15" s="175"/>
      <c r="C15" s="199"/>
      <c r="D15" s="175"/>
      <c r="E15" s="194"/>
      <c r="F15" s="175"/>
      <c r="G15" s="176"/>
      <c r="H15" s="175"/>
      <c r="I15" s="176"/>
      <c r="J15" s="175"/>
      <c r="K15" s="186"/>
      <c r="L15" s="175"/>
      <c r="M15"/>
      <c r="N15"/>
      <c r="O15"/>
      <c r="P15"/>
      <c r="Q15"/>
      <c r="R15"/>
      <c r="S15"/>
      <c r="T15"/>
      <c r="U15"/>
      <c r="V15"/>
      <c r="W15"/>
    </row>
    <row r="16" spans="1:23" ht="15" x14ac:dyDescent="0.25">
      <c r="A16" s="175" t="s">
        <v>141</v>
      </c>
      <c r="B16" s="175"/>
      <c r="C16" s="198">
        <v>81827509</v>
      </c>
      <c r="D16" s="175"/>
      <c r="E16" s="194">
        <f>C16/C20</f>
        <v>6.69203981254378E-3</v>
      </c>
      <c r="F16" s="175"/>
      <c r="G16" s="197">
        <v>4.1799999999999997E-2</v>
      </c>
      <c r="H16" s="175"/>
      <c r="I16" s="176">
        <f>ROUND(E16*G16,5)</f>
        <v>2.7999999999999998E-4</v>
      </c>
      <c r="J16" s="175"/>
      <c r="K16" s="186"/>
      <c r="L16" s="175"/>
      <c r="M16"/>
      <c r="N16"/>
      <c r="O16"/>
      <c r="P16"/>
      <c r="Q16"/>
      <c r="R16"/>
      <c r="S16"/>
      <c r="T16"/>
      <c r="U16"/>
      <c r="V16"/>
      <c r="W16"/>
    </row>
    <row r="17" spans="1:23" ht="15" x14ac:dyDescent="0.25">
      <c r="A17" s="175"/>
      <c r="B17" s="175"/>
      <c r="C17" s="199"/>
      <c r="D17" s="175"/>
      <c r="E17" s="194"/>
      <c r="F17" s="175"/>
      <c r="G17" s="176"/>
      <c r="H17" s="175"/>
      <c r="I17" s="176"/>
      <c r="J17" s="175"/>
      <c r="K17" s="186"/>
      <c r="L17" s="175"/>
      <c r="M17"/>
      <c r="N17"/>
      <c r="O17"/>
      <c r="P17"/>
      <c r="Q17"/>
      <c r="R17"/>
      <c r="S17"/>
      <c r="T17"/>
      <c r="U17"/>
      <c r="V17"/>
      <c r="W17"/>
    </row>
    <row r="18" spans="1:23" ht="15" x14ac:dyDescent="0.25">
      <c r="A18" s="175" t="s">
        <v>140</v>
      </c>
      <c r="B18" s="175"/>
      <c r="C18" s="200">
        <v>6347121457.0200005</v>
      </c>
      <c r="D18" s="175"/>
      <c r="E18" s="201">
        <f>C18/C20</f>
        <v>0.51908203004723907</v>
      </c>
      <c r="F18" s="175"/>
      <c r="G18" s="197">
        <v>9.5000000000000001E-2</v>
      </c>
      <c r="H18" s="175"/>
      <c r="I18" s="201">
        <f>ROUND(E18*G18,5)</f>
        <v>4.931E-2</v>
      </c>
      <c r="J18" s="175"/>
      <c r="K18" s="186"/>
      <c r="L18" s="175"/>
      <c r="M18"/>
      <c r="N18"/>
      <c r="O18"/>
      <c r="P18"/>
      <c r="Q18"/>
      <c r="R18"/>
      <c r="S18"/>
      <c r="T18"/>
      <c r="U18"/>
      <c r="V18"/>
      <c r="W18"/>
    </row>
    <row r="19" spans="1:23" ht="15" x14ac:dyDescent="0.25">
      <c r="A19" s="175"/>
      <c r="B19" s="175"/>
      <c r="C19" s="175"/>
      <c r="D19" s="175"/>
      <c r="E19" s="176"/>
      <c r="F19" s="175"/>
      <c r="G19" s="202"/>
      <c r="H19" s="175"/>
      <c r="I19" s="176"/>
      <c r="J19" s="175"/>
      <c r="K19" s="186"/>
      <c r="L19" s="175"/>
      <c r="M19"/>
      <c r="N19"/>
      <c r="O19"/>
      <c r="P19"/>
      <c r="Q19"/>
      <c r="R19"/>
      <c r="S19"/>
      <c r="T19"/>
      <c r="U19"/>
      <c r="V19"/>
      <c r="W19"/>
    </row>
    <row r="20" spans="1:23" ht="15.75" thickBot="1" x14ac:dyDescent="0.3">
      <c r="A20" s="175" t="s">
        <v>139</v>
      </c>
      <c r="B20" s="175"/>
      <c r="C20" s="203">
        <f>SUM(C12:C18)</f>
        <v>12227588492.02</v>
      </c>
      <c r="D20" s="175"/>
      <c r="E20" s="204">
        <f>SUM(E12:E18)</f>
        <v>1</v>
      </c>
      <c r="F20" s="175"/>
      <c r="G20" s="175"/>
      <c r="H20" s="175"/>
      <c r="I20" s="177">
        <f>SUM(I12:I18)</f>
        <v>6.9650000000000004E-2</v>
      </c>
      <c r="J20" s="175"/>
      <c r="K20" s="186"/>
      <c r="L20" s="175"/>
      <c r="M20"/>
      <c r="N20"/>
      <c r="O20"/>
      <c r="P20"/>
      <c r="Q20"/>
      <c r="R20"/>
      <c r="S20"/>
      <c r="T20"/>
      <c r="U20"/>
      <c r="V20"/>
      <c r="W20"/>
    </row>
    <row r="21" spans="1:23" ht="15.75" thickTop="1" x14ac:dyDescent="0.25">
      <c r="A21" s="175"/>
      <c r="B21" s="175"/>
      <c r="C21" s="178"/>
      <c r="D21" s="175"/>
      <c r="E21" s="175"/>
      <c r="F21" s="175"/>
      <c r="G21" s="175"/>
      <c r="H21" s="175"/>
      <c r="I21" s="175"/>
      <c r="J21" s="175"/>
      <c r="K21" s="186"/>
      <c r="L21" s="175"/>
      <c r="M21"/>
      <c r="N21"/>
      <c r="O21"/>
      <c r="P21"/>
      <c r="Q21"/>
      <c r="R21"/>
      <c r="S21"/>
      <c r="T21"/>
      <c r="U21"/>
      <c r="V21"/>
      <c r="W21"/>
    </row>
    <row r="22" spans="1:23" ht="15" x14ac:dyDescent="0.25">
      <c r="A22" s="175"/>
      <c r="B22" s="175"/>
      <c r="C22" s="205"/>
      <c r="D22" s="175"/>
      <c r="E22" s="175"/>
      <c r="F22" s="175"/>
      <c r="G22" s="175"/>
      <c r="H22" s="175"/>
      <c r="I22" s="175"/>
      <c r="J22" s="175"/>
      <c r="K22" s="186"/>
      <c r="L22" s="175"/>
      <c r="M22"/>
      <c r="N22"/>
      <c r="O22"/>
      <c r="P22"/>
      <c r="Q22"/>
      <c r="R22"/>
      <c r="S22"/>
      <c r="T22"/>
      <c r="U22"/>
      <c r="V22"/>
      <c r="W22"/>
    </row>
    <row r="23" spans="1:23" ht="15" x14ac:dyDescent="0.25">
      <c r="A23" s="206" t="s">
        <v>138</v>
      </c>
      <c r="B23" s="175"/>
      <c r="C23" s="175"/>
      <c r="D23" s="175"/>
      <c r="E23" s="175"/>
      <c r="F23" s="175"/>
      <c r="G23" s="175"/>
      <c r="H23" s="175"/>
      <c r="I23" s="175"/>
      <c r="J23" s="175"/>
      <c r="K23" s="186"/>
      <c r="L23" s="175"/>
      <c r="M23"/>
      <c r="N23"/>
      <c r="O23"/>
      <c r="P23"/>
      <c r="Q23"/>
      <c r="R23"/>
      <c r="S23"/>
      <c r="T23"/>
      <c r="U23"/>
      <c r="V23"/>
      <c r="W23"/>
    </row>
    <row r="24" spans="1:23" ht="15" x14ac:dyDescent="0.25">
      <c r="A24" s="175"/>
      <c r="B24" s="175"/>
      <c r="C24" s="175"/>
      <c r="D24" s="175"/>
      <c r="E24" s="175"/>
      <c r="F24" s="175"/>
      <c r="G24" s="175"/>
      <c r="H24" s="175"/>
      <c r="I24" s="175"/>
      <c r="J24" s="175"/>
      <c r="K24" s="186"/>
      <c r="L24" s="175"/>
      <c r="M24"/>
      <c r="N24"/>
      <c r="O24"/>
      <c r="P24"/>
      <c r="Q24"/>
      <c r="R24"/>
      <c r="S24"/>
      <c r="T24"/>
      <c r="U24"/>
      <c r="V24"/>
      <c r="W24"/>
    </row>
    <row r="25" spans="1:23" ht="15" x14ac:dyDescent="0.25">
      <c r="A25" s="202" t="s">
        <v>137</v>
      </c>
      <c r="B25" s="175"/>
      <c r="C25" s="175"/>
      <c r="D25" s="175"/>
      <c r="E25" s="175"/>
      <c r="F25" s="175"/>
      <c r="G25" s="175"/>
      <c r="H25" s="175"/>
      <c r="I25" s="207">
        <f>1/I39</f>
        <v>1.3111845074319708</v>
      </c>
      <c r="J25" s="175"/>
      <c r="K25" s="186"/>
      <c r="L25" s="175"/>
      <c r="M25"/>
      <c r="N25"/>
      <c r="O25"/>
      <c r="P25"/>
      <c r="Q25"/>
      <c r="R25"/>
      <c r="S25"/>
      <c r="T25"/>
      <c r="U25"/>
      <c r="V25"/>
      <c r="W25"/>
    </row>
    <row r="26" spans="1:23" ht="15" x14ac:dyDescent="0.25">
      <c r="A26" s="175" t="s">
        <v>181</v>
      </c>
      <c r="B26" s="175"/>
      <c r="C26" s="175"/>
      <c r="D26" s="175"/>
      <c r="E26" s="175"/>
      <c r="F26" s="175"/>
      <c r="G26" s="175"/>
      <c r="H26" s="175"/>
      <c r="I26" s="179">
        <f>I16+I18</f>
        <v>4.9590000000000002E-2</v>
      </c>
      <c r="J26" s="175"/>
      <c r="K26" s="186"/>
      <c r="L26" s="175"/>
      <c r="M26"/>
      <c r="N26"/>
      <c r="O26"/>
      <c r="P26"/>
      <c r="Q26"/>
      <c r="R26"/>
      <c r="S26"/>
      <c r="T26"/>
      <c r="U26"/>
      <c r="V26"/>
      <c r="W26"/>
    </row>
    <row r="27" spans="1:23" ht="15" x14ac:dyDescent="0.25">
      <c r="A27" s="175" t="s">
        <v>136</v>
      </c>
      <c r="B27" s="175"/>
      <c r="C27" s="175"/>
      <c r="D27" s="175"/>
      <c r="E27" s="175"/>
      <c r="F27" s="175"/>
      <c r="G27" s="175"/>
      <c r="H27" s="175"/>
      <c r="I27" s="175">
        <f>I26*I25</f>
        <v>6.5021639723551433E-2</v>
      </c>
      <c r="J27" s="175"/>
      <c r="K27" s="186"/>
      <c r="L27" s="175"/>
      <c r="M27"/>
      <c r="N27"/>
      <c r="O27"/>
      <c r="P27"/>
      <c r="Q27"/>
      <c r="R27"/>
      <c r="S27"/>
      <c r="T27"/>
      <c r="U27"/>
      <c r="V27"/>
      <c r="W27"/>
    </row>
    <row r="28" spans="1:23" ht="15" x14ac:dyDescent="0.25">
      <c r="A28" s="175" t="s">
        <v>135</v>
      </c>
      <c r="B28" s="175"/>
      <c r="C28" s="175"/>
      <c r="D28" s="175"/>
      <c r="E28" s="175"/>
      <c r="F28" s="175"/>
      <c r="G28" s="175"/>
      <c r="H28" s="175"/>
      <c r="I28" s="176">
        <f>I12+I14</f>
        <v>2.0060000000000001E-2</v>
      </c>
      <c r="J28" s="175"/>
      <c r="K28" s="186"/>
      <c r="L28" s="175"/>
      <c r="M28"/>
      <c r="N28"/>
      <c r="O28"/>
      <c r="P28"/>
      <c r="Q28"/>
      <c r="R28"/>
      <c r="S28"/>
      <c r="T28"/>
      <c r="U28"/>
      <c r="V28"/>
      <c r="W28"/>
    </row>
    <row r="29" spans="1:23" ht="15" x14ac:dyDescent="0.25">
      <c r="A29" s="175"/>
      <c r="B29" s="175"/>
      <c r="C29" s="175"/>
      <c r="D29" s="175"/>
      <c r="E29" s="175"/>
      <c r="F29" s="175"/>
      <c r="G29" s="175"/>
      <c r="H29" s="175"/>
      <c r="I29" s="175"/>
      <c r="J29" s="175"/>
      <c r="K29" s="186"/>
      <c r="L29" s="175"/>
      <c r="M29"/>
      <c r="N29"/>
      <c r="O29"/>
      <c r="P29"/>
      <c r="Q29"/>
      <c r="R29"/>
      <c r="S29"/>
      <c r="T29"/>
      <c r="U29"/>
      <c r="V29"/>
      <c r="W29"/>
    </row>
    <row r="30" spans="1:23" ht="15.75" thickBot="1" x14ac:dyDescent="0.3">
      <c r="A30" s="175" t="s">
        <v>138</v>
      </c>
      <c r="B30" s="175"/>
      <c r="C30" s="175"/>
      <c r="D30" s="175"/>
      <c r="E30" s="175"/>
      <c r="F30" s="175"/>
      <c r="G30" s="175"/>
      <c r="H30" s="175"/>
      <c r="I30" s="180">
        <f>I27+I28</f>
        <v>8.5081639723551428E-2</v>
      </c>
      <c r="J30" s="181"/>
      <c r="K30" s="186"/>
      <c r="L30" s="175"/>
      <c r="M30"/>
      <c r="N30"/>
      <c r="O30"/>
      <c r="P30"/>
      <c r="Q30"/>
      <c r="R30"/>
      <c r="S30"/>
      <c r="T30"/>
      <c r="U30"/>
      <c r="V30"/>
      <c r="W30"/>
    </row>
    <row r="31" spans="1:23" ht="15.75" thickTop="1" x14ac:dyDescent="0.25">
      <c r="A31" s="175"/>
      <c r="B31" s="175"/>
      <c r="C31" s="175"/>
      <c r="D31" s="175"/>
      <c r="E31" s="175"/>
      <c r="F31" s="175"/>
      <c r="G31" s="175"/>
      <c r="H31" s="175"/>
      <c r="I31" s="175"/>
      <c r="J31" s="175"/>
      <c r="K31" s="186"/>
      <c r="L31" s="175"/>
      <c r="M31"/>
      <c r="N31"/>
      <c r="O31"/>
      <c r="P31"/>
      <c r="Q31"/>
      <c r="R31"/>
      <c r="S31"/>
      <c r="T31"/>
      <c r="U31"/>
      <c r="V31"/>
      <c r="W31"/>
    </row>
    <row r="32" spans="1:23" ht="15" x14ac:dyDescent="0.25">
      <c r="A32" s="175"/>
      <c r="B32" s="175"/>
      <c r="C32" s="175"/>
      <c r="D32" s="175"/>
      <c r="E32" s="175"/>
      <c r="F32" s="175"/>
      <c r="G32" s="175"/>
      <c r="H32" s="175"/>
      <c r="I32" s="175"/>
      <c r="J32" s="175"/>
      <c r="K32" s="186"/>
      <c r="L32" s="175"/>
      <c r="M32"/>
      <c r="N32"/>
      <c r="O32"/>
      <c r="P32"/>
      <c r="Q32"/>
      <c r="R32"/>
      <c r="S32"/>
      <c r="T32"/>
      <c r="U32"/>
      <c r="V32"/>
      <c r="W32"/>
    </row>
    <row r="33" spans="1:23" ht="15" x14ac:dyDescent="0.25">
      <c r="A33" s="202" t="s">
        <v>134</v>
      </c>
      <c r="B33" s="175"/>
      <c r="C33" s="175"/>
      <c r="D33" s="175"/>
      <c r="E33" s="175"/>
      <c r="F33" s="175"/>
      <c r="G33" s="175"/>
      <c r="H33" s="175"/>
      <c r="I33" s="175"/>
      <c r="J33" s="175"/>
      <c r="K33" s="186"/>
      <c r="L33" s="175"/>
      <c r="M33"/>
      <c r="N33"/>
      <c r="O33"/>
      <c r="P33"/>
      <c r="Q33"/>
      <c r="R33"/>
      <c r="S33"/>
      <c r="T33"/>
      <c r="U33"/>
      <c r="V33"/>
      <c r="W33"/>
    </row>
    <row r="34" spans="1:23" ht="15" x14ac:dyDescent="0.25">
      <c r="A34" s="202" t="s">
        <v>182</v>
      </c>
      <c r="B34" s="175"/>
      <c r="C34" s="175"/>
      <c r="D34" s="175"/>
      <c r="E34" s="175"/>
      <c r="F34" s="175"/>
      <c r="G34" s="175"/>
      <c r="H34" s="175"/>
      <c r="I34" s="182">
        <v>82409692.5</v>
      </c>
      <c r="J34" s="175"/>
      <c r="K34" s="186"/>
      <c r="L34" s="175"/>
      <c r="M34"/>
      <c r="N34"/>
      <c r="O34"/>
      <c r="P34"/>
      <c r="Q34"/>
      <c r="R34"/>
      <c r="S34"/>
      <c r="T34"/>
      <c r="U34"/>
      <c r="V34"/>
      <c r="W34"/>
    </row>
    <row r="35" spans="1:23" ht="15" x14ac:dyDescent="0.25">
      <c r="A35" s="202" t="s">
        <v>183</v>
      </c>
      <c r="B35" s="175"/>
      <c r="C35" s="175"/>
      <c r="D35" s="175"/>
      <c r="E35" s="175"/>
      <c r="F35" s="175"/>
      <c r="G35" s="175"/>
      <c r="H35" s="191" t="s">
        <v>184</v>
      </c>
      <c r="I35" s="183">
        <v>589415107.75053024</v>
      </c>
      <c r="J35" s="175"/>
      <c r="K35" s="186"/>
      <c r="L35" s="175"/>
      <c r="M35"/>
      <c r="N35"/>
      <c r="O35"/>
      <c r="P35"/>
      <c r="Q35"/>
      <c r="R35"/>
      <c r="S35"/>
      <c r="T35"/>
      <c r="U35"/>
      <c r="V35"/>
      <c r="W35"/>
    </row>
    <row r="36" spans="1:23" ht="15" x14ac:dyDescent="0.25">
      <c r="A36" s="202"/>
      <c r="B36" s="175"/>
      <c r="C36" s="175"/>
      <c r="D36" s="175"/>
      <c r="E36" s="175"/>
      <c r="F36" s="175"/>
      <c r="G36" s="175"/>
      <c r="H36" s="175"/>
      <c r="I36" s="182"/>
      <c r="J36" s="175"/>
      <c r="K36" s="186"/>
      <c r="L36" s="175"/>
      <c r="M36"/>
      <c r="N36"/>
      <c r="O36"/>
      <c r="P36"/>
      <c r="Q36"/>
      <c r="R36"/>
      <c r="S36"/>
      <c r="T36"/>
      <c r="U36"/>
      <c r="V36"/>
      <c r="W36"/>
    </row>
    <row r="37" spans="1:23" ht="15" x14ac:dyDescent="0.25">
      <c r="A37" s="202" t="s">
        <v>185</v>
      </c>
      <c r="B37" s="175"/>
      <c r="C37" s="175"/>
      <c r="D37" s="175"/>
      <c r="E37" s="175"/>
      <c r="F37" s="175"/>
      <c r="G37" s="175"/>
      <c r="H37" s="175"/>
      <c r="I37" s="184">
        <v>0.23733082999999999</v>
      </c>
      <c r="J37" s="175" t="s">
        <v>271</v>
      </c>
      <c r="K37" s="186"/>
      <c r="L37" s="175"/>
      <c r="M37"/>
      <c r="N37"/>
      <c r="O37"/>
      <c r="P37"/>
      <c r="Q37"/>
      <c r="R37"/>
      <c r="S37"/>
      <c r="T37"/>
      <c r="U37"/>
      <c r="V37"/>
      <c r="W37"/>
    </row>
    <row r="38" spans="1:23" ht="15" x14ac:dyDescent="0.25">
      <c r="A38" s="202"/>
      <c r="B38" s="175"/>
      <c r="C38" s="175"/>
      <c r="D38" s="175"/>
      <c r="E38" s="175"/>
      <c r="F38" s="175"/>
      <c r="G38" s="175"/>
      <c r="H38" s="175"/>
      <c r="I38" s="184"/>
      <c r="J38" s="175"/>
      <c r="K38" s="186"/>
      <c r="L38" s="175"/>
      <c r="M38"/>
      <c r="N38"/>
      <c r="O38"/>
      <c r="P38"/>
      <c r="Q38"/>
      <c r="R38"/>
      <c r="S38"/>
      <c r="T38"/>
      <c r="U38"/>
      <c r="V38"/>
      <c r="W38"/>
    </row>
    <row r="39" spans="1:23" ht="15" x14ac:dyDescent="0.25">
      <c r="A39" s="202" t="s">
        <v>133</v>
      </c>
      <c r="B39" s="175"/>
      <c r="C39" s="175"/>
      <c r="D39" s="175"/>
      <c r="E39" s="175"/>
      <c r="F39" s="175"/>
      <c r="G39" s="175"/>
      <c r="H39" s="175"/>
      <c r="I39" s="176">
        <f>1-I37</f>
        <v>0.76266917000000001</v>
      </c>
      <c r="J39" s="175"/>
      <c r="K39" s="186"/>
      <c r="L39" s="186"/>
    </row>
    <row r="40" spans="1:23" ht="15" x14ac:dyDescent="0.25">
      <c r="A40" s="175"/>
      <c r="B40" s="175"/>
      <c r="C40" s="175"/>
      <c r="D40" s="175"/>
      <c r="E40" s="175"/>
      <c r="F40" s="175"/>
      <c r="G40" s="175"/>
      <c r="H40" s="175"/>
      <c r="I40" s="175"/>
      <c r="J40" s="175"/>
      <c r="K40" s="186"/>
      <c r="L40" s="186"/>
    </row>
    <row r="41" spans="1:23" ht="15" x14ac:dyDescent="0.25">
      <c r="A41" s="175"/>
      <c r="B41" s="175"/>
      <c r="C41" s="175"/>
      <c r="D41" s="175"/>
      <c r="E41" s="175"/>
      <c r="F41" s="175"/>
      <c r="G41" s="175"/>
      <c r="H41" s="175"/>
      <c r="I41" s="175"/>
      <c r="J41" s="175"/>
      <c r="K41" s="186"/>
      <c r="L41" s="186"/>
    </row>
    <row r="42" spans="1:23" ht="15" x14ac:dyDescent="0.25">
      <c r="A42" s="208"/>
      <c r="B42" s="208"/>
      <c r="C42" s="208"/>
      <c r="D42" s="186"/>
      <c r="E42" s="186"/>
      <c r="F42" s="186"/>
      <c r="G42" s="186"/>
      <c r="H42" s="186"/>
      <c r="I42" s="186"/>
      <c r="J42" s="186"/>
      <c r="K42" s="186"/>
      <c r="L42" s="186"/>
    </row>
    <row r="43" spans="1:23" ht="15" x14ac:dyDescent="0.25">
      <c r="A43" s="209"/>
      <c r="B43" s="186"/>
      <c r="C43" s="186"/>
      <c r="D43" s="186"/>
      <c r="E43" s="186"/>
      <c r="F43" s="186"/>
      <c r="G43" s="186"/>
      <c r="H43" s="186"/>
      <c r="I43" s="186"/>
      <c r="J43" s="186"/>
      <c r="K43" s="186"/>
      <c r="L43" s="186"/>
    </row>
    <row r="44" spans="1:23" ht="15" x14ac:dyDescent="0.25">
      <c r="A44" s="186"/>
      <c r="B44" s="186"/>
      <c r="C44" s="186"/>
      <c r="D44" s="186"/>
      <c r="E44" s="186"/>
      <c r="F44" s="186"/>
      <c r="G44" s="186"/>
      <c r="H44" s="186"/>
      <c r="I44" s="186"/>
      <c r="J44" s="186"/>
      <c r="K44" s="186"/>
      <c r="L44" s="186"/>
    </row>
  </sheetData>
  <printOptions horizontalCentered="1"/>
  <pageMargins left="0.75" right="0.75" top="1" bottom="1" header="0.5" footer="0.5"/>
  <pageSetup scale="47" orientation="landscape" r:id="rId1"/>
  <headerFooter alignWithMargins="0">
    <oddFooter>&amp;CSchedule RL-1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12</vt:i4>
      </vt:variant>
    </vt:vector>
  </HeadingPairs>
  <TitlesOfParts>
    <vt:vector size="35" baseType="lpstr">
      <vt:lpstr>Monthly Cost Tracker 5</vt:lpstr>
      <vt:lpstr>Monthly Cost Tracker 6</vt:lpstr>
      <vt:lpstr>Monthly Cost Tracker 7</vt:lpstr>
      <vt:lpstr>True-Up</vt:lpstr>
      <vt:lpstr>Rate Schedule</vt:lpstr>
      <vt:lpstr>RRR</vt:lpstr>
      <vt:lpstr>ER-2024-0319</vt:lpstr>
      <vt:lpstr>SRP</vt:lpstr>
      <vt:lpstr>WACC_thru May 31</vt:lpstr>
      <vt:lpstr>WACC_beg Jun 1</vt:lpstr>
      <vt:lpstr>Rate Base</vt:lpstr>
      <vt:lpstr>Aug 24 Int</vt:lpstr>
      <vt:lpstr>Sept 24 Int</vt:lpstr>
      <vt:lpstr>Oct 24 Int</vt:lpstr>
      <vt:lpstr>Nov 24 Int</vt:lpstr>
      <vt:lpstr>Dec 24 Int</vt:lpstr>
      <vt:lpstr>Jan 25 Int</vt:lpstr>
      <vt:lpstr>Feb 25 Int</vt:lpstr>
      <vt:lpstr>Mar 25 Int</vt:lpstr>
      <vt:lpstr>Apr 25 Int</vt:lpstr>
      <vt:lpstr>May 25 Int</vt:lpstr>
      <vt:lpstr>Jun 25 Int</vt:lpstr>
      <vt:lpstr>Jul 25 Int</vt:lpstr>
      <vt:lpstr>'Apr 25 Int'!Print_Area</vt:lpstr>
      <vt:lpstr>'Aug 24 Int'!Print_Area</vt:lpstr>
      <vt:lpstr>'Dec 24 Int'!Print_Area</vt:lpstr>
      <vt:lpstr>'Feb 25 Int'!Print_Area</vt:lpstr>
      <vt:lpstr>'Jan 25 Int'!Print_Area</vt:lpstr>
      <vt:lpstr>'Jul 25 Int'!Print_Area</vt:lpstr>
      <vt:lpstr>'Jun 25 Int'!Print_Area</vt:lpstr>
      <vt:lpstr>'Mar 25 Int'!Print_Area</vt:lpstr>
      <vt:lpstr>'May 25 Int'!Print_Area</vt:lpstr>
      <vt:lpstr>'Oct 24 Int'!Print_Area</vt:lpstr>
      <vt:lpstr>'Rate Schedule'!Print_Area</vt:lpstr>
      <vt:lpstr>'Sept 24 Int'!Print_Area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Filley, Kimberly S</cp:lastModifiedBy>
  <cp:lastPrinted>2025-09-12T17:38:31Z</cp:lastPrinted>
  <dcterms:created xsi:type="dcterms:W3CDTF">2019-08-15T19:17:26Z</dcterms:created>
  <dcterms:modified xsi:type="dcterms:W3CDTF">2025-09-15T19:13:13Z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