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D59E82F7-53B3-4CDB-994D-163E9811F15E}" xr6:coauthVersionLast="47" xr6:coauthVersionMax="47" xr10:uidLastSave="{00000000-0000-0000-0000-000000000000}"/>
  <bookViews>
    <workbookView xWindow="-289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Monthly Cost Tracker AP8" sheetId="17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7" l="1"/>
  <c r="C26" i="17"/>
  <c r="C20" i="17"/>
  <c r="C4" i="17"/>
  <c r="D11" i="6"/>
  <c r="C27" i="17" l="1"/>
  <c r="C30" i="17" s="1"/>
  <c r="C32" i="17" s="1"/>
  <c r="C29" i="16" l="1"/>
  <c r="C26" i="16" l="1"/>
  <c r="C26" i="15" l="1"/>
  <c r="C4" i="16"/>
  <c r="A5" i="5" l="1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<sst xmlns="http://schemas.openxmlformats.org/spreadsheetml/2006/main" count="186" uniqueCount="88">
  <si>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</si>
  <si>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</si>
  <si>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</si>
  <si>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</si>
  <si>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</si>
  <si>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</si>
  <si>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</si>
  <si>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</si>
  <si>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</si>
  <si>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</si>
  <si>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</si>
  <si>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</si>
  <si>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</si>
  <si>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</si>
  <si>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</si>
  <si>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</si>
  <si>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</si>
  <si>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</si>
  <si>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</si>
  <si>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</si>
  <si>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</si>
  <si>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</si>
  <si>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</si>
  <si>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</si>
  <si>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</si>
  <si>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</si>
  <si>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</si>
  <si>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</si>
  <si>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</si>
  <si>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</si>
  <si>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</si>
  <si>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</si>
  <si>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</si>
  <si>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</si>
  <si>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</si>
  <si>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</si>
  <si>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</si>
  <si>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</si>
  <si>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</si>
  <si>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</si>
  <si>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</si>
  <si>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</si>
  <si>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</si>
  <si>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</si>
  <si>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</si>
  <si>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</si>
  <si>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</si>
  <si>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</si>
  <si>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</si>
  <si>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</si>
  <si>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</si>
  <si>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</si>
  <si>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</si>
  <si>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6</t>
  </si>
  <si>
    <t>RESRAM Amt in Base Rates/Test Year kWh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</si>
  <si>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</si>
  <si>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</si>
  <si>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</si>
  <si>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</si>
  <si>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</si>
  <si>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</si>
  <si>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</si>
  <si>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</si>
  <si>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</si>
  <si>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</si>
  <si>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</si>
  <si>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</si>
  <si>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</si>
  <si>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</si>
  <si>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</si>
  <si>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</si>
  <si>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</si>
  <si>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</si>
  <si>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</si>
  <si>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</si>
  <si>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</si>
  <si>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</si>
  <si>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</si>
  <si>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</si>
  <si>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</si>
  <si>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</si>
  <si>
    <t>Wind REC Costs - 5553RW/557RWD</t>
  </si>
  <si>
    <t>Solar REC Costs - 5553RC/557RCS</t>
  </si>
  <si>
    <t>Biomass REC Costs - 5553RB/557RBM</t>
  </si>
  <si>
    <t>Hydro REC Costs - 5553RH/557RH2</t>
  </si>
  <si>
    <t>Non Customer Solar REC Costs - 5553RP/557RPS</t>
  </si>
  <si>
    <t>Solar Rebate Processing Costs - 557SRP</t>
  </si>
  <si>
    <t>Accumulation Period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</si>
</sst>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  <xf numFmtId="169" fontId="0" fillId="0" borderId="0" xfId="4" applyNumberFormat="1" applyFont="1" applyFill="1"/>
    <xf numFmtId="169" fontId="0" fillId="0" borderId="4" xfId="0" applyNumberFormat="1" applyFill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activeCell="F11" sqref="F11"/>
      <selection pane="bottomLeft" activeCell="H10" sqref="H10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45930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57</v>
      </c>
      <c r="B6" s="6"/>
      <c r="C6" s="40"/>
      <c r="D6" s="56"/>
      <c r="E6" s="57"/>
    </row>
    <row r="7" spans="1:13" x14ac:dyDescent="0.25">
      <c r="A7" s="5" t="s">
        <v>58</v>
      </c>
      <c r="B7" s="6"/>
      <c r="C7" s="40"/>
      <c r="D7" s="56"/>
      <c r="E7" s="57"/>
    </row>
    <row r="8" spans="1:13" x14ac:dyDescent="0.25">
      <c r="A8" s="5" t="s">
        <v>56</v>
      </c>
      <c r="B8" s="6"/>
      <c r="C8" s="40"/>
      <c r="D8" s="56"/>
      <c r="E8" s="57"/>
    </row>
    <row r="9" spans="1:13" x14ac:dyDescent="0.25">
      <c r="A9" s="5" t="s">
        <v>59</v>
      </c>
      <c r="B9" s="6"/>
      <c r="C9" s="40"/>
      <c r="D9" s="56"/>
      <c r="E9" s="57"/>
    </row>
    <row r="10" spans="1:13" x14ac:dyDescent="0.25">
      <c r="A10" s="5" t="s">
        <v>55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-3694536.44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4">
        <f>SUM(C22:C25)</f>
        <v>-3694536.44</v>
      </c>
    </row>
    <row r="27" spans="1:6" ht="15.75" thickBot="1" x14ac:dyDescent="0.3">
      <c r="A27" s="12" t="s">
        <v>7</v>
      </c>
      <c r="B27" s="22"/>
      <c r="C27" s="66">
        <f>SUM(C26)+C20</f>
        <v>-3694536.44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3.6723124999999994E-3</v>
      </c>
    </row>
    <row r="30" spans="1:6" x14ac:dyDescent="0.25">
      <c r="A30" s="15" t="s">
        <v>9</v>
      </c>
      <c r="B30" s="43"/>
      <c r="C30" s="43">
        <f>(C27+B34)*C29</f>
        <v>42445.842911309483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6">
        <v>15252878.196402673</v>
      </c>
      <c r="C34" s="66">
        <f>C27+C30+B34+C32</f>
        <v>11600787.599313982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activeCell="F11" sqref="F11"/>
      <selection pane="bottomLeft" activeCell="F11" sqref="F11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64</v>
      </c>
    </row>
    <row r="4" spans="1:13" x14ac:dyDescent="0.25">
      <c r="A4" s="1"/>
      <c r="B4" s="2" t="s">
        <v>21</v>
      </c>
      <c r="C4" s="2">
        <f>'Monthly Cost Tracker AP6'!C4</f>
        <v>45930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65</v>
      </c>
      <c r="B6" s="6"/>
      <c r="C6" s="40"/>
      <c r="D6" s="56"/>
      <c r="E6" s="57"/>
    </row>
    <row r="7" spans="1:13" x14ac:dyDescent="0.25">
      <c r="A7" s="5" t="s">
        <v>66</v>
      </c>
      <c r="B7" s="6"/>
      <c r="C7" s="40"/>
      <c r="D7" s="56"/>
      <c r="E7" s="57"/>
    </row>
    <row r="8" spans="1:13" x14ac:dyDescent="0.25">
      <c r="A8" s="5" t="s">
        <v>67</v>
      </c>
      <c r="B8" s="6"/>
      <c r="C8" s="40"/>
      <c r="D8" s="56"/>
      <c r="E8" s="57"/>
    </row>
    <row r="9" spans="1:13" x14ac:dyDescent="0.25">
      <c r="A9" s="5" t="s">
        <v>68</v>
      </c>
      <c r="B9" s="6"/>
      <c r="C9" s="40"/>
      <c r="D9" s="56"/>
      <c r="E9" s="57"/>
    </row>
    <row r="10" spans="1:13" x14ac:dyDescent="0.25">
      <c r="A10" s="5" t="s">
        <v>69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/>
    </row>
    <row r="25" spans="1:6" x14ac:dyDescent="0.25">
      <c r="A25" s="5" t="s">
        <v>24</v>
      </c>
      <c r="B25" s="21"/>
      <c r="C25" s="40"/>
    </row>
    <row r="26" spans="1:6" x14ac:dyDescent="0.25">
      <c r="A26" s="3" t="s">
        <v>25</v>
      </c>
      <c r="B26" s="6"/>
      <c r="C26" s="64">
        <f>C24+C25</f>
        <v>0</v>
      </c>
    </row>
    <row r="27" spans="1:6" ht="15.75" thickBot="1" x14ac:dyDescent="0.3">
      <c r="A27" s="12" t="s">
        <v>7</v>
      </c>
      <c r="B27" s="22"/>
      <c r="C27" s="66">
        <f>-C26+C20</f>
        <v>0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3.6723124999999994E-3</v>
      </c>
    </row>
    <row r="30" spans="1:6" x14ac:dyDescent="0.25">
      <c r="A30" s="15" t="s">
        <v>9</v>
      </c>
      <c r="B30" s="43"/>
      <c r="C30" s="43">
        <f>(C27+B32)*C29</f>
        <v>46128.892397346288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12561265.523385141</v>
      </c>
      <c r="C32" s="66">
        <f>C27+C30+B32</f>
        <v>12607394.415782487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E4-66FF-4B86-849F-9BD87E072DDB}">
  <sheetPr>
    <pageSetUpPr fitToPage="1"/>
  </sheetPr>
  <dimension ref="A1:M32"/>
  <sheetViews>
    <sheetView zoomScaleNormal="100" workbookViewId="0">
      <pane ySplit="4" topLeftCell="A5" activePane="bottomLeft" state="frozen"/>
      <selection activeCell="F11" sqref="F11"/>
      <selection pane="bottomLeft" activeCell="F11" sqref="F11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87</v>
      </c>
    </row>
    <row r="4" spans="1:13" x14ac:dyDescent="0.25">
      <c r="A4" s="1"/>
      <c r="B4" s="2" t="s">
        <v>21</v>
      </c>
      <c r="C4" s="2">
        <f>'Monthly Cost Tracker AP6'!C4</f>
        <v>45930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81</v>
      </c>
      <c r="B6" s="6"/>
      <c r="C6" s="40">
        <v>81405.02</v>
      </c>
      <c r="D6" s="56"/>
      <c r="E6" s="57"/>
    </row>
    <row r="7" spans="1:13" x14ac:dyDescent="0.25">
      <c r="A7" s="5" t="s">
        <v>82</v>
      </c>
      <c r="B7" s="6"/>
      <c r="C7" s="40">
        <v>5315.05</v>
      </c>
      <c r="D7" s="56"/>
      <c r="E7" s="57"/>
    </row>
    <row r="8" spans="1:13" x14ac:dyDescent="0.25">
      <c r="A8" s="5" t="s">
        <v>83</v>
      </c>
      <c r="B8" s="6"/>
      <c r="C8" s="40">
        <v>0</v>
      </c>
      <c r="D8" s="56"/>
      <c r="E8" s="57"/>
    </row>
    <row r="9" spans="1:13" x14ac:dyDescent="0.25">
      <c r="A9" s="5" t="s">
        <v>84</v>
      </c>
      <c r="B9" s="6"/>
      <c r="C9" s="40">
        <v>0</v>
      </c>
      <c r="D9" s="56"/>
      <c r="E9" s="57"/>
    </row>
    <row r="10" spans="1:13" x14ac:dyDescent="0.25">
      <c r="A10" s="5" t="s">
        <v>85</v>
      </c>
      <c r="B10" s="6"/>
      <c r="C10" s="40">
        <v>0</v>
      </c>
      <c r="D10" s="56"/>
      <c r="E10" s="57"/>
    </row>
    <row r="11" spans="1:13" x14ac:dyDescent="0.25">
      <c r="A11" s="5" t="s">
        <v>86</v>
      </c>
      <c r="B11" s="6"/>
      <c r="C11" s="40">
        <v>0</v>
      </c>
      <c r="D11" s="56"/>
      <c r="E11" s="57"/>
    </row>
    <row r="12" spans="1:13" x14ac:dyDescent="0.25">
      <c r="A12" s="5" t="s">
        <v>61</v>
      </c>
      <c r="B12" s="7"/>
      <c r="C12" s="40">
        <v>0</v>
      </c>
      <c r="D12" s="56"/>
      <c r="E12" s="57"/>
      <c r="F12" s="58"/>
    </row>
    <row r="13" spans="1:13" x14ac:dyDescent="0.25">
      <c r="A13" s="5" t="s">
        <v>62</v>
      </c>
      <c r="B13" s="6"/>
      <c r="C13" s="40">
        <v>-10821619.97379142</v>
      </c>
      <c r="D13" s="56"/>
      <c r="E13" s="57"/>
      <c r="F13" s="58"/>
    </row>
    <row r="14" spans="1:13" x14ac:dyDescent="0.25">
      <c r="A14" s="5" t="s">
        <v>63</v>
      </c>
      <c r="B14" s="6"/>
      <c r="C14" s="40">
        <v>-1377950.7600000203</v>
      </c>
      <c r="D14" s="56"/>
      <c r="E14" s="57"/>
      <c r="F14" s="58"/>
    </row>
    <row r="15" spans="1:13" x14ac:dyDescent="0.25">
      <c r="A15" s="5" t="s">
        <v>2</v>
      </c>
      <c r="B15" s="6"/>
      <c r="C15" s="40">
        <v>8499539.2549342569</v>
      </c>
      <c r="D15" s="56"/>
      <c r="E15" s="57"/>
      <c r="F15" s="58"/>
    </row>
    <row r="16" spans="1:13" x14ac:dyDescent="0.25">
      <c r="A16" s="5" t="s">
        <v>3</v>
      </c>
      <c r="B16" s="6"/>
      <c r="C16" s="40">
        <v>4554646.6140330834</v>
      </c>
      <c r="D16" s="56"/>
      <c r="E16" s="57"/>
      <c r="F16" s="58"/>
    </row>
    <row r="17" spans="1:6" x14ac:dyDescent="0.25">
      <c r="A17" s="5" t="s">
        <v>4</v>
      </c>
      <c r="B17" s="6"/>
      <c r="C17" s="40">
        <v>1689448.35</v>
      </c>
      <c r="D17" s="56"/>
      <c r="E17" s="57"/>
      <c r="F17" s="58"/>
    </row>
    <row r="18" spans="1:6" x14ac:dyDescent="0.25">
      <c r="A18" s="5" t="s">
        <v>49</v>
      </c>
      <c r="B18" s="6"/>
      <c r="C18" s="40">
        <v>216148.43000000002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3638598.6518425667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0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4">
        <f>C24+C25</f>
        <v>198408.62274531857</v>
      </c>
    </row>
    <row r="27" spans="1:6" ht="15.75" thickBot="1" x14ac:dyDescent="0.3">
      <c r="A27" s="12" t="s">
        <v>7</v>
      </c>
      <c r="B27" s="22"/>
      <c r="C27" s="66">
        <f>-C26+C20</f>
        <v>3440190.0290972479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3.6723124999999994E-3</v>
      </c>
    </row>
    <row r="30" spans="1:6" x14ac:dyDescent="0.25">
      <c r="A30" s="15" t="s">
        <v>9</v>
      </c>
      <c r="B30" s="43"/>
      <c r="C30" s="43">
        <f>(C27+B32)*C29</f>
        <v>-15926.180835968738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-7777016.1668425351</v>
      </c>
      <c r="C32" s="66">
        <f>C27+C30+B32</f>
        <v>-4352752.3185812561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F11" sqref="F11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3">
        <f>'Monthly Cost Tracker AP6'!C4</f>
        <v>45930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1548759.1700000002</v>
      </c>
    </row>
    <row r="10" spans="1:4" x14ac:dyDescent="0.25">
      <c r="A10" s="35" t="s">
        <v>31</v>
      </c>
      <c r="B10" s="27" t="s">
        <v>30</v>
      </c>
      <c r="C10" s="36">
        <v>389421.36</v>
      </c>
      <c r="D10" s="8"/>
    </row>
    <row r="11" spans="1:4" x14ac:dyDescent="0.25">
      <c r="A11" s="35" t="s">
        <v>32</v>
      </c>
      <c r="B11" s="27" t="s">
        <v>30</v>
      </c>
      <c r="C11" s="36">
        <v>868729.19</v>
      </c>
      <c r="D11" s="8"/>
    </row>
    <row r="12" spans="1:4" x14ac:dyDescent="0.25">
      <c r="A12" s="35" t="s">
        <v>33</v>
      </c>
      <c r="B12" s="27" t="s">
        <v>34</v>
      </c>
      <c r="C12" s="36">
        <v>414134.56</v>
      </c>
      <c r="D12" s="8"/>
    </row>
    <row r="13" spans="1:4" x14ac:dyDescent="0.25">
      <c r="A13" s="35" t="s">
        <v>35</v>
      </c>
      <c r="B13" s="27" t="s">
        <v>30</v>
      </c>
      <c r="C13" s="36">
        <v>11519.49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18685.66</v>
      </c>
      <c r="D15" s="25"/>
    </row>
    <row r="16" spans="1:4" x14ac:dyDescent="0.25">
      <c r="A16" s="37" t="s">
        <v>38</v>
      </c>
      <c r="B16" s="27" t="s">
        <v>34</v>
      </c>
      <c r="C16" s="36">
        <v>236545.36</v>
      </c>
      <c r="D16" s="25"/>
    </row>
    <row r="17" spans="1:4" x14ac:dyDescent="0.25">
      <c r="A17" s="37" t="s">
        <v>39</v>
      </c>
      <c r="B17" s="27" t="s">
        <v>34</v>
      </c>
      <c r="C17" s="36">
        <v>206741.65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3694536.4400000004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I20" sqref="I20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45930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Sep-2025 kWh</v>
      </c>
      <c r="D10" s="59" t="s">
        <v>54</v>
      </c>
      <c r="E10" s="59" t="s">
        <v>51</v>
      </c>
    </row>
    <row r="11" spans="1:5" x14ac:dyDescent="0.25">
      <c r="A11" s="35" t="s">
        <v>29</v>
      </c>
      <c r="B11" s="27" t="s">
        <v>30</v>
      </c>
      <c r="C11" s="69">
        <v>1017040300.6298238</v>
      </c>
      <c r="D11" s="62">
        <f>($E$38/$E$57)</f>
        <v>7.6966043691179155E-5</v>
      </c>
      <c r="E11" s="49">
        <f>C11*D11</f>
        <v>78277.568213965002</v>
      </c>
    </row>
    <row r="12" spans="1:5" x14ac:dyDescent="0.25">
      <c r="A12" s="35" t="s">
        <v>31</v>
      </c>
      <c r="B12" s="27" t="s">
        <v>30</v>
      </c>
      <c r="C12" s="69">
        <v>276085136.14087784</v>
      </c>
      <c r="D12" s="62">
        <f>($E$38/$E$57)</f>
        <v>7.6966043691179155E-5</v>
      </c>
      <c r="E12" s="49">
        <f>C12*D12</f>
        <v>21249.180650703951</v>
      </c>
    </row>
    <row r="13" spans="1:5" x14ac:dyDescent="0.25">
      <c r="A13" s="35" t="s">
        <v>32</v>
      </c>
      <c r="B13" s="27" t="s">
        <v>30</v>
      </c>
      <c r="C13" s="69">
        <v>626236731.4093312</v>
      </c>
      <c r="D13" s="62">
        <f>($E$38/$E$57)</f>
        <v>7.6966043691179155E-5</v>
      </c>
      <c r="E13" s="49">
        <f t="shared" ref="E13:E19" si="0">C13*D13</f>
        <v>48198.963630671809</v>
      </c>
    </row>
    <row r="14" spans="1:5" x14ac:dyDescent="0.25">
      <c r="A14" s="35" t="s">
        <v>33</v>
      </c>
      <c r="B14" s="27" t="s">
        <v>34</v>
      </c>
      <c r="C14" s="69">
        <v>300110309.08247238</v>
      </c>
      <c r="D14" s="62">
        <f>($E$38/$E$57)</f>
        <v>7.6966043691179155E-5</v>
      </c>
      <c r="E14" s="49">
        <f t="shared" si="0"/>
        <v>23098.30316101485</v>
      </c>
    </row>
    <row r="15" spans="1:5" x14ac:dyDescent="0.25">
      <c r="A15" s="35" t="s">
        <v>35</v>
      </c>
      <c r="B15" s="27" t="s">
        <v>30</v>
      </c>
      <c r="C15" s="69">
        <v>9180690.0151580274</v>
      </c>
      <c r="D15" s="62">
        <f>($E$38/$E$57)</f>
        <v>7.6966043691179155E-5</v>
      </c>
      <c r="E15" s="49">
        <f t="shared" si="0"/>
        <v>706.60138882182491</v>
      </c>
    </row>
    <row r="16" spans="1:5" x14ac:dyDescent="0.25">
      <c r="A16" s="35" t="s">
        <v>36</v>
      </c>
      <c r="B16" s="27"/>
      <c r="C16" s="69"/>
      <c r="D16" s="62"/>
      <c r="E16" s="49"/>
    </row>
    <row r="17" spans="1:5" x14ac:dyDescent="0.25">
      <c r="A17" s="37" t="s">
        <v>37</v>
      </c>
      <c r="B17" s="27" t="s">
        <v>34</v>
      </c>
      <c r="C17" s="69">
        <v>13497699.255087031</v>
      </c>
      <c r="D17" s="62">
        <f>($E$38/$E$57)</f>
        <v>7.6966043691179155E-5</v>
      </c>
      <c r="E17" s="49">
        <f t="shared" si="0"/>
        <v>1038.8645105974247</v>
      </c>
    </row>
    <row r="18" spans="1:5" x14ac:dyDescent="0.25">
      <c r="A18" s="37" t="s">
        <v>38</v>
      </c>
      <c r="B18" s="27" t="s">
        <v>34</v>
      </c>
      <c r="C18" s="69">
        <v>170869869.14055201</v>
      </c>
      <c r="D18" s="62">
        <f>($E$38/$E$57)</f>
        <v>7.6966043691179155E-5</v>
      </c>
      <c r="E18" s="49">
        <f t="shared" si="0"/>
        <v>13151.177813777791</v>
      </c>
    </row>
    <row r="19" spans="1:5" x14ac:dyDescent="0.25">
      <c r="A19" s="37" t="s">
        <v>39</v>
      </c>
      <c r="B19" s="27" t="s">
        <v>34</v>
      </c>
      <c r="C19" s="69">
        <v>149340995.32669762</v>
      </c>
      <c r="D19" s="62">
        <f>($E$38/$E$57)</f>
        <v>7.6966043691179155E-5</v>
      </c>
      <c r="E19" s="49">
        <f t="shared" si="0"/>
        <v>11494.18557119879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2562361731</v>
      </c>
      <c r="D21" s="51"/>
      <c r="E21" s="51">
        <f t="shared" ref="E21" si="1">SUM(E11:E20)</f>
        <v>197214.84494075144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71</v>
      </c>
      <c r="B30" s="52"/>
      <c r="C30" s="52"/>
      <c r="D30" s="52"/>
      <c r="E30" s="52"/>
    </row>
    <row r="38" spans="1:7" x14ac:dyDescent="0.25">
      <c r="E38" s="56">
        <v>2380903</v>
      </c>
      <c r="G38" s="8"/>
    </row>
    <row r="40" spans="1:7" x14ac:dyDescent="0.25">
      <c r="A40" s="52" t="s">
        <v>70</v>
      </c>
      <c r="B40" s="52"/>
      <c r="C40" s="52"/>
      <c r="D40" s="52"/>
      <c r="E40" s="52"/>
    </row>
    <row r="50" spans="5:6" x14ac:dyDescent="0.25">
      <c r="E50" s="70">
        <v>13282878801</v>
      </c>
      <c r="F50" s="67" t="s">
        <v>72</v>
      </c>
    </row>
    <row r="51" spans="5:6" x14ac:dyDescent="0.25">
      <c r="E51" s="70">
        <v>3231277025</v>
      </c>
      <c r="F51" s="67" t="s">
        <v>73</v>
      </c>
    </row>
    <row r="52" spans="5:6" x14ac:dyDescent="0.25">
      <c r="E52" s="70">
        <v>7212371801</v>
      </c>
      <c r="F52" s="67" t="s">
        <v>74</v>
      </c>
    </row>
    <row r="53" spans="5:6" x14ac:dyDescent="0.25">
      <c r="E53" s="70">
        <v>3399414455</v>
      </c>
      <c r="F53" s="67" t="s">
        <v>75</v>
      </c>
    </row>
    <row r="54" spans="5:6" x14ac:dyDescent="0.25">
      <c r="E54" s="70">
        <v>3684171231</v>
      </c>
      <c r="F54" s="67" t="s">
        <v>76</v>
      </c>
    </row>
    <row r="55" spans="5:6" x14ac:dyDescent="0.25">
      <c r="E55" s="70">
        <v>79712880</v>
      </c>
      <c r="F55" s="67" t="s">
        <v>77</v>
      </c>
    </row>
    <row r="56" spans="5:6" x14ac:dyDescent="0.25">
      <c r="E56" s="70">
        <v>44633808</v>
      </c>
      <c r="F56" s="67" t="s">
        <v>78</v>
      </c>
    </row>
    <row r="57" spans="5:6" ht="15.75" thickBot="1" x14ac:dyDescent="0.3">
      <c r="E57" s="71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A2" sqref="A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45930</v>
      </c>
    </row>
    <row r="6" spans="1:8" x14ac:dyDescent="0.25">
      <c r="A6" s="17"/>
      <c r="B6" s="16"/>
      <c r="D6" s="8"/>
    </row>
    <row r="7" spans="1:8" ht="15" customHeight="1" x14ac:dyDescent="0.25">
      <c r="A7" t="s">
        <v>79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D7" sqref="D7:E7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45930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80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1548759.1700000002</v>
      </c>
      <c r="D8" s="39">
        <v>887947000</v>
      </c>
      <c r="E8" s="68">
        <v>1.3255806890709791E-3</v>
      </c>
      <c r="F8" s="36">
        <f>D8*E8</f>
        <v>1177045.3961185087</v>
      </c>
      <c r="G8" s="36">
        <f>F8-C8</f>
        <v>-371713.77388149151</v>
      </c>
    </row>
    <row r="9" spans="1:7" x14ac:dyDescent="0.25">
      <c r="A9" s="27" t="s">
        <v>31</v>
      </c>
      <c r="B9" s="27" t="s">
        <v>30</v>
      </c>
      <c r="C9" s="36">
        <f>'18A'!C10</f>
        <v>389421.36</v>
      </c>
      <c r="D9" s="39">
        <v>241448009.99999997</v>
      </c>
      <c r="E9" s="68">
        <v>1.3255806890709791E-3</v>
      </c>
      <c r="F9" s="36">
        <f t="shared" ref="F9:F16" si="0">D9*E9</f>
        <v>320058.81947061664</v>
      </c>
      <c r="G9" s="36">
        <f t="shared" ref="G9:G16" si="1">F9-C9</f>
        <v>-69362.540529383346</v>
      </c>
    </row>
    <row r="10" spans="1:7" x14ac:dyDescent="0.25">
      <c r="A10" s="27" t="s">
        <v>32</v>
      </c>
      <c r="B10" s="27" t="s">
        <v>30</v>
      </c>
      <c r="C10" s="36">
        <f>'18A'!C11</f>
        <v>868729.19</v>
      </c>
      <c r="D10" s="39">
        <v>599831720</v>
      </c>
      <c r="E10" s="68">
        <v>1.3255806890709791E-3</v>
      </c>
      <c r="F10" s="36">
        <f t="shared" si="0"/>
        <v>795125.34472423058</v>
      </c>
      <c r="G10" s="36">
        <f t="shared" si="1"/>
        <v>-73603.845275769359</v>
      </c>
    </row>
    <row r="11" spans="1:7" x14ac:dyDescent="0.25">
      <c r="A11" s="27" t="s">
        <v>33</v>
      </c>
      <c r="B11" s="27" t="s">
        <v>34</v>
      </c>
      <c r="C11" s="36">
        <f>'18A'!C12</f>
        <v>414134.56</v>
      </c>
      <c r="D11" s="39">
        <v>303325250</v>
      </c>
      <c r="E11" s="68">
        <v>1.3255806890709791E-3</v>
      </c>
      <c r="F11" s="36">
        <f t="shared" si="0"/>
        <v>402082.09390762699</v>
      </c>
      <c r="G11" s="36">
        <f t="shared" si="1"/>
        <v>-12052.466092373012</v>
      </c>
    </row>
    <row r="12" spans="1:7" x14ac:dyDescent="0.25">
      <c r="A12" s="27" t="s">
        <v>42</v>
      </c>
      <c r="B12" s="27" t="s">
        <v>30</v>
      </c>
      <c r="C12" s="36">
        <f>'18A'!C13</f>
        <v>11519.49</v>
      </c>
      <c r="D12" s="39">
        <v>10989452.960000003</v>
      </c>
      <c r="E12" s="68">
        <v>1.3255806890709791E-3</v>
      </c>
      <c r="F12" s="36">
        <f t="shared" si="0"/>
        <v>14567.406627229915</v>
      </c>
      <c r="G12" s="36">
        <f t="shared" si="1"/>
        <v>3047.9166272299153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18685.66</v>
      </c>
      <c r="D14" s="39">
        <v>15276054.27456115</v>
      </c>
      <c r="E14" s="68">
        <v>1.3255806890709791E-3</v>
      </c>
      <c r="F14" s="36">
        <f t="shared" si="0"/>
        <v>20249.642551558445</v>
      </c>
      <c r="G14" s="36">
        <f t="shared" si="1"/>
        <v>1563.9825515584453</v>
      </c>
    </row>
    <row r="15" spans="1:7" x14ac:dyDescent="0.25">
      <c r="A15" s="28" t="s">
        <v>38</v>
      </c>
      <c r="B15" s="27" t="s">
        <v>34</v>
      </c>
      <c r="C15" s="36">
        <f>'18A'!C16</f>
        <v>236545.36</v>
      </c>
      <c r="D15" s="39">
        <v>157506855.93000001</v>
      </c>
      <c r="E15" s="68">
        <v>1.3255806890709791E-3</v>
      </c>
      <c r="F15" s="36">
        <f t="shared" si="0"/>
        <v>208788.04661709286</v>
      </c>
      <c r="G15" s="36">
        <f t="shared" si="1"/>
        <v>-27757.31338290713</v>
      </c>
    </row>
    <row r="16" spans="1:7" x14ac:dyDescent="0.25">
      <c r="A16" s="28" t="s">
        <v>39</v>
      </c>
      <c r="B16" s="27" t="s">
        <v>34</v>
      </c>
      <c r="C16" s="36">
        <f>'18A'!C17</f>
        <v>206741.65</v>
      </c>
      <c r="D16" s="39">
        <v>143778479.79543883</v>
      </c>
      <c r="E16" s="68">
        <v>1.3255806890709791E-3</v>
      </c>
      <c r="F16" s="36">
        <f t="shared" si="0"/>
        <v>190589.97632081565</v>
      </c>
      <c r="G16" s="36">
        <f t="shared" si="1"/>
        <v>-16151.673679184343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3694536.4400000004</v>
      </c>
      <c r="D18" s="41">
        <f>SUM(D8:D17)</f>
        <v>2360102822.96</v>
      </c>
      <c r="E18" s="30"/>
      <c r="F18" s="34">
        <f>SUM(F8:F17)</f>
        <v>3128506.7263376797</v>
      </c>
      <c r="G18" s="34">
        <f>SUM(G8:G17)</f>
        <v>-566029.71366232028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D25" sqref="D2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45930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A22" sqref="A22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45930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AP6</vt:lpstr>
      <vt:lpstr>Monthly Cost Tracker AP7</vt:lpstr>
      <vt:lpstr>Monthly Cost Tracker AP8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2025-10-13T14:35:25Z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